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 Form" sheetId="1" r:id="rId4"/>
    <sheet state="visible" name="Fruit Trees" sheetId="2" r:id="rId5"/>
    <sheet state="visible" name="Landscape Trees " sheetId="3" r:id="rId6"/>
    <sheet state="visible" name="Printer Version " sheetId="4" r:id="rId7"/>
  </sheets>
  <definedNames>
    <definedName hidden="1" localSheetId="0" name="_xlnm._FilterDatabase">'Order Form'!$J$1:$J$450</definedName>
  </definedNames>
  <calcPr/>
</workbook>
</file>

<file path=xl/sharedStrings.xml><?xml version="1.0" encoding="utf-8"?>
<sst xmlns="http://schemas.openxmlformats.org/spreadsheetml/2006/main" count="25" uniqueCount="17">
  <si>
    <t>Name:</t>
  </si>
  <si>
    <t>Date:</t>
  </si>
  <si>
    <t>Address:</t>
  </si>
  <si>
    <t>Phone:</t>
  </si>
  <si>
    <t>Email:</t>
  </si>
  <si>
    <t>Delivery Or Pick-up? (Please Specify):</t>
  </si>
  <si>
    <t>Tree Authority Nursery Availability 6.20.2021</t>
  </si>
  <si>
    <t>Hasan Malik (215) 694 9607</t>
  </si>
  <si>
    <t>602 Minsi Trail Perkasie, PA 18944</t>
  </si>
  <si>
    <t>Fruit Trees</t>
  </si>
  <si>
    <t>Scroll down to Native/Landscape Trees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</si>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</sst>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6">
    <font>
      <sz val="10.0"/>
      <color rgb="FF000000"/>
      <name val="Arial"/>
    </font>
    <font>
      <b/>
      <sz val="11.0"/>
      <color rgb="FF000000"/>
      <name val="Arial"/>
    </font>
    <font>
      <b/>
      <sz val="11.0"/>
      <color theme="1"/>
      <name val="Calibri"/>
    </font>
    <font>
      <b/>
      <color theme="1"/>
      <name val="Arial"/>
    </font>
    <font>
      <sz val="11.0"/>
      <color theme="1"/>
      <name val="Calibri"/>
    </font>
    <font>
      <b/>
      <sz val="14.0"/>
      <color rgb="FF000000"/>
      <name val="Arial"/>
    </font>
    <font>
      <color theme="1"/>
      <name val="Arial"/>
    </font>
    <font/>
    <font>
      <sz val="12.0"/>
      <color theme="1"/>
      <name val="Arial"/>
    </font>
    <font>
      <sz val="12.0"/>
      <color rgb="FF000000"/>
      <name val="Arial"/>
    </font>
    <font>
      <sz val="11.0"/>
      <color rgb="FF000000"/>
      <name val="Calibri"/>
    </font>
    <font>
      <b/>
      <sz val="36.0"/>
      <color rgb="FF000000"/>
      <name val="Arial"/>
    </font>
    <font>
      <sz val="24.0"/>
      <color rgb="FF000000"/>
      <name val="Arial"/>
    </font>
    <font>
      <color rgb="FFD5C6A1"/>
      <name val="Arial"/>
    </font>
    <font>
      <sz val="11.0"/>
      <color rgb="FFD5C6A1"/>
      <name val="Inconsolata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291F07"/>
        <bgColor rgb="FF291F07"/>
      </patternFill>
    </fill>
  </fills>
  <borders count="5">
    <border/>
    <border>
      <right/>
    </border>
    <border>
      <right/>
      <top style="thin">
        <color rgb="FFD5C6A1"/>
      </top>
      <bottom style="thin">
        <color rgb="FFD5C6A1"/>
      </bottom>
    </border>
    <border>
      <right style="thin">
        <color rgb="FFD5C6A1"/>
      </right>
      <top style="thin">
        <color rgb="FFD5C6A1"/>
      </top>
      <bottom style="thin">
        <color rgb="FFD5C6A1"/>
      </bottom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readingOrder="0"/>
    </xf>
    <xf borderId="0" fillId="2" fontId="2" numFmtId="0" xfId="0" applyAlignment="1" applyFont="1">
      <alignment readingOrder="0" vertical="bottom"/>
    </xf>
    <xf borderId="0" fillId="3" fontId="4" numFmtId="0" xfId="0" applyAlignment="1" applyFill="1" applyFont="1">
      <alignment vertical="bottom"/>
    </xf>
    <xf borderId="0" fillId="0" fontId="4" numFmtId="0" xfId="0" applyAlignment="1" applyFont="1">
      <alignment vertical="bottom"/>
    </xf>
    <xf borderId="0" fillId="2" fontId="4" numFmtId="164" xfId="0" applyAlignment="1" applyFont="1" applyNumberFormat="1">
      <alignment vertical="bottom"/>
    </xf>
    <xf borderId="0" fillId="4" fontId="4" numFmtId="164" xfId="0" applyAlignment="1" applyFill="1" applyFont="1" applyNumberFormat="1">
      <alignment vertical="bottom"/>
    </xf>
    <xf borderId="0" fillId="4" fontId="5" numFmtId="0" xfId="0" applyAlignment="1" applyFont="1">
      <alignment readingOrder="0" shrinkToFit="0" vertical="bottom" wrapText="0"/>
    </xf>
    <xf borderId="0" fillId="4" fontId="4" numFmtId="0" xfId="0" applyAlignment="1" applyFont="1">
      <alignment vertical="bottom"/>
    </xf>
    <xf borderId="0" fillId="4" fontId="6" numFmtId="0" xfId="0" applyFont="1"/>
    <xf borderId="0" fillId="4" fontId="4" numFmtId="0" xfId="0" applyAlignment="1" applyFont="1">
      <alignment readingOrder="0" vertical="bottom"/>
    </xf>
    <xf borderId="0" fillId="2" fontId="4" numFmtId="0" xfId="0" applyAlignment="1" applyFont="1">
      <alignment vertical="bottom"/>
    </xf>
    <xf borderId="0" fillId="2" fontId="5" numFmtId="0" xfId="0" applyAlignment="1" applyFont="1">
      <alignment readingOrder="0" shrinkToFit="0" vertical="bottom" wrapText="0"/>
    </xf>
    <xf borderId="1" fillId="0" fontId="7" numFmtId="0" xfId="0" applyBorder="1" applyFont="1"/>
    <xf borderId="1" fillId="0" fontId="8" numFmtId="0" xfId="0" applyAlignment="1" applyBorder="1" applyFont="1">
      <alignment shrinkToFit="0" vertical="bottom" wrapText="0"/>
    </xf>
    <xf borderId="0" fillId="2" fontId="4" numFmtId="0" xfId="0" applyFont="1"/>
    <xf borderId="1" fillId="2" fontId="9" numFmtId="0" xfId="0" applyAlignment="1" applyBorder="1" applyFont="1">
      <alignment readingOrder="0" shrinkToFit="0" vertical="bottom" wrapText="0"/>
    </xf>
    <xf borderId="0" fillId="0" fontId="10" numFmtId="164" xfId="0" applyAlignment="1" applyFont="1" applyNumberFormat="1">
      <alignment horizontal="center" readingOrder="0" vertical="bottom"/>
    </xf>
    <xf borderId="0" fillId="0" fontId="4" numFmtId="164" xfId="0" applyAlignment="1" applyFont="1" applyNumberFormat="1">
      <alignment vertical="bottom"/>
    </xf>
    <xf borderId="1" fillId="2" fontId="11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vertical="bottom"/>
    </xf>
    <xf borderId="1" fillId="2" fontId="12" numFmtId="0" xfId="0" applyAlignment="1" applyBorder="1" applyFont="1">
      <alignment horizontal="center" shrinkToFit="0" wrapText="0"/>
    </xf>
    <xf borderId="0" fillId="0" fontId="3" numFmtId="0" xfId="0" applyFont="1"/>
    <xf borderId="0" fillId="3" fontId="3" numFmtId="0" xfId="0" applyFont="1"/>
    <xf borderId="0" fillId="4" fontId="3" numFmtId="0" xfId="0" applyAlignment="1" applyFont="1">
      <alignment readingOrder="0"/>
    </xf>
    <xf borderId="0" fillId="0" fontId="6" numFmtId="0" xfId="0" applyFont="1"/>
    <xf borderId="0" fillId="0" fontId="6" numFmtId="49" xfId="0" applyFont="1" applyNumberFormat="1"/>
    <xf borderId="0" fillId="3" fontId="6" numFmtId="3" xfId="0" applyFont="1" applyNumberFormat="1"/>
    <xf borderId="0" fillId="0" fontId="6" numFmtId="164" xfId="0" applyFont="1" applyNumberFormat="1"/>
    <xf borderId="0" fillId="3" fontId="6" numFmtId="0" xfId="0" applyFont="1"/>
    <xf borderId="0" fillId="0" fontId="6" numFmtId="4" xfId="0" applyFont="1" applyNumberFormat="1"/>
    <xf borderId="0" fillId="0" fontId="6" numFmtId="164" xfId="0" applyFont="1" applyNumberFormat="1"/>
    <xf borderId="2" fillId="2" fontId="11" numFmtId="0" xfId="0" applyAlignment="1" applyBorder="1" applyFont="1">
      <alignment readingOrder="0" shrinkToFit="0" vertical="bottom" wrapText="0"/>
    </xf>
    <xf borderId="3" fillId="2" fontId="11" numFmtId="0" xfId="0" applyAlignment="1" applyBorder="1" applyFont="1">
      <alignment vertical="bottom"/>
    </xf>
    <xf borderId="2" fillId="3" fontId="4" numFmtId="0" xfId="0" applyAlignment="1" applyBorder="1" applyFont="1">
      <alignment vertical="bottom"/>
    </xf>
    <xf borderId="2" fillId="0" fontId="4" numFmtId="0" xfId="0" applyAlignment="1" applyBorder="1" applyFont="1">
      <alignment vertical="bottom"/>
    </xf>
    <xf borderId="3" fillId="2" fontId="4" numFmtId="0" xfId="0" applyAlignment="1" applyBorder="1" applyFont="1">
      <alignment vertical="bottom"/>
    </xf>
    <xf borderId="0" fillId="0" fontId="3" numFmtId="164" xfId="0" applyFont="1" applyNumberFormat="1"/>
    <xf borderId="4" fillId="5" fontId="13" numFmtId="0" xfId="0" applyAlignment="1" applyBorder="1" applyFill="1" applyFont="1">
      <alignment readingOrder="0"/>
    </xf>
    <xf borderId="4" fillId="5" fontId="13" numFmtId="0" xfId="0" applyBorder="1" applyFont="1"/>
    <xf borderId="0" fillId="5" fontId="13" numFmtId="0" xfId="0" applyFont="1"/>
    <xf borderId="4" fillId="5" fontId="13" numFmtId="49" xfId="0" applyBorder="1" applyFont="1" applyNumberFormat="1"/>
    <xf borderId="4" fillId="5" fontId="13" numFmtId="3" xfId="0" applyBorder="1" applyFont="1" applyNumberFormat="1"/>
    <xf borderId="4" fillId="5" fontId="13" numFmtId="164" xfId="0" applyBorder="1" applyFont="1" applyNumberFormat="1"/>
    <xf borderId="4" fillId="5" fontId="13" numFmtId="4" xfId="0" applyBorder="1" applyFont="1" applyNumberFormat="1"/>
    <xf borderId="4" fillId="5" fontId="14" numFmtId="0" xfId="0" applyAlignment="1" applyBorder="1" applyFont="1">
      <alignment horizontal="left"/>
    </xf>
    <xf borderId="1" fillId="2" fontId="15" numFmtId="0" xfId="0" applyAlignment="1" applyBorder="1" applyFont="1">
      <alignment horizontal="center" shrinkToFit="0" wrapText="0"/>
    </xf>
    <xf borderId="0" fillId="0" fontId="6" numFmtId="3" xfId="0" applyFont="1" applyNumberFormat="1"/>
    <xf borderId="2" fillId="2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38.43"/>
    <col customWidth="1" min="2" max="2" width="33.0"/>
    <col customWidth="1" min="3" max="3" width="10.71"/>
    <col customWidth="1" min="4" max="4" width="9.71"/>
    <col customWidth="1" min="5" max="5" width="9.29"/>
    <col customWidth="1" min="6" max="6" width="9.14"/>
    <col customWidth="1" hidden="1" min="7" max="7" width="10.71"/>
    <col hidden="1" min="9" max="9" width="14.4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/>
      <c r="G1" s="6"/>
      <c r="H1" s="7"/>
      <c r="I1" s="7"/>
      <c r="J1" s="8"/>
      <c r="K1" s="7"/>
    </row>
    <row r="2">
      <c r="A2" s="9"/>
      <c r="B2" s="10"/>
      <c r="C2" s="11"/>
      <c r="D2" s="10"/>
      <c r="E2" s="10"/>
      <c r="F2" s="5"/>
      <c r="G2" s="6"/>
      <c r="H2" s="7"/>
      <c r="I2" s="7"/>
      <c r="J2" s="8"/>
      <c r="K2" s="7"/>
    </row>
    <row r="3">
      <c r="A3" s="9" t="s">
        <v>5</v>
      </c>
      <c r="B3" s="12"/>
      <c r="C3" s="11"/>
      <c r="D3" s="13"/>
      <c r="E3" s="13"/>
      <c r="F3" s="5"/>
      <c r="G3" s="6"/>
      <c r="H3" s="7"/>
      <c r="I3" s="7"/>
      <c r="J3" s="8"/>
      <c r="K3" s="7"/>
    </row>
    <row r="4">
      <c r="A4" s="14" t="s">
        <v>6</v>
      </c>
      <c r="B4" s="15"/>
      <c r="D4" s="13"/>
      <c r="E4" s="13"/>
      <c r="F4" s="5"/>
      <c r="G4" s="6"/>
      <c r="H4" s="7"/>
      <c r="I4" s="7"/>
      <c r="J4" s="8"/>
      <c r="K4" s="7"/>
    </row>
    <row r="5">
      <c r="A5" s="16" t="s">
        <v>7</v>
      </c>
      <c r="B5" s="6"/>
      <c r="D5" s="17"/>
      <c r="E5" s="13"/>
      <c r="F5" s="5"/>
      <c r="G5" s="6"/>
      <c r="I5" s="7"/>
      <c r="J5" s="8"/>
      <c r="K5" s="7"/>
    </row>
    <row r="6">
      <c r="A6" s="18" t="s">
        <v>8</v>
      </c>
      <c r="B6" s="6"/>
      <c r="D6" s="6"/>
      <c r="E6" s="13"/>
      <c r="F6" s="5"/>
      <c r="G6" s="6"/>
      <c r="H6" s="19"/>
      <c r="I6" s="20"/>
      <c r="J6" s="8"/>
      <c r="K6" s="7"/>
    </row>
    <row r="7">
      <c r="A7" s="21" t="s">
        <v>9</v>
      </c>
      <c r="B7" s="6"/>
      <c r="D7" s="22"/>
      <c r="E7" s="23" t="s">
        <v>10</v>
      </c>
      <c r="F7" s="5"/>
      <c r="G7" s="6"/>
      <c r="H7" s="19"/>
      <c r="I7" s="20"/>
      <c r="J7" s="8"/>
      <c r="K7" s="7"/>
    </row>
    <row r="8">
      <c r="B8" s="24" t="str">
        <f>'Fruit Trees'!A1</f>
        <v>Common Name</v>
      </c>
      <c r="C8" s="24" t="str">
        <f>'Fruit Trees'!C1</f>
        <v>Pot Size</v>
      </c>
      <c r="D8" s="24" t="str">
        <f>'Fruit Trees'!D1</f>
        <v>Caliper</v>
      </c>
      <c r="E8" s="24" t="str">
        <f>'Fruit Trees'!E1</f>
        <v>Height</v>
      </c>
      <c r="F8" s="25" t="str">
        <f>'Fruit Trees'!F1</f>
        <v>Quantity </v>
      </c>
      <c r="G8" s="24" t="str">
        <f>'Fruit Trees'!G1</f>
        <v>Projected</v>
      </c>
      <c r="H8" s="24" t="str">
        <f>'Fruit Trees'!H1</f>
        <v>Price</v>
      </c>
      <c r="I8" s="3"/>
      <c r="J8" s="26" t="s">
        <v>11</v>
      </c>
      <c r="K8" s="3" t="s">
        <v>12</v>
      </c>
    </row>
    <row r="9">
      <c r="B9" s="27" t="str">
        <f>'Fruit Trees'!A2</f>
        <v>Apple - Ambrosia</v>
      </c>
      <c r="C9" s="27" t="str">
        <f>'Fruit Trees'!C2</f>
        <v>#5</v>
      </c>
      <c r="D9" s="28" t="str">
        <f>'Fruit Trees'!D2</f>
        <v>0.5-0.75"</v>
      </c>
      <c r="E9" s="27" t="str">
        <f>'Fruit Trees'!E2</f>
        <v>5-6'</v>
      </c>
      <c r="F9" s="29">
        <f>'Fruit Trees'!F2</f>
        <v>2</v>
      </c>
      <c r="G9" s="27">
        <f>'Fruit Trees'!G2</f>
        <v>20</v>
      </c>
      <c r="H9" s="30">
        <f>'Fruit Trees'!H2</f>
        <v>45</v>
      </c>
      <c r="I9" s="27" t="str">
        <f t="shared" ref="I9:I142" si="1">B9&amp;" "&amp;C9&amp;-2020</f>
        <v>Apple - Ambrosia #5-2020</v>
      </c>
      <c r="J9" s="11"/>
      <c r="K9" s="30">
        <f t="shared" ref="K9:K142" si="2">J9*H9</f>
        <v>0</v>
      </c>
    </row>
    <row r="10">
      <c r="B10" s="27" t="str">
        <f>'Fruit Trees'!A3</f>
        <v>Apple - Arkansas Black</v>
      </c>
      <c r="C10" s="27" t="str">
        <f>'Fruit Trees'!C3</f>
        <v>#5</v>
      </c>
      <c r="D10" s="28" t="str">
        <f>'Fruit Trees'!D3</f>
        <v>0.75-1"</v>
      </c>
      <c r="E10" s="27" t="str">
        <f>'Fruit Trees'!E3</f>
        <v>4-5'</v>
      </c>
      <c r="F10" s="29">
        <f>'Fruit Trees'!F3</f>
        <v>6</v>
      </c>
      <c r="G10" s="27">
        <f>'Fruit Trees'!G3</f>
        <v>100</v>
      </c>
      <c r="H10" s="30">
        <f>'Fruit Trees'!H3</f>
        <v>45</v>
      </c>
      <c r="I10" s="27" t="str">
        <f t="shared" si="1"/>
        <v>Apple - Arkansas Black #5-2020</v>
      </c>
      <c r="J10" s="11"/>
      <c r="K10" s="30">
        <f t="shared" si="2"/>
        <v>0</v>
      </c>
    </row>
    <row r="11">
      <c r="B11" s="27" t="str">
        <f>'Fruit Trees'!A4</f>
        <v>Apple - Aztec Fuji</v>
      </c>
      <c r="C11" s="27" t="str">
        <f>'Fruit Trees'!C4</f>
        <v>#5</v>
      </c>
      <c r="D11" s="28" t="str">
        <f>'Fruit Trees'!D4</f>
        <v>0.5-0.5"</v>
      </c>
      <c r="E11" s="27" t="str">
        <f>'Fruit Trees'!E4</f>
        <v>3-4'</v>
      </c>
      <c r="F11" s="29">
        <f>'Fruit Trees'!F4</f>
        <v>0</v>
      </c>
      <c r="G11" s="27">
        <f>'Fruit Trees'!G4</f>
        <v>10</v>
      </c>
      <c r="H11" s="30">
        <f>'Fruit Trees'!H4</f>
        <v>45</v>
      </c>
      <c r="I11" s="27" t="str">
        <f t="shared" si="1"/>
        <v>Apple - Aztec Fuji #5-2020</v>
      </c>
      <c r="J11" s="11"/>
      <c r="K11" s="30">
        <f t="shared" si="2"/>
        <v>0</v>
      </c>
    </row>
    <row r="12">
      <c r="B12" s="27" t="str">
        <f>'Fruit Trees'!A5</f>
        <v>Apple - Baldwin</v>
      </c>
      <c r="C12" s="27" t="str">
        <f>'Fruit Trees'!C5</f>
        <v>#5</v>
      </c>
      <c r="D12" s="28" t="str">
        <f>'Fruit Trees'!D5</f>
        <v>0-1"</v>
      </c>
      <c r="E12" s="27" t="str">
        <f>'Fruit Trees'!E5</f>
        <v>0-8'</v>
      </c>
      <c r="F12" s="29">
        <f>'Fruit Trees'!F5</f>
        <v>0</v>
      </c>
      <c r="G12" s="27">
        <f>'Fruit Trees'!G5</f>
        <v>15</v>
      </c>
      <c r="H12" s="30">
        <f>'Fruit Trees'!H5</f>
        <v>45</v>
      </c>
      <c r="I12" s="27" t="str">
        <f t="shared" si="1"/>
        <v>Apple - Baldwin #5-2020</v>
      </c>
      <c r="J12" s="11"/>
      <c r="K12" s="30">
        <f t="shared" si="2"/>
        <v>0</v>
      </c>
    </row>
    <row r="13">
      <c r="B13" s="27" t="str">
        <f>'Fruit Trees'!A6</f>
        <v>Apple - Baldwin</v>
      </c>
      <c r="C13" s="27" t="str">
        <f>'Fruit Trees'!C6</f>
        <v>#7</v>
      </c>
      <c r="D13" s="28" t="str">
        <f>'Fruit Trees'!D6</f>
        <v>0.75-1"</v>
      </c>
      <c r="E13" s="27" t="str">
        <f>'Fruit Trees'!E6</f>
        <v>7-8'</v>
      </c>
      <c r="F13" s="29">
        <f>'Fruit Trees'!F6</f>
        <v>2</v>
      </c>
      <c r="G13" s="27">
        <f>'Fruit Trees'!G6</f>
        <v>0</v>
      </c>
      <c r="H13" s="30">
        <f>'Fruit Trees'!H6</f>
        <v>60</v>
      </c>
      <c r="I13" s="27" t="str">
        <f t="shared" si="1"/>
        <v>Apple - Baldwin #7-2020</v>
      </c>
      <c r="J13" s="11"/>
      <c r="K13" s="30">
        <f t="shared" si="2"/>
        <v>0</v>
      </c>
    </row>
    <row r="14">
      <c r="B14" s="27" t="str">
        <f>'Fruit Trees'!A7</f>
        <v>Apple - Crimson Crisp</v>
      </c>
      <c r="C14" s="27" t="str">
        <f>'Fruit Trees'!C7</f>
        <v>#5</v>
      </c>
      <c r="D14" s="28" t="str">
        <f>'Fruit Trees'!D7</f>
        <v>0-1"</v>
      </c>
      <c r="E14" s="27" t="str">
        <f>'Fruit Trees'!E7</f>
        <v>0-9'</v>
      </c>
      <c r="F14" s="29">
        <f>'Fruit Trees'!F7</f>
        <v>0</v>
      </c>
      <c r="G14" s="27">
        <f>'Fruit Trees'!G7</f>
        <v>50</v>
      </c>
      <c r="H14" s="30">
        <f>'Fruit Trees'!H7</f>
        <v>45</v>
      </c>
      <c r="I14" s="27" t="str">
        <f t="shared" si="1"/>
        <v>Apple - Crimson Crisp #5-2020</v>
      </c>
      <c r="J14" s="11"/>
      <c r="K14" s="30">
        <f t="shared" si="2"/>
        <v>0</v>
      </c>
    </row>
    <row r="15">
      <c r="B15" s="27" t="str">
        <f>'Fruit Trees'!A8</f>
        <v>Apple - Crown Empire</v>
      </c>
      <c r="C15" s="27" t="str">
        <f>'Fruit Trees'!C8</f>
        <v>#5</v>
      </c>
      <c r="D15" s="28" t="str">
        <f>'Fruit Trees'!D8</f>
        <v>0.25-0.5"</v>
      </c>
      <c r="E15" s="27" t="str">
        <f>'Fruit Trees'!E8</f>
        <v>3-4'</v>
      </c>
      <c r="F15" s="29">
        <f>'Fruit Trees'!F8</f>
        <v>0</v>
      </c>
      <c r="G15" s="27">
        <f>'Fruit Trees'!G8</f>
        <v>5</v>
      </c>
      <c r="H15" s="30">
        <f>'Fruit Trees'!H8</f>
        <v>45</v>
      </c>
      <c r="I15" s="27" t="str">
        <f t="shared" si="1"/>
        <v>Apple - Crown Empire #5-2020</v>
      </c>
      <c r="J15" s="11"/>
      <c r="K15" s="30">
        <f t="shared" si="2"/>
        <v>0</v>
      </c>
    </row>
    <row r="16">
      <c r="B16" s="27" t="str">
        <f>'Fruit Trees'!A9</f>
        <v>Apple - Enterprise</v>
      </c>
      <c r="C16" s="27" t="str">
        <f>'Fruit Trees'!C9</f>
        <v>#10</v>
      </c>
      <c r="D16" s="28" t="str">
        <f>'Fruit Trees'!D9</f>
        <v>0.5-1"</v>
      </c>
      <c r="E16" s="27" t="str">
        <f>'Fruit Trees'!E9</f>
        <v>6-7'</v>
      </c>
      <c r="F16" s="29">
        <f>'Fruit Trees'!F9</f>
        <v>1</v>
      </c>
      <c r="G16" s="27">
        <f>'Fruit Trees'!G9</f>
        <v>0</v>
      </c>
      <c r="H16" s="30">
        <f>'Fruit Trees'!H9</f>
        <v>70</v>
      </c>
      <c r="I16" s="27" t="str">
        <f t="shared" si="1"/>
        <v>Apple - Enterprise #10-2020</v>
      </c>
      <c r="J16" s="11"/>
      <c r="K16" s="30">
        <f t="shared" si="2"/>
        <v>0</v>
      </c>
    </row>
    <row r="17">
      <c r="B17" s="27" t="str">
        <f>'Fruit Trees'!A10</f>
        <v>Apple - Enterprise (Dwarf)</v>
      </c>
      <c r="C17" s="27" t="str">
        <f>'Fruit Trees'!C10</f>
        <v>#5</v>
      </c>
      <c r="D17" s="28" t="str">
        <f>'Fruit Trees'!D10</f>
        <v>0.75-1"</v>
      </c>
      <c r="E17" s="27" t="str">
        <f>'Fruit Trees'!E10</f>
        <v>7-8'</v>
      </c>
      <c r="F17" s="29">
        <f>'Fruit Trees'!F10</f>
        <v>9</v>
      </c>
      <c r="G17" s="27">
        <f>'Fruit Trees'!G10</f>
        <v>0</v>
      </c>
      <c r="H17" s="30">
        <f>'Fruit Trees'!H10</f>
        <v>45</v>
      </c>
      <c r="I17" s="27" t="str">
        <f t="shared" si="1"/>
        <v>Apple - Enterprise (Dwarf) #5-2020</v>
      </c>
      <c r="J17" s="11"/>
      <c r="K17" s="30">
        <f t="shared" si="2"/>
        <v>0</v>
      </c>
    </row>
    <row r="18">
      <c r="B18" s="27" t="str">
        <f>'Fruit Trees'!A11</f>
        <v>Apple - Enterprise (Semi-Dwarf)</v>
      </c>
      <c r="C18" s="27" t="str">
        <f>'Fruit Trees'!C11</f>
        <v>#5</v>
      </c>
      <c r="D18" s="28" t="str">
        <f>'Fruit Trees'!D11</f>
        <v>1-1.25"</v>
      </c>
      <c r="E18" s="27" t="str">
        <f>'Fruit Trees'!E11</f>
        <v>7-8'</v>
      </c>
      <c r="F18" s="29">
        <f>'Fruit Trees'!F11</f>
        <v>2</v>
      </c>
      <c r="G18" s="27">
        <f>'Fruit Trees'!G11</f>
        <v>0</v>
      </c>
      <c r="H18" s="30">
        <f>'Fruit Trees'!H11</f>
        <v>45</v>
      </c>
      <c r="I18" s="27" t="str">
        <f t="shared" si="1"/>
        <v>Apple - Enterprise (Semi-Dwarf) #5-2020</v>
      </c>
      <c r="J18" s="11"/>
      <c r="K18" s="30">
        <f t="shared" si="2"/>
        <v>0</v>
      </c>
    </row>
    <row r="19">
      <c r="B19" s="27" t="str">
        <f>'Fruit Trees'!A12</f>
        <v>Apple - Freedom</v>
      </c>
      <c r="C19" s="27" t="str">
        <f>'Fruit Trees'!C12</f>
        <v>#5</v>
      </c>
      <c r="D19" s="28" t="str">
        <f>'Fruit Trees'!D12</f>
        <v>0-0.75"</v>
      </c>
      <c r="E19" s="27" t="str">
        <f>'Fruit Trees'!E12</f>
        <v>0-5'</v>
      </c>
      <c r="F19" s="29">
        <f>'Fruit Trees'!F12</f>
        <v>0</v>
      </c>
      <c r="G19" s="27">
        <f>'Fruit Trees'!G12</f>
        <v>50</v>
      </c>
      <c r="H19" s="30">
        <f>'Fruit Trees'!H12</f>
        <v>45</v>
      </c>
      <c r="I19" s="27" t="str">
        <f t="shared" si="1"/>
        <v>Apple - Freedom #5-2020</v>
      </c>
      <c r="J19" s="11"/>
      <c r="K19" s="30">
        <f t="shared" si="2"/>
        <v>0</v>
      </c>
    </row>
    <row r="20">
      <c r="B20" s="27" t="str">
        <f>'Fruit Trees'!A13</f>
        <v>Apple - Fuji</v>
      </c>
      <c r="C20" s="27" t="str">
        <f>'Fruit Trees'!C13</f>
        <v>#5</v>
      </c>
      <c r="D20" s="28" t="str">
        <f>'Fruit Trees'!D13</f>
        <v>0-1.25"</v>
      </c>
      <c r="E20" s="27" t="str">
        <f>'Fruit Trees'!E13</f>
        <v>0-8'</v>
      </c>
      <c r="F20" s="29">
        <f>'Fruit Trees'!F13</f>
        <v>0</v>
      </c>
      <c r="G20" s="27">
        <f>'Fruit Trees'!G13</f>
        <v>50</v>
      </c>
      <c r="H20" s="30">
        <f>'Fruit Trees'!H13</f>
        <v>45</v>
      </c>
      <c r="I20" s="27" t="str">
        <f t="shared" si="1"/>
        <v>Apple - Fuji #5-2020</v>
      </c>
      <c r="J20" s="11"/>
      <c r="K20" s="30">
        <f t="shared" si="2"/>
        <v>0</v>
      </c>
    </row>
    <row r="21">
      <c r="B21" s="27" t="str">
        <f>'Fruit Trees'!A14</f>
        <v>Apple - Fuji</v>
      </c>
      <c r="C21" s="27" t="str">
        <f>'Fruit Trees'!C14</f>
        <v>#10</v>
      </c>
      <c r="D21" s="28" t="str">
        <f>'Fruit Trees'!D14</f>
        <v>1-1.25"</v>
      </c>
      <c r="E21" s="27" t="str">
        <f>'Fruit Trees'!E14</f>
        <v>7-8'</v>
      </c>
      <c r="F21" s="29">
        <f>'Fruit Trees'!F14</f>
        <v>4</v>
      </c>
      <c r="G21" s="27">
        <f>'Fruit Trees'!G14</f>
        <v>0</v>
      </c>
      <c r="H21" s="30">
        <f>'Fruit Trees'!H14</f>
        <v>70</v>
      </c>
      <c r="I21" s="27" t="str">
        <f t="shared" si="1"/>
        <v>Apple - Fuji #10-2020</v>
      </c>
      <c r="J21" s="11"/>
      <c r="K21" s="30">
        <f t="shared" si="2"/>
        <v>0</v>
      </c>
    </row>
    <row r="22">
      <c r="B22" s="27" t="str">
        <f>'Fruit Trees'!A15</f>
        <v>Apple - Fuji Espalier 3-Tier</v>
      </c>
      <c r="C22" s="27" t="str">
        <f>'Fruit Trees'!C15</f>
        <v>#15</v>
      </c>
      <c r="D22" s="28" t="str">
        <f>'Fruit Trees'!D15</f>
        <v>0.75-1"</v>
      </c>
      <c r="E22" s="27" t="str">
        <f>'Fruit Trees'!E15</f>
        <v>6-7'</v>
      </c>
      <c r="F22" s="29">
        <f>'Fruit Trees'!F15</f>
        <v>0</v>
      </c>
      <c r="G22" s="27">
        <f>'Fruit Trees'!G15</f>
        <v>5</v>
      </c>
      <c r="H22" s="30">
        <f>'Fruit Trees'!H15</f>
        <v>180</v>
      </c>
      <c r="I22" s="27" t="str">
        <f t="shared" si="1"/>
        <v>Apple - Fuji Espalier 3-Tier #15-2020</v>
      </c>
      <c r="J22" s="11"/>
      <c r="K22" s="30">
        <f t="shared" si="2"/>
        <v>0</v>
      </c>
    </row>
    <row r="23">
      <c r="B23" s="27" t="str">
        <f>'Fruit Trees'!A16</f>
        <v>Apple - Gala</v>
      </c>
      <c r="C23" s="27" t="str">
        <f>'Fruit Trees'!C16</f>
        <v>#5</v>
      </c>
      <c r="D23" s="28" t="str">
        <f>'Fruit Trees'!D16</f>
        <v>0-1"</v>
      </c>
      <c r="E23" s="27" t="str">
        <f>'Fruit Trees'!E16</f>
        <v>0-7'</v>
      </c>
      <c r="F23" s="29">
        <f>'Fruit Trees'!F16</f>
        <v>0</v>
      </c>
      <c r="G23" s="27">
        <f>'Fruit Trees'!G16</f>
        <v>50</v>
      </c>
      <c r="H23" s="30">
        <f>'Fruit Trees'!H16</f>
        <v>45</v>
      </c>
      <c r="I23" s="27" t="str">
        <f t="shared" si="1"/>
        <v>Apple - Gala #5-2020</v>
      </c>
      <c r="J23" s="11"/>
      <c r="K23" s="30">
        <f t="shared" si="2"/>
        <v>0</v>
      </c>
    </row>
    <row r="24">
      <c r="B24" s="27" t="str">
        <f>'Fruit Trees'!A17</f>
        <v>Apple - Gala Espalier 3 tier</v>
      </c>
      <c r="C24" s="27" t="str">
        <f>'Fruit Trees'!C17</f>
        <v>#15</v>
      </c>
      <c r="D24" s="28" t="str">
        <f>'Fruit Trees'!D17</f>
        <v>0.75-1"</v>
      </c>
      <c r="E24" s="27" t="str">
        <f>'Fruit Trees'!E17</f>
        <v>6-7'</v>
      </c>
      <c r="F24" s="29">
        <f>'Fruit Trees'!F17</f>
        <v>0</v>
      </c>
      <c r="G24" s="27">
        <f>'Fruit Trees'!G17</f>
        <v>5</v>
      </c>
      <c r="H24" s="30">
        <f>'Fruit Trees'!H17</f>
        <v>180</v>
      </c>
      <c r="I24" s="27" t="str">
        <f t="shared" si="1"/>
        <v>Apple - Gala Espalier 3 tier #15-2020</v>
      </c>
      <c r="J24" s="11"/>
      <c r="K24" s="30">
        <f t="shared" si="2"/>
        <v>0</v>
      </c>
    </row>
    <row r="25">
      <c r="B25" s="27" t="str">
        <f>'Fruit Trees'!A18</f>
        <v>Apple - Galarina</v>
      </c>
      <c r="C25" s="27" t="str">
        <f>'Fruit Trees'!C18</f>
        <v>#5</v>
      </c>
      <c r="D25" s="28" t="str">
        <f>'Fruit Trees'!D18</f>
        <v>0-1"</v>
      </c>
      <c r="E25" s="27" t="str">
        <f>'Fruit Trees'!E18</f>
        <v>0-6'</v>
      </c>
      <c r="F25" s="29">
        <f>'Fruit Trees'!F18</f>
        <v>0</v>
      </c>
      <c r="G25" s="27">
        <f>'Fruit Trees'!G18</f>
        <v>85</v>
      </c>
      <c r="H25" s="30">
        <f>'Fruit Trees'!H18</f>
        <v>45</v>
      </c>
      <c r="I25" s="27" t="str">
        <f t="shared" si="1"/>
        <v>Apple - Galarina #5-2020</v>
      </c>
      <c r="J25" s="11"/>
      <c r="K25" s="30">
        <f t="shared" si="2"/>
        <v>0</v>
      </c>
    </row>
    <row r="26">
      <c r="B26" s="27" t="str">
        <f>'Fruit Trees'!A19</f>
        <v>Apple - Gold Rush</v>
      </c>
      <c r="C26" s="27" t="str">
        <f>'Fruit Trees'!C19</f>
        <v>#5</v>
      </c>
      <c r="D26" s="28" t="str">
        <f>'Fruit Trees'!D19</f>
        <v>0.5-0.75"</v>
      </c>
      <c r="E26" s="27" t="str">
        <f>'Fruit Trees'!E19</f>
        <v>4-5'</v>
      </c>
      <c r="F26" s="29">
        <f>'Fruit Trees'!F19</f>
        <v>0</v>
      </c>
      <c r="G26" s="27">
        <f>'Fruit Trees'!G19</f>
        <v>20</v>
      </c>
      <c r="H26" s="30">
        <f>'Fruit Trees'!H19</f>
        <v>45</v>
      </c>
      <c r="I26" s="27" t="str">
        <f t="shared" si="1"/>
        <v>Apple - Gold Rush #5-2020</v>
      </c>
      <c r="J26" s="11"/>
      <c r="K26" s="30">
        <f t="shared" si="2"/>
        <v>0</v>
      </c>
    </row>
    <row r="27">
      <c r="B27" s="27" t="str">
        <f>'Fruit Trees'!A20</f>
        <v>Apple - Golden Delicious</v>
      </c>
      <c r="C27" s="27" t="str">
        <f>'Fruit Trees'!C20</f>
        <v>#5</v>
      </c>
      <c r="D27" s="28" t="str">
        <f>'Fruit Trees'!D20</f>
        <v>0.75-0.75"</v>
      </c>
      <c r="E27" s="27" t="str">
        <f>'Fruit Trees'!E20</f>
        <v>5-5'</v>
      </c>
      <c r="F27" s="31">
        <f>'Fruit Trees'!F20</f>
        <v>1</v>
      </c>
      <c r="G27" s="27">
        <f>'Fruit Trees'!G20</f>
        <v>0</v>
      </c>
      <c r="H27" s="30">
        <f>'Fruit Trees'!H20</f>
        <v>45</v>
      </c>
      <c r="I27" s="27" t="str">
        <f t="shared" si="1"/>
        <v>Apple - Golden Delicious #5-2020</v>
      </c>
      <c r="J27" s="11"/>
      <c r="K27" s="30">
        <f t="shared" si="2"/>
        <v>0</v>
      </c>
    </row>
    <row r="28">
      <c r="B28" s="27" t="str">
        <f>'Fruit Trees'!A21</f>
        <v>Apple - Granny Smith</v>
      </c>
      <c r="C28" s="27" t="str">
        <f>'Fruit Trees'!C21</f>
        <v>#5</v>
      </c>
      <c r="D28" s="28" t="str">
        <f>'Fruit Trees'!D21</f>
        <v>0.75-1"</v>
      </c>
      <c r="E28" s="27" t="str">
        <f>'Fruit Trees'!E21</f>
        <v>5-8'</v>
      </c>
      <c r="F28" s="29">
        <f>'Fruit Trees'!F21</f>
        <v>28</v>
      </c>
      <c r="G28" s="27">
        <f>'Fruit Trees'!G21</f>
        <v>50</v>
      </c>
      <c r="H28" s="30">
        <f>'Fruit Trees'!H21</f>
        <v>45</v>
      </c>
      <c r="I28" s="27" t="str">
        <f t="shared" si="1"/>
        <v>Apple - Granny Smith #5-2020</v>
      </c>
      <c r="J28" s="11"/>
      <c r="K28" s="30">
        <f t="shared" si="2"/>
        <v>0</v>
      </c>
    </row>
    <row r="29">
      <c r="B29" s="27" t="str">
        <f>'Fruit Trees'!A22</f>
        <v>Apple - Honeycrisp</v>
      </c>
      <c r="C29" s="27" t="str">
        <f>'Fruit Trees'!C22</f>
        <v>#5</v>
      </c>
      <c r="D29" s="28" t="str">
        <f>'Fruit Trees'!D22</f>
        <v>0-1"</v>
      </c>
      <c r="E29" s="27" t="str">
        <f>'Fruit Trees'!E22</f>
        <v>0-7'</v>
      </c>
      <c r="F29" s="29">
        <f>'Fruit Trees'!F22</f>
        <v>0</v>
      </c>
      <c r="G29" s="27">
        <f>'Fruit Trees'!G22</f>
        <v>22.5</v>
      </c>
      <c r="H29" s="30">
        <f>'Fruit Trees'!H22</f>
        <v>45</v>
      </c>
      <c r="I29" s="27" t="str">
        <f t="shared" si="1"/>
        <v>Apple - Honeycrisp #5-2020</v>
      </c>
      <c r="J29" s="11"/>
      <c r="K29" s="30">
        <f t="shared" si="2"/>
        <v>0</v>
      </c>
    </row>
    <row r="30">
      <c r="B30" s="27" t="str">
        <f>'Fruit Trees'!A23</f>
        <v>Apple - Initial</v>
      </c>
      <c r="C30" s="27" t="str">
        <f>'Fruit Trees'!C23</f>
        <v>#5</v>
      </c>
      <c r="D30" s="28" t="str">
        <f>'Fruit Trees'!D23</f>
        <v>0-0.75"</v>
      </c>
      <c r="E30" s="27" t="str">
        <f>'Fruit Trees'!E23</f>
        <v>0-5'</v>
      </c>
      <c r="F30" s="31">
        <f>'Fruit Trees'!F23</f>
        <v>0</v>
      </c>
      <c r="G30" s="27">
        <f>'Fruit Trees'!G23</f>
        <v>20</v>
      </c>
      <c r="H30" s="30">
        <f>'Fruit Trees'!H23</f>
        <v>45</v>
      </c>
      <c r="I30" s="27" t="str">
        <f t="shared" si="1"/>
        <v>Apple - Initial #5-2020</v>
      </c>
      <c r="J30" s="11"/>
      <c r="K30" s="30">
        <f t="shared" si="2"/>
        <v>0</v>
      </c>
    </row>
    <row r="31">
      <c r="B31" s="27" t="str">
        <f>'Fruit Trees'!A24</f>
        <v>Apple - Initial</v>
      </c>
      <c r="C31" s="27" t="str">
        <f>'Fruit Trees'!C24</f>
        <v>#5</v>
      </c>
      <c r="D31" s="28" t="str">
        <f>'Fruit Trees'!D24</f>
        <v>0.5-0.5"</v>
      </c>
      <c r="E31" s="27" t="str">
        <f>'Fruit Trees'!E24</f>
        <v>3-4'</v>
      </c>
      <c r="F31" s="29">
        <f>'Fruit Trees'!F24</f>
        <v>0</v>
      </c>
      <c r="G31" s="27">
        <f>'Fruit Trees'!G24</f>
        <v>20</v>
      </c>
      <c r="H31" s="30">
        <f>'Fruit Trees'!H24</f>
        <v>45</v>
      </c>
      <c r="I31" s="27" t="str">
        <f t="shared" si="1"/>
        <v>Apple - Initial #5-2020</v>
      </c>
      <c r="J31" s="11"/>
      <c r="K31" s="30">
        <f t="shared" si="2"/>
        <v>0</v>
      </c>
    </row>
    <row r="32">
      <c r="B32" s="27" t="str">
        <f>'Fruit Trees'!A25</f>
        <v>Apple - Liberty</v>
      </c>
      <c r="C32" s="27" t="str">
        <f>'Fruit Trees'!C25</f>
        <v>#5</v>
      </c>
      <c r="D32" s="28" t="str">
        <f>'Fruit Trees'!D25</f>
        <v>0-1"</v>
      </c>
      <c r="E32" s="27" t="str">
        <f>'Fruit Trees'!E25</f>
        <v>0-7'</v>
      </c>
      <c r="F32" s="29">
        <f>'Fruit Trees'!F25</f>
        <v>0</v>
      </c>
      <c r="G32" s="27">
        <f>'Fruit Trees'!G25</f>
        <v>100</v>
      </c>
      <c r="H32" s="30">
        <f>'Fruit Trees'!H25</f>
        <v>45</v>
      </c>
      <c r="I32" s="27" t="str">
        <f t="shared" si="1"/>
        <v>Apple - Liberty #5-2020</v>
      </c>
      <c r="J32" s="11"/>
      <c r="K32" s="30">
        <f t="shared" si="2"/>
        <v>0</v>
      </c>
    </row>
    <row r="33">
      <c r="B33" s="27" t="str">
        <f>'Fruit Trees'!A26</f>
        <v>Apple - Macoun</v>
      </c>
      <c r="C33" s="27" t="str">
        <f>'Fruit Trees'!C26</f>
        <v>#5</v>
      </c>
      <c r="D33" s="28" t="str">
        <f>'Fruit Trees'!D26</f>
        <v>0.5-0.5"</v>
      </c>
      <c r="E33" s="27" t="str">
        <f>'Fruit Trees'!E26</f>
        <v>3-4'</v>
      </c>
      <c r="F33" s="29">
        <f>'Fruit Trees'!F26</f>
        <v>0</v>
      </c>
      <c r="G33" s="27">
        <f>'Fruit Trees'!G26</f>
        <v>20</v>
      </c>
      <c r="H33" s="30">
        <f>'Fruit Trees'!H26</f>
        <v>45</v>
      </c>
      <c r="I33" s="27" t="str">
        <f t="shared" si="1"/>
        <v>Apple - Macoun #5-2020</v>
      </c>
      <c r="J33" s="11"/>
      <c r="K33" s="30">
        <f t="shared" si="2"/>
        <v>0</v>
      </c>
    </row>
    <row r="34">
      <c r="B34" s="27" t="str">
        <f>'Fruit Trees'!A27</f>
        <v>Apple - Northern Spy</v>
      </c>
      <c r="C34" s="27" t="str">
        <f>'Fruit Trees'!C27</f>
        <v>#5</v>
      </c>
      <c r="D34" s="28" t="str">
        <f>'Fruit Trees'!D27</f>
        <v>0.38-0.75"</v>
      </c>
      <c r="E34" s="27" t="str">
        <f>'Fruit Trees'!E27</f>
        <v>3-5'</v>
      </c>
      <c r="F34" s="29">
        <f>'Fruit Trees'!F27</f>
        <v>0</v>
      </c>
      <c r="G34" s="27">
        <f>'Fruit Trees'!G27</f>
        <v>50</v>
      </c>
      <c r="H34" s="30">
        <f>'Fruit Trees'!H27</f>
        <v>45</v>
      </c>
      <c r="I34" s="27" t="str">
        <f t="shared" si="1"/>
        <v>Apple - Northern Spy #5-2020</v>
      </c>
      <c r="J34" s="11"/>
      <c r="K34" s="30">
        <f t="shared" si="2"/>
        <v>0</v>
      </c>
    </row>
    <row r="35">
      <c r="B35" s="27" t="str">
        <f>'Fruit Trees'!A28</f>
        <v>Apple - Nova Spy</v>
      </c>
      <c r="C35" s="27" t="str">
        <f>'Fruit Trees'!C28</f>
        <v>#5</v>
      </c>
      <c r="D35" s="28" t="str">
        <f>'Fruit Trees'!D28</f>
        <v>0.75-1"</v>
      </c>
      <c r="E35" s="27" t="str">
        <f>'Fruit Trees'!E28</f>
        <v>7-9'</v>
      </c>
      <c r="F35" s="29">
        <f>'Fruit Trees'!F28</f>
        <v>1</v>
      </c>
      <c r="G35" s="27">
        <f>'Fruit Trees'!G28</f>
        <v>50</v>
      </c>
      <c r="H35" s="30">
        <f>'Fruit Trees'!H28</f>
        <v>45</v>
      </c>
      <c r="I35" s="27" t="str">
        <f t="shared" si="1"/>
        <v>Apple - Nova Spy #5-2020</v>
      </c>
      <c r="J35" s="11"/>
      <c r="K35" s="30">
        <f t="shared" si="2"/>
        <v>0</v>
      </c>
    </row>
    <row r="36">
      <c r="B36" s="27" t="str">
        <f>'Fruit Trees'!A29</f>
        <v>Apple - Pink Lady</v>
      </c>
      <c r="C36" s="27" t="str">
        <f>'Fruit Trees'!C29</f>
        <v>#5</v>
      </c>
      <c r="D36" s="28" t="str">
        <f>'Fruit Trees'!D29</f>
        <v>0-0"</v>
      </c>
      <c r="E36" s="27" t="str">
        <f>'Fruit Trees'!E29</f>
        <v>0-0'</v>
      </c>
      <c r="F36" s="29">
        <f>'Fruit Trees'!F29</f>
        <v>0</v>
      </c>
      <c r="G36" s="27">
        <f>'Fruit Trees'!G29</f>
        <v>30</v>
      </c>
      <c r="H36" s="30">
        <f>'Fruit Trees'!H29</f>
        <v>45</v>
      </c>
      <c r="I36" s="27" t="str">
        <f t="shared" si="1"/>
        <v>Apple - Pink Lady #5-2020</v>
      </c>
      <c r="J36" s="11"/>
      <c r="K36" s="30">
        <f t="shared" si="2"/>
        <v>0</v>
      </c>
    </row>
    <row r="37">
      <c r="B37" s="27" t="str">
        <f>'Fruit Trees'!A30</f>
        <v>Apple - Querina</v>
      </c>
      <c r="C37" s="27" t="str">
        <f>'Fruit Trees'!C30</f>
        <v>#5</v>
      </c>
      <c r="D37" s="28" t="str">
        <f>'Fruit Trees'!D30</f>
        <v>0.75-1.25"</v>
      </c>
      <c r="E37" s="27" t="str">
        <f>'Fruit Trees'!E30</f>
        <v>7-8'</v>
      </c>
      <c r="F37" s="29">
        <f>'Fruit Trees'!F30</f>
        <v>13</v>
      </c>
      <c r="G37" s="27">
        <f>'Fruit Trees'!G30</f>
        <v>100</v>
      </c>
      <c r="H37" s="30">
        <f>'Fruit Trees'!H30</f>
        <v>45</v>
      </c>
      <c r="I37" s="27" t="str">
        <f t="shared" si="1"/>
        <v>Apple - Querina #5-2020</v>
      </c>
      <c r="J37" s="11"/>
      <c r="K37" s="30">
        <f t="shared" si="2"/>
        <v>0</v>
      </c>
    </row>
    <row r="38">
      <c r="B38" s="27" t="str">
        <f>'Fruit Trees'!A31</f>
        <v>Apple - Querina (standard)</v>
      </c>
      <c r="C38" s="27" t="str">
        <f>'Fruit Trees'!C31</f>
        <v>#10</v>
      </c>
      <c r="D38" s="28" t="str">
        <f>'Fruit Trees'!D31</f>
        <v>1-1"</v>
      </c>
      <c r="E38" s="27" t="str">
        <f>'Fruit Trees'!E31</f>
        <v>7-8'</v>
      </c>
      <c r="F38" s="29">
        <f>'Fruit Trees'!F31</f>
        <v>1</v>
      </c>
      <c r="G38" s="27">
        <f>'Fruit Trees'!G31</f>
        <v>0</v>
      </c>
      <c r="H38" s="30">
        <f>'Fruit Trees'!H31</f>
        <v>70</v>
      </c>
      <c r="I38" s="27" t="str">
        <f t="shared" si="1"/>
        <v>Apple - Querina (standard) #10-2020</v>
      </c>
      <c r="J38" s="11"/>
      <c r="K38" s="30">
        <f t="shared" si="2"/>
        <v>0</v>
      </c>
    </row>
    <row r="39">
      <c r="B39" s="27" t="str">
        <f>'Fruit Trees'!A32</f>
        <v>Apple - Red Delicious</v>
      </c>
      <c r="C39" s="27" t="str">
        <f>'Fruit Trees'!C32</f>
        <v>#5</v>
      </c>
      <c r="D39" s="28" t="str">
        <f>'Fruit Trees'!D32</f>
        <v>0-1"</v>
      </c>
      <c r="E39" s="27" t="str">
        <f>'Fruit Trees'!E32</f>
        <v>0-8'</v>
      </c>
      <c r="F39" s="29">
        <f>'Fruit Trees'!F32</f>
        <v>0</v>
      </c>
      <c r="G39" s="27">
        <f>'Fruit Trees'!G32</f>
        <v>100</v>
      </c>
      <c r="H39" s="30">
        <f>'Fruit Trees'!H32</f>
        <v>45</v>
      </c>
      <c r="I39" s="27" t="str">
        <f t="shared" si="1"/>
        <v>Apple - Red Delicious #5-2020</v>
      </c>
      <c r="J39" s="11"/>
      <c r="K39" s="30">
        <f t="shared" si="2"/>
        <v>0</v>
      </c>
    </row>
    <row r="40">
      <c r="B40" s="27" t="str">
        <f>'Fruit Trees'!A33</f>
        <v>Apple - Winesap</v>
      </c>
      <c r="C40" s="27" t="str">
        <f>'Fruit Trees'!C33</f>
        <v>#5</v>
      </c>
      <c r="D40" s="28" t="str">
        <f>'Fruit Trees'!D33</f>
        <v>0.5-0.75"</v>
      </c>
      <c r="E40" s="27" t="str">
        <f>'Fruit Trees'!E33</f>
        <v>5-7'</v>
      </c>
      <c r="F40" s="29">
        <f>'Fruit Trees'!F33</f>
        <v>4</v>
      </c>
      <c r="G40" s="27">
        <f>'Fruit Trees'!G33</f>
        <v>100</v>
      </c>
      <c r="H40" s="30">
        <f>'Fruit Trees'!H33</f>
        <v>45</v>
      </c>
      <c r="I40" s="27" t="str">
        <f t="shared" si="1"/>
        <v>Apple - Winesap #5-2020</v>
      </c>
      <c r="J40" s="11"/>
      <c r="K40" s="30">
        <f t="shared" si="2"/>
        <v>0</v>
      </c>
    </row>
    <row r="41">
      <c r="B41" s="27" t="str">
        <f>'Fruit Trees'!A34</f>
        <v>Apple - Yellow Delicious</v>
      </c>
      <c r="C41" s="27" t="str">
        <f>'Fruit Trees'!C34</f>
        <v>#5</v>
      </c>
      <c r="D41" s="28" t="str">
        <f>'Fruit Trees'!D34</f>
        <v>0.5-0.5"</v>
      </c>
      <c r="E41" s="27" t="str">
        <f>'Fruit Trees'!E34</f>
        <v>4-5'</v>
      </c>
      <c r="F41" s="29">
        <f>'Fruit Trees'!F34</f>
        <v>0</v>
      </c>
      <c r="G41" s="27">
        <f>'Fruit Trees'!G34</f>
        <v>50</v>
      </c>
      <c r="H41" s="30">
        <f>'Fruit Trees'!H34</f>
        <v>45</v>
      </c>
      <c r="I41" s="27" t="str">
        <f t="shared" si="1"/>
        <v>Apple - Yellow Delicious #5-2020</v>
      </c>
      <c r="J41" s="11"/>
      <c r="K41" s="30">
        <f t="shared" si="2"/>
        <v>0</v>
      </c>
    </row>
    <row r="42">
      <c r="B42" s="27" t="str">
        <f>'Fruit Trees'!A35</f>
        <v>Apricot - Golden Amber</v>
      </c>
      <c r="C42" s="27" t="str">
        <f>'Fruit Trees'!C35</f>
        <v>#5</v>
      </c>
      <c r="D42" s="28" t="str">
        <f>'Fruit Trees'!D35</f>
        <v>1-1"</v>
      </c>
      <c r="E42" s="27" t="str">
        <f>'Fruit Trees'!E35</f>
        <v>7-9'</v>
      </c>
      <c r="F42" s="29">
        <f>'Fruit Trees'!F35</f>
        <v>2</v>
      </c>
      <c r="G42" s="27">
        <f>'Fruit Trees'!G35</f>
        <v>0</v>
      </c>
      <c r="H42" s="30">
        <f>'Fruit Trees'!H35</f>
        <v>45</v>
      </c>
      <c r="I42" s="27" t="str">
        <f t="shared" si="1"/>
        <v>Apricot - Golden Amber #5-2020</v>
      </c>
      <c r="J42" s="11"/>
      <c r="K42" s="30">
        <f t="shared" si="2"/>
        <v>0</v>
      </c>
    </row>
    <row r="43">
      <c r="B43" s="27" t="str">
        <f>'Fruit Trees'!A36</f>
        <v>Apricot - Harlayne</v>
      </c>
      <c r="C43" s="27" t="str">
        <f>'Fruit Trees'!C36</f>
        <v>#5</v>
      </c>
      <c r="D43" s="28" t="str">
        <f>'Fruit Trees'!D36</f>
        <v>0.75-0.75"</v>
      </c>
      <c r="E43" s="27" t="str">
        <f>'Fruit Trees'!E36</f>
        <v>5-7'</v>
      </c>
      <c r="F43" s="29">
        <f>'Fruit Trees'!F36</f>
        <v>2</v>
      </c>
      <c r="G43" s="27">
        <f>'Fruit Trees'!G36</f>
        <v>50</v>
      </c>
      <c r="H43" s="30">
        <f>'Fruit Trees'!H36</f>
        <v>45</v>
      </c>
      <c r="I43" s="27" t="str">
        <f t="shared" si="1"/>
        <v>Apricot - Harlayne #5-2020</v>
      </c>
      <c r="J43" s="11"/>
      <c r="K43" s="30">
        <f t="shared" si="2"/>
        <v>0</v>
      </c>
    </row>
    <row r="44">
      <c r="B44" s="27" t="str">
        <f>'Fruit Trees'!A37</f>
        <v>Apricot - Moorpark</v>
      </c>
      <c r="C44" s="27" t="str">
        <f>'Fruit Trees'!C37</f>
        <v>#7</v>
      </c>
      <c r="D44" s="28" t="str">
        <f>'Fruit Trees'!D37</f>
        <v>0.75-1"</v>
      </c>
      <c r="E44" s="27" t="str">
        <f>'Fruit Trees'!E37</f>
        <v>6-7'</v>
      </c>
      <c r="F44" s="29">
        <f>'Fruit Trees'!F37</f>
        <v>2</v>
      </c>
      <c r="G44" s="27">
        <f>'Fruit Trees'!G37</f>
        <v>0</v>
      </c>
      <c r="H44" s="30">
        <f>'Fruit Trees'!H37</f>
        <v>65</v>
      </c>
      <c r="I44" s="27" t="str">
        <f t="shared" si="1"/>
        <v>Apricot - Moorpark #7-2020</v>
      </c>
      <c r="J44" s="11"/>
      <c r="K44" s="30">
        <f t="shared" si="2"/>
        <v>0</v>
      </c>
    </row>
    <row r="45">
      <c r="B45" s="27" t="str">
        <f>'Fruit Trees'!A38</f>
        <v>Apricot - OrangeRed</v>
      </c>
      <c r="C45" s="27" t="str">
        <f>'Fruit Trees'!C38</f>
        <v>#5</v>
      </c>
      <c r="D45" s="28" t="str">
        <f>'Fruit Trees'!D38</f>
        <v>0.75-1"</v>
      </c>
      <c r="E45" s="27" t="str">
        <f>'Fruit Trees'!E38</f>
        <v>6-10'</v>
      </c>
      <c r="F45" s="29">
        <f>'Fruit Trees'!F38</f>
        <v>2</v>
      </c>
      <c r="G45" s="27">
        <f>'Fruit Trees'!G38</f>
        <v>25</v>
      </c>
      <c r="H45" s="30">
        <f>'Fruit Trees'!H38</f>
        <v>45</v>
      </c>
      <c r="I45" s="27" t="str">
        <f t="shared" si="1"/>
        <v>Apricot - OrangeRed #5-2020</v>
      </c>
      <c r="J45" s="11"/>
      <c r="K45" s="30">
        <f t="shared" si="2"/>
        <v>0</v>
      </c>
    </row>
    <row r="46">
      <c r="B46" s="27" t="str">
        <f>'Fruit Trees'!A39</f>
        <v>Apricot - OrangeRed</v>
      </c>
      <c r="C46" s="27" t="str">
        <f>'Fruit Trees'!C39</f>
        <v>#7</v>
      </c>
      <c r="D46" s="28" t="str">
        <f>'Fruit Trees'!D39</f>
        <v>0.75-1"</v>
      </c>
      <c r="E46" s="27" t="str">
        <f>'Fruit Trees'!E39</f>
        <v>5-10'</v>
      </c>
      <c r="F46" s="29">
        <f>'Fruit Trees'!F39</f>
        <v>2</v>
      </c>
      <c r="G46" s="27">
        <f>'Fruit Trees'!G39</f>
        <v>0</v>
      </c>
      <c r="H46" s="30">
        <f>'Fruit Trees'!H39</f>
        <v>65</v>
      </c>
      <c r="I46" s="27" t="str">
        <f t="shared" si="1"/>
        <v>Apricot - OrangeRed #7-2020</v>
      </c>
      <c r="J46" s="11"/>
      <c r="K46" s="30">
        <f t="shared" si="2"/>
        <v>0</v>
      </c>
    </row>
    <row r="47">
      <c r="B47" s="27" t="str">
        <f>'Fruit Trees'!A40</f>
        <v>Asian Pear - Hosui</v>
      </c>
      <c r="C47" s="27" t="str">
        <f>'Fruit Trees'!C40</f>
        <v>#5</v>
      </c>
      <c r="D47" s="28" t="str">
        <f>'Fruit Trees'!D40</f>
        <v>0.5-0.75"</v>
      </c>
      <c r="E47" s="27" t="str">
        <f>'Fruit Trees'!E40</f>
        <v>3-5'</v>
      </c>
      <c r="F47" s="29">
        <f>'Fruit Trees'!F40</f>
        <v>0</v>
      </c>
      <c r="G47" s="27">
        <f>'Fruit Trees'!G40</f>
        <v>100</v>
      </c>
      <c r="H47" s="30">
        <f>'Fruit Trees'!H40</f>
        <v>45</v>
      </c>
      <c r="I47" s="27" t="str">
        <f t="shared" si="1"/>
        <v>Asian Pear - Hosui #5-2020</v>
      </c>
      <c r="J47" s="11"/>
      <c r="K47" s="30">
        <f t="shared" si="2"/>
        <v>0</v>
      </c>
    </row>
    <row r="48">
      <c r="B48" s="27" t="str">
        <f>'Fruit Trees'!A41</f>
        <v>Asian Pear - Kosui</v>
      </c>
      <c r="C48" s="27" t="str">
        <f>'Fruit Trees'!C41</f>
        <v>#5</v>
      </c>
      <c r="D48" s="28" t="str">
        <f>'Fruit Trees'!D41</f>
        <v>0.5-0.75"</v>
      </c>
      <c r="E48" s="27" t="str">
        <f>'Fruit Trees'!E41</f>
        <v>3-5'</v>
      </c>
      <c r="F48" s="29">
        <f>'Fruit Trees'!F41</f>
        <v>0</v>
      </c>
      <c r="G48" s="27">
        <f>'Fruit Trees'!G41</f>
        <v>100</v>
      </c>
      <c r="H48" s="30">
        <f>'Fruit Trees'!H41</f>
        <v>45</v>
      </c>
      <c r="I48" s="27" t="str">
        <f t="shared" si="1"/>
        <v>Asian Pear - Kosui #5-2020</v>
      </c>
      <c r="J48" s="11"/>
      <c r="K48" s="30">
        <f t="shared" si="2"/>
        <v>0</v>
      </c>
    </row>
    <row r="49">
      <c r="B49" s="27" t="str">
        <f>'Fruit Trees'!A42</f>
        <v>Asian Pear - Kosui</v>
      </c>
      <c r="C49" s="27" t="str">
        <f>'Fruit Trees'!C42</f>
        <v>#7</v>
      </c>
      <c r="D49" s="28" t="str">
        <f>'Fruit Trees'!D42</f>
        <v>0.75-1"</v>
      </c>
      <c r="E49" s="27" t="str">
        <f>'Fruit Trees'!E42</f>
        <v>7-8'</v>
      </c>
      <c r="F49" s="29">
        <f>'Fruit Trees'!F42</f>
        <v>2</v>
      </c>
      <c r="G49" s="27">
        <f>'Fruit Trees'!G42</f>
        <v>0</v>
      </c>
      <c r="H49" s="30">
        <f>'Fruit Trees'!H42</f>
        <v>65</v>
      </c>
      <c r="I49" s="27" t="str">
        <f t="shared" si="1"/>
        <v>Asian Pear - Kosui #7-2020</v>
      </c>
      <c r="J49" s="11"/>
      <c r="K49" s="30">
        <f t="shared" si="2"/>
        <v>0</v>
      </c>
    </row>
    <row r="50">
      <c r="B50" s="27" t="str">
        <f>'Fruit Trees'!A43</f>
        <v>Asian Pear - Shinko</v>
      </c>
      <c r="C50" s="27" t="str">
        <f>'Fruit Trees'!C43</f>
        <v>#5</v>
      </c>
      <c r="D50" s="28" t="str">
        <f>'Fruit Trees'!D43</f>
        <v>0-0.5"</v>
      </c>
      <c r="E50" s="27" t="str">
        <f>'Fruit Trees'!E43</f>
        <v>0-5'</v>
      </c>
      <c r="F50" s="29">
        <f>'Fruit Trees'!F43</f>
        <v>0</v>
      </c>
      <c r="G50" s="27">
        <f>'Fruit Trees'!G43</f>
        <v>100</v>
      </c>
      <c r="H50" s="30">
        <f>'Fruit Trees'!H43</f>
        <v>45</v>
      </c>
      <c r="I50" s="27" t="str">
        <f t="shared" si="1"/>
        <v>Asian Pear - Shinko #5-2020</v>
      </c>
      <c r="J50" s="11"/>
      <c r="K50" s="30">
        <f t="shared" si="2"/>
        <v>0</v>
      </c>
    </row>
    <row r="51">
      <c r="B51" s="27" t="str">
        <f>'Fruit Trees'!A44</f>
        <v>Blackberry - Ouchita</v>
      </c>
      <c r="C51" s="27" t="str">
        <f>'Fruit Trees'!C44</f>
        <v>#5</v>
      </c>
      <c r="D51" s="28" t="str">
        <f>'Fruit Trees'!D44</f>
        <v>Multi</v>
      </c>
      <c r="E51" s="27" t="str">
        <f>'Fruit Trees'!E44</f>
        <v>1-3'</v>
      </c>
      <c r="F51" s="29">
        <f>'Fruit Trees'!F44</f>
        <v>17</v>
      </c>
      <c r="G51" s="27">
        <f>'Fruit Trees'!G44</f>
        <v>72</v>
      </c>
      <c r="H51" s="30">
        <f>'Fruit Trees'!H44</f>
        <v>32</v>
      </c>
      <c r="I51" s="27" t="str">
        <f t="shared" si="1"/>
        <v>Blackberry - Ouchita #5-2020</v>
      </c>
      <c r="J51" s="11"/>
      <c r="K51" s="30">
        <f t="shared" si="2"/>
        <v>0</v>
      </c>
    </row>
    <row r="52">
      <c r="B52" s="27" t="str">
        <f>'Fruit Trees'!A45</f>
        <v>Blackberry - Prime-ark 'Freedom'</v>
      </c>
      <c r="C52" s="27" t="str">
        <f>'Fruit Trees'!C45</f>
        <v>#5</v>
      </c>
      <c r="D52" s="28" t="str">
        <f>'Fruit Trees'!D45</f>
        <v>Multi</v>
      </c>
      <c r="E52" s="27" t="str">
        <f>'Fruit Trees'!E45</f>
        <v>1-2'</v>
      </c>
      <c r="F52" s="29">
        <f>'Fruit Trees'!F45</f>
        <v>7</v>
      </c>
      <c r="G52" s="27">
        <f>'Fruit Trees'!G45</f>
        <v>72</v>
      </c>
      <c r="H52" s="30">
        <f>'Fruit Trees'!H45</f>
        <v>32</v>
      </c>
      <c r="I52" s="27" t="str">
        <f t="shared" si="1"/>
        <v>Blackberry - Prime-ark 'Freedom' #5-2020</v>
      </c>
      <c r="J52" s="11"/>
      <c r="K52" s="30">
        <f t="shared" si="2"/>
        <v>0</v>
      </c>
    </row>
    <row r="53">
      <c r="B53" s="27" t="str">
        <f>'Fruit Trees'!A46</f>
        <v>Blueberry - Duke</v>
      </c>
      <c r="C53" s="27" t="str">
        <f>'Fruit Trees'!C46</f>
        <v>#3</v>
      </c>
      <c r="D53" s="28" t="str">
        <f>'Fruit Trees'!D46</f>
        <v>0-0"</v>
      </c>
      <c r="E53" s="27" t="str">
        <f>'Fruit Trees'!E46</f>
        <v>1-2'</v>
      </c>
      <c r="F53" s="31">
        <f>'Fruit Trees'!F46</f>
        <v>14</v>
      </c>
      <c r="G53" s="27">
        <f>'Fruit Trees'!G46</f>
        <v>0</v>
      </c>
      <c r="H53" s="30">
        <f>'Fruit Trees'!H46</f>
        <v>30</v>
      </c>
      <c r="I53" s="27" t="str">
        <f t="shared" si="1"/>
        <v>Blueberry - Duke #3-2020</v>
      </c>
      <c r="J53" s="11"/>
      <c r="K53" s="30">
        <f t="shared" si="2"/>
        <v>0</v>
      </c>
    </row>
    <row r="54">
      <c r="B54" s="27" t="str">
        <f>'Fruit Trees'!A47</f>
        <v>Chestnut - Chinese</v>
      </c>
      <c r="C54" s="27" t="str">
        <f>'Fruit Trees'!C47</f>
        <v>#5</v>
      </c>
      <c r="D54" s="28" t="str">
        <f>'Fruit Trees'!D47</f>
        <v>0.125-0.75"</v>
      </c>
      <c r="E54" s="27" t="str">
        <f>'Fruit Trees'!E47</f>
        <v>3-4.5'</v>
      </c>
      <c r="F54" s="29">
        <f>'Fruit Trees'!F47</f>
        <v>69</v>
      </c>
      <c r="G54" s="27">
        <f>'Fruit Trees'!G47</f>
        <v>0</v>
      </c>
      <c r="H54" s="30">
        <f>'Fruit Trees'!H47</f>
        <v>40</v>
      </c>
      <c r="I54" s="27" t="str">
        <f t="shared" si="1"/>
        <v>Chestnut - Chinese #5-2020</v>
      </c>
      <c r="J54" s="11"/>
      <c r="K54" s="30">
        <f t="shared" si="2"/>
        <v>0</v>
      </c>
    </row>
    <row r="55">
      <c r="B55" s="27" t="str">
        <f>'Fruit Trees'!A48</f>
        <v>Fig - Brown Turkey</v>
      </c>
      <c r="C55" s="27" t="str">
        <f>'Fruit Trees'!C48</f>
        <v>#5</v>
      </c>
      <c r="D55" s="32" t="str">
        <f>'Fruit Trees'!D48</f>
        <v>Multi</v>
      </c>
      <c r="E55" s="27" t="str">
        <f>'Fruit Trees'!E48</f>
        <v>0.5-1'</v>
      </c>
      <c r="F55" s="29">
        <f>'Fruit Trees'!F48</f>
        <v>23</v>
      </c>
      <c r="G55" s="27">
        <f>'Fruit Trees'!G48</f>
        <v>72</v>
      </c>
      <c r="H55" s="30">
        <f>'Fruit Trees'!H48</f>
        <v>35</v>
      </c>
      <c r="I55" s="27" t="str">
        <f t="shared" si="1"/>
        <v>Fig - Brown Turkey #5-2020</v>
      </c>
      <c r="J55" s="11"/>
      <c r="K55" s="30">
        <f t="shared" si="2"/>
        <v>0</v>
      </c>
    </row>
    <row r="56">
      <c r="B56" s="27" t="str">
        <f>'Fruit Trees'!A49</f>
        <v>Fig - Chicago Hardy</v>
      </c>
      <c r="C56" s="27" t="str">
        <f>'Fruit Trees'!C49</f>
        <v>#5</v>
      </c>
      <c r="D56" s="32" t="str">
        <f>'Fruit Trees'!D49</f>
        <v>Multi</v>
      </c>
      <c r="E56" s="27" t="str">
        <f>'Fruit Trees'!E49</f>
        <v>0.5-1'</v>
      </c>
      <c r="F56" s="29">
        <f>'Fruit Trees'!F49</f>
        <v>19</v>
      </c>
      <c r="G56" s="27">
        <f>'Fruit Trees'!G49</f>
        <v>144</v>
      </c>
      <c r="H56" s="30">
        <f>'Fruit Trees'!H49</f>
        <v>35</v>
      </c>
      <c r="I56" s="27" t="str">
        <f t="shared" si="1"/>
        <v>Fig - Chicago Hardy #5-2020</v>
      </c>
      <c r="J56" s="11"/>
      <c r="K56" s="30">
        <f t="shared" si="2"/>
        <v>0</v>
      </c>
    </row>
    <row r="57">
      <c r="B57" s="27" t="str">
        <f>'Fruit Trees'!A50</f>
        <v>Fig - Olympian</v>
      </c>
      <c r="C57" s="27" t="str">
        <f>'Fruit Trees'!C50</f>
        <v>#5</v>
      </c>
      <c r="D57" s="32" t="str">
        <f>'Fruit Trees'!D50</f>
        <v>Multi</v>
      </c>
      <c r="E57" s="27" t="str">
        <f>'Fruit Trees'!E50</f>
        <v>0-2'</v>
      </c>
      <c r="F57" s="29">
        <f>'Fruit Trees'!F50</f>
        <v>0</v>
      </c>
      <c r="G57" s="27">
        <f>'Fruit Trees'!G50</f>
        <v>72</v>
      </c>
      <c r="H57" s="30">
        <f>'Fruit Trees'!H50</f>
        <v>35</v>
      </c>
      <c r="I57" s="27" t="str">
        <f t="shared" si="1"/>
        <v>Fig - Olympian #5-2020</v>
      </c>
      <c r="J57" s="11"/>
      <c r="K57" s="30">
        <f t="shared" si="2"/>
        <v>0</v>
      </c>
    </row>
    <row r="58">
      <c r="B58" s="27" t="str">
        <f>'Fruit Trees'!A51</f>
        <v>Hardy Kiwi - Prolific</v>
      </c>
      <c r="C58" s="27" t="str">
        <f>'Fruit Trees'!C51</f>
        <v>#5</v>
      </c>
      <c r="D58" s="28" t="str">
        <f>'Fruit Trees'!D51</f>
        <v>0.5-0.5"</v>
      </c>
      <c r="E58" s="27" t="str">
        <f>'Fruit Trees'!E51</f>
        <v>3-4'</v>
      </c>
      <c r="F58" s="29">
        <f>'Fruit Trees'!F51</f>
        <v>0</v>
      </c>
      <c r="G58" s="27">
        <f>'Fruit Trees'!G51</f>
        <v>72</v>
      </c>
      <c r="H58" s="30">
        <f>'Fruit Trees'!H51</f>
        <v>40</v>
      </c>
      <c r="I58" s="27" t="str">
        <f t="shared" si="1"/>
        <v>Hardy Kiwi - Prolific #5-2020</v>
      </c>
      <c r="J58" s="11"/>
      <c r="K58" s="30">
        <f t="shared" si="2"/>
        <v>0</v>
      </c>
    </row>
    <row r="59">
      <c r="B59" s="27" t="str">
        <f>'Fruit Trees'!A52</f>
        <v>Jujube - Li</v>
      </c>
      <c r="C59" s="27" t="str">
        <f>'Fruit Trees'!C52</f>
        <v>#7</v>
      </c>
      <c r="D59" s="28" t="str">
        <f>'Fruit Trees'!D52</f>
        <v>0.38-0.38"</v>
      </c>
      <c r="E59" s="27" t="str">
        <f>'Fruit Trees'!E52</f>
        <v>1-2'</v>
      </c>
      <c r="F59" s="29">
        <f>'Fruit Trees'!F52</f>
        <v>0</v>
      </c>
      <c r="G59" s="27">
        <f>'Fruit Trees'!G52</f>
        <v>50</v>
      </c>
      <c r="H59" s="30">
        <f>'Fruit Trees'!H52</f>
        <v>80</v>
      </c>
      <c r="I59" s="27" t="str">
        <f t="shared" si="1"/>
        <v>Jujube - Li #7-2020</v>
      </c>
      <c r="J59" s="11"/>
      <c r="K59" s="30">
        <f t="shared" si="2"/>
        <v>0</v>
      </c>
    </row>
    <row r="60">
      <c r="B60" s="27" t="str">
        <f>'Fruit Trees'!A53</f>
        <v>Mulberry - Everbearing </v>
      </c>
      <c r="C60" s="27" t="str">
        <f>'Fruit Trees'!C53</f>
        <v>#5</v>
      </c>
      <c r="D60" s="28" t="str">
        <f>'Fruit Trees'!D53</f>
        <v>0.25-0.25"</v>
      </c>
      <c r="E60" s="27" t="str">
        <f>'Fruit Trees'!E53</f>
        <v>2-3'</v>
      </c>
      <c r="F60" s="29">
        <f>'Fruit Trees'!F53</f>
        <v>17</v>
      </c>
      <c r="G60" s="27">
        <f>'Fruit Trees'!G53</f>
        <v>72</v>
      </c>
      <c r="H60" s="30">
        <f>'Fruit Trees'!H53</f>
        <v>35</v>
      </c>
      <c r="I60" s="27" t="str">
        <f t="shared" si="1"/>
        <v>Mulberry - Everbearing  #5-2020</v>
      </c>
      <c r="J60" s="11"/>
      <c r="K60" s="30">
        <f t="shared" si="2"/>
        <v>0</v>
      </c>
    </row>
    <row r="61">
      <c r="B61" s="27" t="str">
        <f>'Fruit Trees'!A54</f>
        <v>Mulberry - Red</v>
      </c>
      <c r="C61" s="27" t="str">
        <f>'Fruit Trees'!C54</f>
        <v>#5</v>
      </c>
      <c r="D61" s="28" t="str">
        <f>'Fruit Trees'!D54</f>
        <v>0.25-0.5"</v>
      </c>
      <c r="E61" s="27" t="str">
        <f>'Fruit Trees'!E54</f>
        <v>3-5'</v>
      </c>
      <c r="F61" s="29">
        <f>'Fruit Trees'!F54</f>
        <v>1</v>
      </c>
      <c r="G61" s="27">
        <f>'Fruit Trees'!G54</f>
        <v>50</v>
      </c>
      <c r="H61" s="30">
        <f>'Fruit Trees'!H54</f>
        <v>40</v>
      </c>
      <c r="I61" s="27" t="str">
        <f t="shared" si="1"/>
        <v>Mulberry - Red #5-2020</v>
      </c>
      <c r="J61" s="11"/>
      <c r="K61" s="30">
        <f t="shared" si="2"/>
        <v>0</v>
      </c>
    </row>
    <row r="62">
      <c r="B62" s="27" t="str">
        <f>'Fruit Trees'!A55</f>
        <v>Mulberry - White</v>
      </c>
      <c r="C62" s="27" t="str">
        <f>'Fruit Trees'!C55</f>
        <v>#5</v>
      </c>
      <c r="D62" s="28" t="str">
        <f>'Fruit Trees'!D55</f>
        <v>0.25-0.75"</v>
      </c>
      <c r="E62" s="27" t="str">
        <f>'Fruit Trees'!E55</f>
        <v>3-4.5'</v>
      </c>
      <c r="F62" s="29">
        <f>'Fruit Trees'!F55</f>
        <v>22</v>
      </c>
      <c r="G62" s="27">
        <f>'Fruit Trees'!G55</f>
        <v>50</v>
      </c>
      <c r="H62" s="30">
        <f>'Fruit Trees'!H55</f>
        <v>40</v>
      </c>
      <c r="I62" s="27" t="str">
        <f t="shared" si="1"/>
        <v>Mulberry - White #5-2020</v>
      </c>
      <c r="J62" s="11"/>
      <c r="K62" s="30">
        <f t="shared" si="2"/>
        <v>0</v>
      </c>
    </row>
    <row r="63">
      <c r="B63" s="27" t="str">
        <f>'Fruit Trees'!A56</f>
        <v>Nectarine - Fantasia</v>
      </c>
      <c r="C63" s="27" t="str">
        <f>'Fruit Trees'!C56</f>
        <v>#5</v>
      </c>
      <c r="D63" s="28" t="str">
        <f>'Fruit Trees'!D56</f>
        <v>0.75-1"</v>
      </c>
      <c r="E63" s="27" t="str">
        <f>'Fruit Trees'!E56</f>
        <v>6-7'</v>
      </c>
      <c r="F63" s="29">
        <f>'Fruit Trees'!F56</f>
        <v>65</v>
      </c>
      <c r="G63" s="27">
        <f>'Fruit Trees'!G56</f>
        <v>50</v>
      </c>
      <c r="H63" s="30">
        <f>'Fruit Trees'!H56</f>
        <v>45</v>
      </c>
      <c r="I63" s="27" t="str">
        <f t="shared" si="1"/>
        <v>Nectarine - Fantasia #5-2020</v>
      </c>
      <c r="J63" s="11"/>
      <c r="K63" s="30">
        <f t="shared" si="2"/>
        <v>0</v>
      </c>
    </row>
    <row r="64">
      <c r="B64" s="27" t="str">
        <f>'Fruit Trees'!A57</f>
        <v>Nectarine - Fantasia</v>
      </c>
      <c r="C64" s="27" t="str">
        <f>'Fruit Trees'!C57</f>
        <v>#7</v>
      </c>
      <c r="D64" s="28" t="str">
        <f>'Fruit Trees'!D57</f>
        <v>1.25-1.25"</v>
      </c>
      <c r="E64" s="27" t="str">
        <f>'Fruit Trees'!E57</f>
        <v>6-7'</v>
      </c>
      <c r="F64" s="29">
        <f>'Fruit Trees'!F57</f>
        <v>8</v>
      </c>
      <c r="G64" s="27">
        <f>'Fruit Trees'!G57</f>
        <v>0</v>
      </c>
      <c r="H64" s="30">
        <f>'Fruit Trees'!H57</f>
        <v>70</v>
      </c>
      <c r="I64" s="27" t="str">
        <f t="shared" si="1"/>
        <v>Nectarine - Fantasia #7-2020</v>
      </c>
      <c r="J64" s="11"/>
      <c r="K64" s="30">
        <f t="shared" si="2"/>
        <v>0</v>
      </c>
    </row>
    <row r="65">
      <c r="B65" s="27" t="str">
        <f>'Fruit Trees'!A58</f>
        <v>Nectarine - Flavortop</v>
      </c>
      <c r="C65" s="27" t="str">
        <f>'Fruit Trees'!C58</f>
        <v>#5</v>
      </c>
      <c r="D65" s="28" t="str">
        <f>'Fruit Trees'!D58</f>
        <v>0.75-1"</v>
      </c>
      <c r="E65" s="27" t="str">
        <f>'Fruit Trees'!E58</f>
        <v>5-8'</v>
      </c>
      <c r="F65" s="29">
        <f>'Fruit Trees'!F58</f>
        <v>1</v>
      </c>
      <c r="G65" s="27">
        <f>'Fruit Trees'!G58</f>
        <v>50</v>
      </c>
      <c r="H65" s="30">
        <f>'Fruit Trees'!H58</f>
        <v>45</v>
      </c>
      <c r="I65" s="27" t="str">
        <f t="shared" si="1"/>
        <v>Nectarine - Flavortop #5-2020</v>
      </c>
      <c r="J65" s="11"/>
      <c r="K65" s="30">
        <f t="shared" si="2"/>
        <v>0</v>
      </c>
    </row>
    <row r="66">
      <c r="B66" s="27" t="str">
        <f>'Fruit Trees'!A59</f>
        <v>Nectarine - Redgold</v>
      </c>
      <c r="C66" s="27" t="str">
        <f>'Fruit Trees'!C59</f>
        <v>#5</v>
      </c>
      <c r="D66" s="28" t="str">
        <f>'Fruit Trees'!D59</f>
        <v>0.75-1"</v>
      </c>
      <c r="E66" s="27" t="str">
        <f>'Fruit Trees'!E59</f>
        <v>4-5'</v>
      </c>
      <c r="F66" s="29">
        <f>'Fruit Trees'!F59</f>
        <v>8</v>
      </c>
      <c r="G66" s="27">
        <f>'Fruit Trees'!G59</f>
        <v>0</v>
      </c>
      <c r="H66" s="30">
        <f>'Fruit Trees'!H59</f>
        <v>45</v>
      </c>
      <c r="I66" s="27" t="str">
        <f t="shared" si="1"/>
        <v>Nectarine - Redgold #5-2020</v>
      </c>
      <c r="J66" s="11"/>
      <c r="K66" s="30">
        <f t="shared" si="2"/>
        <v>0</v>
      </c>
    </row>
    <row r="67">
      <c r="B67" s="27" t="str">
        <f>'Fruit Trees'!A60</f>
        <v>Nectarine - Sunglo</v>
      </c>
      <c r="C67" s="27" t="str">
        <f>'Fruit Trees'!C60</f>
        <v>#5</v>
      </c>
      <c r="D67" s="28" t="str">
        <f>'Fruit Trees'!D60</f>
        <v>0.75-1"</v>
      </c>
      <c r="E67" s="27" t="str">
        <f>'Fruit Trees'!E60</f>
        <v>7-8'</v>
      </c>
      <c r="F67" s="29">
        <f>'Fruit Trees'!F60</f>
        <v>4</v>
      </c>
      <c r="G67" s="27">
        <f>'Fruit Trees'!G60</f>
        <v>20</v>
      </c>
      <c r="H67" s="30">
        <f>'Fruit Trees'!H60</f>
        <v>45</v>
      </c>
      <c r="I67" s="27" t="str">
        <f t="shared" si="1"/>
        <v>Nectarine - Sunglo #5-2020</v>
      </c>
      <c r="J67" s="11"/>
      <c r="K67" s="30">
        <f t="shared" si="2"/>
        <v>0</v>
      </c>
    </row>
    <row r="68">
      <c r="B68" s="27" t="str">
        <f>'Fruit Trees'!A61</f>
        <v>Nectarine (white) - Arctic Glo</v>
      </c>
      <c r="C68" s="27" t="str">
        <f>'Fruit Trees'!C61</f>
        <v>#5</v>
      </c>
      <c r="D68" s="28" t="str">
        <f>'Fruit Trees'!D61</f>
        <v>0.75-1"</v>
      </c>
      <c r="E68" s="27" t="str">
        <f>'Fruit Trees'!E61</f>
        <v>6-7'</v>
      </c>
      <c r="F68" s="29">
        <f>'Fruit Trees'!F61</f>
        <v>1</v>
      </c>
      <c r="G68" s="27">
        <f>'Fruit Trees'!G61</f>
        <v>0</v>
      </c>
      <c r="H68" s="30">
        <f>'Fruit Trees'!H61</f>
        <v>45</v>
      </c>
      <c r="I68" s="27" t="str">
        <f t="shared" si="1"/>
        <v>Nectarine (white) - Arctic Glo #5-2020</v>
      </c>
      <c r="J68" s="11"/>
      <c r="K68" s="30">
        <f t="shared" si="2"/>
        <v>0</v>
      </c>
    </row>
    <row r="69">
      <c r="B69" s="27" t="str">
        <f>'Fruit Trees'!A62</f>
        <v>Nectarine (White) - Arctic Sweet</v>
      </c>
      <c r="C69" s="27" t="str">
        <f>'Fruit Trees'!C62</f>
        <v>#5</v>
      </c>
      <c r="D69" s="28" t="str">
        <f>'Fruit Trees'!D62</f>
        <v>0.5-0.75"</v>
      </c>
      <c r="E69" s="27" t="str">
        <f>'Fruit Trees'!E62</f>
        <v>4-5'</v>
      </c>
      <c r="F69" s="29">
        <f>'Fruit Trees'!F62</f>
        <v>0</v>
      </c>
      <c r="G69" s="27">
        <f>'Fruit Trees'!G62</f>
        <v>50</v>
      </c>
      <c r="H69" s="30">
        <f>'Fruit Trees'!H62</f>
        <v>45</v>
      </c>
      <c r="I69" s="27" t="str">
        <f t="shared" si="1"/>
        <v>Nectarine (White) - Arctic Sweet #5-2020</v>
      </c>
      <c r="J69" s="11"/>
      <c r="K69" s="30">
        <f t="shared" si="2"/>
        <v>0</v>
      </c>
    </row>
    <row r="70">
      <c r="B70" s="27" t="str">
        <f>'Fruit Trees'!A63</f>
        <v>Nectarine (White) - Arctic Sweet</v>
      </c>
      <c r="C70" s="27" t="str">
        <f>'Fruit Trees'!C63</f>
        <v>#7</v>
      </c>
      <c r="D70" s="28" t="str">
        <f>'Fruit Trees'!D63</f>
        <v>1-1.25"</v>
      </c>
      <c r="E70" s="27" t="str">
        <f>'Fruit Trees'!E63</f>
        <v>8-8'</v>
      </c>
      <c r="F70" s="29">
        <f>'Fruit Trees'!F63</f>
        <v>5</v>
      </c>
      <c r="G70" s="27">
        <f>'Fruit Trees'!G63</f>
        <v>0</v>
      </c>
      <c r="H70" s="30">
        <f>'Fruit Trees'!H63</f>
        <v>65</v>
      </c>
      <c r="I70" s="27" t="str">
        <f t="shared" si="1"/>
        <v>Nectarine (White) - Arctic Sweet #7-2020</v>
      </c>
      <c r="J70" s="11"/>
      <c r="K70" s="30">
        <f t="shared" si="2"/>
        <v>0</v>
      </c>
    </row>
    <row r="71">
      <c r="B71" s="27" t="str">
        <f>'Fruit Trees'!A64</f>
        <v>Pawpaw</v>
      </c>
      <c r="C71" s="27" t="str">
        <f>'Fruit Trees'!C64</f>
        <v>#2</v>
      </c>
      <c r="D71" s="28" t="str">
        <f>'Fruit Trees'!D64</f>
        <v>0.375-0.5"</v>
      </c>
      <c r="E71" s="27" t="str">
        <f>'Fruit Trees'!E64</f>
        <v>0.5-1'</v>
      </c>
      <c r="F71" s="31">
        <f>'Fruit Trees'!F64</f>
        <v>20</v>
      </c>
      <c r="G71" s="27">
        <f>'Fruit Trees'!G64</f>
        <v>0</v>
      </c>
      <c r="H71" s="30">
        <f>'Fruit Trees'!H64</f>
        <v>30</v>
      </c>
      <c r="I71" s="27" t="str">
        <f t="shared" si="1"/>
        <v>Pawpaw #2-2020</v>
      </c>
      <c r="J71" s="11"/>
      <c r="K71" s="30">
        <f t="shared" si="2"/>
        <v>0</v>
      </c>
    </row>
    <row r="72">
      <c r="B72" s="27" t="str">
        <f>'Fruit Trees'!A65</f>
        <v>Pawpaw - Allegheny</v>
      </c>
      <c r="C72" s="27" t="str">
        <f>'Fruit Trees'!C65</f>
        <v>#5</v>
      </c>
      <c r="D72" s="28" t="str">
        <f>'Fruit Trees'!D65</f>
        <v>0-0.375"</v>
      </c>
      <c r="E72" s="27" t="str">
        <f>'Fruit Trees'!E65</f>
        <v>0-2'</v>
      </c>
      <c r="F72" s="29">
        <f>'Fruit Trees'!F65</f>
        <v>0</v>
      </c>
      <c r="G72" s="27">
        <f>'Fruit Trees'!G65</f>
        <v>12</v>
      </c>
      <c r="H72" s="30">
        <f>'Fruit Trees'!H65</f>
        <v>80</v>
      </c>
      <c r="I72" s="27" t="str">
        <f t="shared" si="1"/>
        <v>Pawpaw - Allegheny #5-2020</v>
      </c>
      <c r="J72" s="11"/>
      <c r="K72" s="30">
        <f t="shared" si="2"/>
        <v>0</v>
      </c>
    </row>
    <row r="73">
      <c r="B73" s="27" t="str">
        <f>'Fruit Trees'!A66</f>
        <v>Pawpaw - Pennsylvania Gold</v>
      </c>
      <c r="C73" s="27" t="str">
        <f>'Fruit Trees'!C66</f>
        <v>#5</v>
      </c>
      <c r="D73" s="28" t="str">
        <f>'Fruit Trees'!D66</f>
        <v>0.25-0.25"</v>
      </c>
      <c r="E73" s="27" t="str">
        <f>'Fruit Trees'!E66</f>
        <v>1-2'</v>
      </c>
      <c r="F73" s="29">
        <f>'Fruit Trees'!F66</f>
        <v>0</v>
      </c>
      <c r="G73" s="27">
        <f>'Fruit Trees'!G66</f>
        <v>30</v>
      </c>
      <c r="H73" s="30">
        <f>'Fruit Trees'!H66</f>
        <v>80</v>
      </c>
      <c r="I73" s="27" t="str">
        <f t="shared" si="1"/>
        <v>Pawpaw - Pennsylvania Gold #5-2020</v>
      </c>
      <c r="J73" s="11"/>
      <c r="K73" s="30">
        <f t="shared" si="2"/>
        <v>0</v>
      </c>
    </row>
    <row r="74">
      <c r="B74" s="27" t="str">
        <f>'Fruit Trees'!A67</f>
        <v>Peach - Contender</v>
      </c>
      <c r="C74" s="27" t="str">
        <f>'Fruit Trees'!C67</f>
        <v>#5</v>
      </c>
      <c r="D74" s="28" t="str">
        <f>'Fruit Trees'!D67</f>
        <v>0.5-1"</v>
      </c>
      <c r="E74" s="27" t="str">
        <f>'Fruit Trees'!E67</f>
        <v>4-7'</v>
      </c>
      <c r="F74" s="29">
        <f>'Fruit Trees'!F67</f>
        <v>2</v>
      </c>
      <c r="G74" s="27">
        <f>'Fruit Trees'!G67</f>
        <v>100</v>
      </c>
      <c r="H74" s="30">
        <f>'Fruit Trees'!H67</f>
        <v>45</v>
      </c>
      <c r="I74" s="27" t="str">
        <f t="shared" si="1"/>
        <v>Peach - Contender #5-2020</v>
      </c>
      <c r="J74" s="11"/>
      <c r="K74" s="30">
        <f t="shared" si="2"/>
        <v>0</v>
      </c>
    </row>
    <row r="75">
      <c r="B75" s="27" t="str">
        <f>'Fruit Trees'!A68</f>
        <v>Peach - Cresthaven</v>
      </c>
      <c r="C75" s="27" t="str">
        <f>'Fruit Trees'!C68</f>
        <v>#5</v>
      </c>
      <c r="D75" s="28" t="str">
        <f>'Fruit Trees'!D68</f>
        <v>0-0.75"</v>
      </c>
      <c r="E75" s="27" t="str">
        <f>'Fruit Trees'!E68</f>
        <v>0-5'</v>
      </c>
      <c r="F75" s="29">
        <f>'Fruit Trees'!F68</f>
        <v>0</v>
      </c>
      <c r="G75" s="27">
        <f>'Fruit Trees'!G68</f>
        <v>100</v>
      </c>
      <c r="H75" s="30">
        <f>'Fruit Trees'!H68</f>
        <v>45</v>
      </c>
      <c r="I75" s="27" t="str">
        <f t="shared" si="1"/>
        <v>Peach - Cresthaven #5-2020</v>
      </c>
      <c r="J75" s="11"/>
      <c r="K75" s="30">
        <f t="shared" si="2"/>
        <v>0</v>
      </c>
    </row>
    <row r="76">
      <c r="B76" s="27" t="str">
        <f>'Fruit Trees'!A69</f>
        <v>Peach - Harvester</v>
      </c>
      <c r="C76" s="27" t="str">
        <f>'Fruit Trees'!C69</f>
        <v>#5</v>
      </c>
      <c r="D76" s="28" t="str">
        <f>'Fruit Trees'!D69</f>
        <v>0.75-1"</v>
      </c>
      <c r="E76" s="27" t="str">
        <f>'Fruit Trees'!E69</f>
        <v>6-7'</v>
      </c>
      <c r="F76" s="29">
        <f>'Fruit Trees'!F69</f>
        <v>7</v>
      </c>
      <c r="G76" s="27">
        <f>'Fruit Trees'!G69</f>
        <v>100</v>
      </c>
      <c r="H76" s="30">
        <f>'Fruit Trees'!H69</f>
        <v>45</v>
      </c>
      <c r="I76" s="27" t="str">
        <f t="shared" si="1"/>
        <v>Peach - Harvester #5-2020</v>
      </c>
      <c r="J76" s="11"/>
      <c r="K76" s="30">
        <f t="shared" si="2"/>
        <v>0</v>
      </c>
    </row>
    <row r="77">
      <c r="B77" s="27" t="str">
        <f>'Fruit Trees'!A70</f>
        <v>Peach (Donut White) - Galaxy</v>
      </c>
      <c r="C77" s="27" t="str">
        <f>'Fruit Trees'!C70</f>
        <v>#5</v>
      </c>
      <c r="D77" s="28" t="str">
        <f>'Fruit Trees'!D70</f>
        <v>0.5-0.75"</v>
      </c>
      <c r="E77" s="27" t="str">
        <f>'Fruit Trees'!E70</f>
        <v>4-5'</v>
      </c>
      <c r="F77" s="29">
        <f>'Fruit Trees'!F70</f>
        <v>3</v>
      </c>
      <c r="G77" s="27">
        <f>'Fruit Trees'!G70</f>
        <v>50</v>
      </c>
      <c r="H77" s="30">
        <f>'Fruit Trees'!H70</f>
        <v>50</v>
      </c>
      <c r="I77" s="27" t="str">
        <f t="shared" si="1"/>
        <v>Peach (Donut White) - Galaxy #5-2020</v>
      </c>
      <c r="J77" s="11"/>
      <c r="K77" s="30">
        <f t="shared" si="2"/>
        <v>0</v>
      </c>
    </row>
    <row r="78">
      <c r="B78" s="27" t="str">
        <f>'Fruit Trees'!A71</f>
        <v>Peach (White) - Snow Giant</v>
      </c>
      <c r="C78" s="27" t="str">
        <f>'Fruit Trees'!C71</f>
        <v>#5</v>
      </c>
      <c r="D78" s="28" t="str">
        <f>'Fruit Trees'!D71</f>
        <v>0.75-1"</v>
      </c>
      <c r="E78" s="27" t="str">
        <f>'Fruit Trees'!E71</f>
        <v>5-6'</v>
      </c>
      <c r="F78" s="29">
        <f>'Fruit Trees'!F71</f>
        <v>1</v>
      </c>
      <c r="G78" s="27">
        <f>'Fruit Trees'!G71</f>
        <v>0</v>
      </c>
      <c r="H78" s="30">
        <f>'Fruit Trees'!H71</f>
        <v>45</v>
      </c>
      <c r="I78" s="27" t="str">
        <f t="shared" si="1"/>
        <v>Peach (White) - Snow Giant #5-2020</v>
      </c>
      <c r="J78" s="11"/>
      <c r="K78" s="30">
        <f t="shared" si="2"/>
        <v>0</v>
      </c>
    </row>
    <row r="79">
      <c r="B79" s="27" t="str">
        <f>'Fruit Trees'!A72</f>
        <v>Peach (White) - Sugar Giant</v>
      </c>
      <c r="C79" s="27" t="str">
        <f>'Fruit Trees'!C72</f>
        <v>#5</v>
      </c>
      <c r="D79" s="28" t="str">
        <f>'Fruit Trees'!D72</f>
        <v>0.75-1"</v>
      </c>
      <c r="E79" s="27" t="str">
        <f>'Fruit Trees'!E72</f>
        <v>5-5'</v>
      </c>
      <c r="F79" s="29">
        <f>'Fruit Trees'!F72</f>
        <v>7</v>
      </c>
      <c r="G79" s="27">
        <f>'Fruit Trees'!G72</f>
        <v>100</v>
      </c>
      <c r="H79" s="30">
        <f>'Fruit Trees'!H72</f>
        <v>45</v>
      </c>
      <c r="I79" s="27" t="str">
        <f t="shared" si="1"/>
        <v>Peach (White) - Sugar Giant #5-2020</v>
      </c>
      <c r="J79" s="11"/>
      <c r="K79" s="30">
        <f t="shared" si="2"/>
        <v>0</v>
      </c>
    </row>
    <row r="80">
      <c r="B80" s="27" t="str">
        <f>'Fruit Trees'!A73</f>
        <v>Peach (White) - White Lady</v>
      </c>
      <c r="C80" s="27" t="str">
        <f>'Fruit Trees'!C73</f>
        <v>#5</v>
      </c>
      <c r="D80" s="28" t="str">
        <f>'Fruit Trees'!D73</f>
        <v>1-1"</v>
      </c>
      <c r="E80" s="27" t="str">
        <f>'Fruit Trees'!E73</f>
        <v>6-7'</v>
      </c>
      <c r="F80" s="29">
        <f>'Fruit Trees'!F73</f>
        <v>11</v>
      </c>
      <c r="G80" s="27">
        <f>'Fruit Trees'!G73</f>
        <v>100</v>
      </c>
      <c r="H80" s="30">
        <f>'Fruit Trees'!H73</f>
        <v>45</v>
      </c>
      <c r="I80" s="27" t="str">
        <f t="shared" si="1"/>
        <v>Peach (White) - White Lady #5-2020</v>
      </c>
      <c r="J80" s="11"/>
      <c r="K80" s="30">
        <f t="shared" si="2"/>
        <v>0</v>
      </c>
    </row>
    <row r="81">
      <c r="B81" s="27" t="str">
        <f>'Fruit Trees'!A74</f>
        <v>Pear - Ayers</v>
      </c>
      <c r="C81" s="27" t="str">
        <f>'Fruit Trees'!C74</f>
        <v>#5</v>
      </c>
      <c r="D81" s="28" t="str">
        <f>'Fruit Trees'!D74</f>
        <v>0.75-1"</v>
      </c>
      <c r="E81" s="27" t="str">
        <f>'Fruit Trees'!E74</f>
        <v>7-8'</v>
      </c>
      <c r="F81" s="29">
        <f>'Fruit Trees'!F74</f>
        <v>4</v>
      </c>
      <c r="G81" s="27">
        <f>'Fruit Trees'!G74</f>
        <v>50</v>
      </c>
      <c r="H81" s="30">
        <f>'Fruit Trees'!H74</f>
        <v>45</v>
      </c>
      <c r="I81" s="27" t="str">
        <f t="shared" si="1"/>
        <v>Pear - Ayers #5-2020</v>
      </c>
      <c r="J81" s="11"/>
      <c r="K81" s="30">
        <f t="shared" si="2"/>
        <v>0</v>
      </c>
    </row>
    <row r="82">
      <c r="B82" s="27" t="str">
        <f>'Fruit Trees'!A75</f>
        <v>Pear - Bartlett</v>
      </c>
      <c r="C82" s="27" t="str">
        <f>'Fruit Trees'!C75</f>
        <v>#5</v>
      </c>
      <c r="D82" s="28" t="str">
        <f>'Fruit Trees'!D75</f>
        <v>0.5-0.75"</v>
      </c>
      <c r="E82" s="27" t="str">
        <f>'Fruit Trees'!E75</f>
        <v>5-8'</v>
      </c>
      <c r="F82" s="29">
        <f>'Fruit Trees'!F75</f>
        <v>1</v>
      </c>
      <c r="G82" s="27">
        <f>'Fruit Trees'!G75</f>
        <v>150</v>
      </c>
      <c r="H82" s="30">
        <f>'Fruit Trees'!H75</f>
        <v>45</v>
      </c>
      <c r="I82" s="27" t="str">
        <f t="shared" si="1"/>
        <v>Pear - Bartlett #5-2020</v>
      </c>
      <c r="J82" s="11"/>
      <c r="K82" s="30">
        <f t="shared" si="2"/>
        <v>0</v>
      </c>
    </row>
    <row r="83">
      <c r="B83" s="27" t="str">
        <f>'Fruit Trees'!A76</f>
        <v>Pear - Golden Russet Bosc</v>
      </c>
      <c r="C83" s="27" t="str">
        <f>'Fruit Trees'!C76</f>
        <v>#5</v>
      </c>
      <c r="D83" s="28" t="str">
        <f>'Fruit Trees'!D76</f>
        <v>0.75-1"</v>
      </c>
      <c r="E83" s="27" t="str">
        <f>'Fruit Trees'!E76</f>
        <v>7-8'</v>
      </c>
      <c r="F83" s="29">
        <f>'Fruit Trees'!F76</f>
        <v>3</v>
      </c>
      <c r="G83" s="27">
        <f>'Fruit Trees'!G76</f>
        <v>100</v>
      </c>
      <c r="H83" s="30">
        <f>'Fruit Trees'!H76</f>
        <v>45</v>
      </c>
      <c r="I83" s="27" t="str">
        <f t="shared" si="1"/>
        <v>Pear - Golden Russet Bosc #5-2020</v>
      </c>
      <c r="J83" s="11"/>
      <c r="K83" s="30">
        <f t="shared" si="2"/>
        <v>0</v>
      </c>
    </row>
    <row r="84">
      <c r="B84" s="27" t="str">
        <f>'Fruit Trees'!A77</f>
        <v>Pear - Kieffer</v>
      </c>
      <c r="C84" s="27" t="str">
        <f>'Fruit Trees'!C77</f>
        <v>#7</v>
      </c>
      <c r="D84" s="28" t="str">
        <f>'Fruit Trees'!D77</f>
        <v>0-0.5"</v>
      </c>
      <c r="E84" s="27" t="str">
        <f>'Fruit Trees'!E77</f>
        <v>0-7'</v>
      </c>
      <c r="F84" s="29">
        <f>'Fruit Trees'!F77</f>
        <v>0</v>
      </c>
      <c r="G84" s="27">
        <f>'Fruit Trees'!G77</f>
        <v>10</v>
      </c>
      <c r="H84" s="30">
        <f>'Fruit Trees'!H77</f>
        <v>60</v>
      </c>
      <c r="I84" s="27" t="str">
        <f t="shared" si="1"/>
        <v>Pear - Kieffer #7-2020</v>
      </c>
      <c r="J84" s="11"/>
      <c r="K84" s="30">
        <f t="shared" si="2"/>
        <v>0</v>
      </c>
    </row>
    <row r="85">
      <c r="B85" s="27" t="str">
        <f>'Fruit Trees'!A78</f>
        <v>Pecan - Choctaw</v>
      </c>
      <c r="C85" s="27" t="str">
        <f>'Fruit Trees'!C78</f>
        <v>#5 tall plastic</v>
      </c>
      <c r="D85" s="28" t="str">
        <f>'Fruit Trees'!D78</f>
        <v>0.75-1"</v>
      </c>
      <c r="E85" s="27" t="str">
        <f>'Fruit Trees'!E78</f>
        <v>8-10'</v>
      </c>
      <c r="F85" s="29">
        <f>'Fruit Trees'!F78</f>
        <v>2</v>
      </c>
      <c r="G85" s="27">
        <f>'Fruit Trees'!G78</f>
        <v>0</v>
      </c>
      <c r="H85" s="30">
        <f>'Fruit Trees'!H78</f>
        <v>100</v>
      </c>
      <c r="I85" s="27" t="str">
        <f t="shared" si="1"/>
        <v>Pecan - Choctaw #5 tall plastic-2020</v>
      </c>
      <c r="J85" s="11"/>
      <c r="K85" s="30">
        <f t="shared" si="2"/>
        <v>0</v>
      </c>
    </row>
    <row r="86">
      <c r="B86" s="27" t="str">
        <f>'Fruit Trees'!A79</f>
        <v>Pecan - Pawnee</v>
      </c>
      <c r="C86" s="27" t="str">
        <f>'Fruit Trees'!C79</f>
        <v>#5 Tall Plastic</v>
      </c>
      <c r="D86" s="28" t="str">
        <f>'Fruit Trees'!D79</f>
        <v>0.75-1"</v>
      </c>
      <c r="E86" s="27" t="str">
        <f>'Fruit Trees'!E79</f>
        <v>6-8'</v>
      </c>
      <c r="F86" s="29">
        <f>'Fruit Trees'!F79</f>
        <v>2</v>
      </c>
      <c r="G86" s="27">
        <f>'Fruit Trees'!G79</f>
        <v>0</v>
      </c>
      <c r="H86" s="30">
        <f>'Fruit Trees'!H79</f>
        <v>100</v>
      </c>
      <c r="I86" s="27" t="str">
        <f t="shared" si="1"/>
        <v>Pecan - Pawnee #5 Tall Plastic-2020</v>
      </c>
      <c r="J86" s="11"/>
      <c r="K86" s="30">
        <f t="shared" si="2"/>
        <v>0</v>
      </c>
    </row>
    <row r="87">
      <c r="B87" s="27" t="str">
        <f>'Fruit Trees'!A80</f>
        <v>Persimmon - Fuyu</v>
      </c>
      <c r="C87" s="27" t="str">
        <f>'Fruit Trees'!C80</f>
        <v>#5</v>
      </c>
      <c r="D87" s="28" t="str">
        <f>'Fruit Trees'!D80</f>
        <v>0.25-0.5"</v>
      </c>
      <c r="E87" s="27" t="str">
        <f>'Fruit Trees'!E80</f>
        <v>2-5'</v>
      </c>
      <c r="F87" s="29">
        <f>'Fruit Trees'!F80</f>
        <v>19</v>
      </c>
      <c r="G87" s="27">
        <f>'Fruit Trees'!G80</f>
        <v>150</v>
      </c>
      <c r="H87" s="30">
        <f>'Fruit Trees'!H80</f>
        <v>80</v>
      </c>
      <c r="I87" s="27" t="str">
        <f t="shared" si="1"/>
        <v>Persimmon - Fuyu #5-2020</v>
      </c>
      <c r="J87" s="11"/>
      <c r="K87" s="30">
        <f t="shared" si="2"/>
        <v>0</v>
      </c>
    </row>
    <row r="88">
      <c r="B88" s="27" t="str">
        <f>'Fruit Trees'!A81</f>
        <v>Persimmon - Fuyu</v>
      </c>
      <c r="C88" s="27" t="str">
        <f>'Fruit Trees'!C81</f>
        <v>#7</v>
      </c>
      <c r="D88" s="28" t="str">
        <f>'Fruit Trees'!D81</f>
        <v>0.25-0.5"</v>
      </c>
      <c r="E88" s="27" t="str">
        <f>'Fruit Trees'!E81</f>
        <v>2-5'</v>
      </c>
      <c r="F88" s="29">
        <f>'Fruit Trees'!F81</f>
        <v>10</v>
      </c>
      <c r="G88" s="27">
        <f>'Fruit Trees'!G81</f>
        <v>10</v>
      </c>
      <c r="H88" s="30">
        <f>'Fruit Trees'!H81</f>
        <v>80</v>
      </c>
      <c r="I88" s="27" t="str">
        <f t="shared" si="1"/>
        <v>Persimmon - Fuyu #7-2020</v>
      </c>
      <c r="J88" s="11"/>
      <c r="K88" s="30">
        <f t="shared" si="2"/>
        <v>0</v>
      </c>
    </row>
    <row r="89">
      <c r="B89" s="27" t="str">
        <f>'Fruit Trees'!A82</f>
        <v>Plum - Green Gage</v>
      </c>
      <c r="C89" s="27" t="str">
        <f>'Fruit Trees'!C82</f>
        <v>#5</v>
      </c>
      <c r="D89" s="28" t="str">
        <f>'Fruit Trees'!D82</f>
        <v>0-1"</v>
      </c>
      <c r="E89" s="27" t="str">
        <f>'Fruit Trees'!E82</f>
        <v>0-7'</v>
      </c>
      <c r="F89" s="29">
        <f>'Fruit Trees'!F82</f>
        <v>0</v>
      </c>
      <c r="G89" s="27">
        <f>'Fruit Trees'!G82</f>
        <v>50</v>
      </c>
      <c r="H89" s="30">
        <f>'Fruit Trees'!H82</f>
        <v>45</v>
      </c>
      <c r="I89" s="27" t="str">
        <f t="shared" si="1"/>
        <v>Plum - Green Gage #5-2020</v>
      </c>
      <c r="J89" s="11"/>
      <c r="K89" s="30">
        <f t="shared" si="2"/>
        <v>0</v>
      </c>
    </row>
    <row r="90">
      <c r="B90" s="27" t="str">
        <f>'Fruit Trees'!A83</f>
        <v>Plum (cherry) - Sweet Pixie 2</v>
      </c>
      <c r="C90" s="27" t="str">
        <f>'Fruit Trees'!C83</f>
        <v>#5</v>
      </c>
      <c r="D90" s="28" t="str">
        <f>'Fruit Trees'!D83</f>
        <v>1-1.25"</v>
      </c>
      <c r="E90" s="27" t="str">
        <f>'Fruit Trees'!E83</f>
        <v>7-8'</v>
      </c>
      <c r="F90" s="29">
        <f>'Fruit Trees'!F83</f>
        <v>2</v>
      </c>
      <c r="G90" s="27">
        <f>'Fruit Trees'!G83</f>
        <v>30</v>
      </c>
      <c r="H90" s="30">
        <f>'Fruit Trees'!H83</f>
        <v>60</v>
      </c>
      <c r="I90" s="27" t="str">
        <f t="shared" si="1"/>
        <v>Plum (cherry) - Sweet Pixie 2 #5-2020</v>
      </c>
      <c r="J90" s="11"/>
      <c r="K90" s="30">
        <f t="shared" si="2"/>
        <v>0</v>
      </c>
    </row>
    <row r="91">
      <c r="B91" s="27" t="str">
        <f>'Fruit Trees'!A84</f>
        <v>Plumcot - Spring Satin</v>
      </c>
      <c r="C91" s="27" t="str">
        <f>'Fruit Trees'!C84</f>
        <v>#5</v>
      </c>
      <c r="D91" s="28" t="str">
        <f>'Fruit Trees'!D84</f>
        <v>0.75-1"</v>
      </c>
      <c r="E91" s="27" t="str">
        <f>'Fruit Trees'!E84</f>
        <v>8-9'</v>
      </c>
      <c r="F91" s="29">
        <f>'Fruit Trees'!F84</f>
        <v>1</v>
      </c>
      <c r="G91" s="27">
        <f>'Fruit Trees'!G84</f>
        <v>30</v>
      </c>
      <c r="H91" s="30">
        <f>'Fruit Trees'!H84</f>
        <v>45</v>
      </c>
      <c r="I91" s="27" t="str">
        <f t="shared" si="1"/>
        <v>Plumcot - Spring Satin #5-2020</v>
      </c>
      <c r="J91" s="11"/>
      <c r="K91" s="30">
        <f t="shared" si="2"/>
        <v>0</v>
      </c>
    </row>
    <row r="92">
      <c r="B92" s="27" t="str">
        <f>'Fruit Trees'!A85</f>
        <v>Pluot - Dapple Dandy</v>
      </c>
      <c r="C92" s="27" t="str">
        <f>'Fruit Trees'!C85</f>
        <v>#10</v>
      </c>
      <c r="D92" s="28" t="str">
        <f>'Fruit Trees'!D85</f>
        <v>1-1.5"</v>
      </c>
      <c r="E92" s="27" t="str">
        <f>'Fruit Trees'!E85</f>
        <v>9-10'</v>
      </c>
      <c r="F92" s="29">
        <f>'Fruit Trees'!F85</f>
        <v>3</v>
      </c>
      <c r="G92" s="27">
        <f>'Fruit Trees'!G85</f>
        <v>0</v>
      </c>
      <c r="H92" s="30">
        <f>'Fruit Trees'!H85</f>
        <v>70</v>
      </c>
      <c r="I92" s="27" t="str">
        <f t="shared" si="1"/>
        <v>Pluot - Dapple Dandy #10-2020</v>
      </c>
      <c r="J92" s="11"/>
      <c r="K92" s="30">
        <f t="shared" si="2"/>
        <v>0</v>
      </c>
    </row>
    <row r="93">
      <c r="B93" s="27" t="str">
        <f>'Fruit Trees'!A86</f>
        <v>Pluot - Flavor King</v>
      </c>
      <c r="C93" s="27" t="str">
        <f>'Fruit Trees'!C86</f>
        <v>#5</v>
      </c>
      <c r="D93" s="28" t="str">
        <f>'Fruit Trees'!D86</f>
        <v>0.5-0.75"</v>
      </c>
      <c r="E93" s="27" t="str">
        <f>'Fruit Trees'!E86</f>
        <v>4-5'</v>
      </c>
      <c r="F93" s="29">
        <f>'Fruit Trees'!F86</f>
        <v>0</v>
      </c>
      <c r="G93" s="27">
        <f>'Fruit Trees'!G86</f>
        <v>30</v>
      </c>
      <c r="H93" s="30">
        <f>'Fruit Trees'!H86</f>
        <v>50</v>
      </c>
      <c r="I93" s="27" t="str">
        <f t="shared" si="1"/>
        <v>Pluot - Flavor King #5-2020</v>
      </c>
      <c r="J93" s="11"/>
      <c r="K93" s="30">
        <f t="shared" si="2"/>
        <v>0</v>
      </c>
    </row>
    <row r="94">
      <c r="B94" s="27" t="str">
        <f>'Fruit Trees'!A87</f>
        <v>Pluot - Flavor Queen</v>
      </c>
      <c r="C94" s="27" t="str">
        <f>'Fruit Trees'!C87</f>
        <v>#5</v>
      </c>
      <c r="D94" s="28" t="str">
        <f>'Fruit Trees'!D87</f>
        <v>0.5-0.75"</v>
      </c>
      <c r="E94" s="27" t="str">
        <f>'Fruit Trees'!E87</f>
        <v>4-5'</v>
      </c>
      <c r="F94" s="29">
        <f>'Fruit Trees'!F87</f>
        <v>0</v>
      </c>
      <c r="G94" s="27">
        <f>'Fruit Trees'!G87</f>
        <v>30</v>
      </c>
      <c r="H94" s="30">
        <f>'Fruit Trees'!H87</f>
        <v>50</v>
      </c>
      <c r="I94" s="27" t="str">
        <f t="shared" si="1"/>
        <v>Pluot - Flavor Queen #5-2020</v>
      </c>
      <c r="J94" s="11"/>
      <c r="K94" s="30">
        <f t="shared" si="2"/>
        <v>0</v>
      </c>
    </row>
    <row r="95">
      <c r="B95" s="27" t="str">
        <f>'Fruit Trees'!A88</f>
        <v>Raspberry - Fall Gold </v>
      </c>
      <c r="C95" s="27" t="str">
        <f>'Fruit Trees'!C88</f>
        <v>#5</v>
      </c>
      <c r="D95" s="32" t="str">
        <f>'Fruit Trees'!D88</f>
        <v>Multi</v>
      </c>
      <c r="E95" s="27" t="str">
        <f>'Fruit Trees'!E88</f>
        <v>2-3'</v>
      </c>
      <c r="F95" s="29">
        <f>'Fruit Trees'!F88</f>
        <v>2</v>
      </c>
      <c r="G95" s="27">
        <f>'Fruit Trees'!G88</f>
        <v>0</v>
      </c>
      <c r="H95" s="30">
        <f>'Fruit Trees'!H88</f>
        <v>32</v>
      </c>
      <c r="I95" s="27" t="str">
        <f t="shared" si="1"/>
        <v>Raspberry - Fall Gold  #5-2020</v>
      </c>
      <c r="J95" s="11"/>
      <c r="K95" s="30">
        <f t="shared" si="2"/>
        <v>0</v>
      </c>
    </row>
    <row r="96">
      <c r="B96" s="27" t="str">
        <f>'Fruit Trees'!A89</f>
        <v>Raspberry- Heritage</v>
      </c>
      <c r="C96" s="27" t="str">
        <f>'Fruit Trees'!C89</f>
        <v>#5</v>
      </c>
      <c r="D96" s="32" t="str">
        <f>'Fruit Trees'!D89</f>
        <v>Multi</v>
      </c>
      <c r="E96" s="27" t="str">
        <f>'Fruit Trees'!E89</f>
        <v>3-4'</v>
      </c>
      <c r="F96" s="29">
        <f>'Fruit Trees'!F89</f>
        <v>1</v>
      </c>
      <c r="G96" s="27">
        <f>'Fruit Trees'!G89</f>
        <v>0</v>
      </c>
      <c r="H96" s="30">
        <f>'Fruit Trees'!H89</f>
        <v>32</v>
      </c>
      <c r="I96" s="27" t="str">
        <f t="shared" si="1"/>
        <v>Raspberry- Heritage #5-2020</v>
      </c>
      <c r="J96" s="11"/>
      <c r="K96" s="30">
        <f t="shared" si="2"/>
        <v>0</v>
      </c>
    </row>
    <row r="97">
      <c r="B97" s="27" t="str">
        <f>'Fruit Trees'!A90</f>
        <v>Russian Pomegrante - Salavatski</v>
      </c>
      <c r="C97" s="27" t="str">
        <f>'Fruit Trees'!C90</f>
        <v>#5</v>
      </c>
      <c r="D97" s="32" t="str">
        <f>'Fruit Trees'!D90</f>
        <v>Multi</v>
      </c>
      <c r="E97" s="27" t="str">
        <f>'Fruit Trees'!E90</f>
        <v>0.5-1'</v>
      </c>
      <c r="F97" s="29">
        <f>'Fruit Trees'!F90</f>
        <v>59</v>
      </c>
      <c r="G97" s="27">
        <f>'Fruit Trees'!G90</f>
        <v>72</v>
      </c>
      <c r="H97" s="30">
        <f>'Fruit Trees'!H90</f>
        <v>35</v>
      </c>
      <c r="I97" s="27" t="str">
        <f t="shared" si="1"/>
        <v>Russian Pomegrante - Salavatski #5-2020</v>
      </c>
      <c r="J97" s="11"/>
      <c r="K97" s="30">
        <f t="shared" si="2"/>
        <v>0</v>
      </c>
    </row>
    <row r="98">
      <c r="B98" s="27" t="str">
        <f>'Fruit Trees'!A91</f>
        <v>Walnut - Mesa Carpathian</v>
      </c>
      <c r="C98" s="27" t="str">
        <f>'Fruit Trees'!C91</f>
        <v>#15</v>
      </c>
      <c r="D98" s="28" t="str">
        <f>'Fruit Trees'!D91</f>
        <v>0-1"</v>
      </c>
      <c r="E98" s="27" t="str">
        <f>'Fruit Trees'!E91</f>
        <v>0-4'</v>
      </c>
      <c r="F98" s="29">
        <f>'Fruit Trees'!F91</f>
        <v>0</v>
      </c>
      <c r="G98" s="27">
        <f>'Fruit Trees'!G91</f>
        <v>10</v>
      </c>
      <c r="H98" s="30">
        <f>'Fruit Trees'!H91</f>
        <v>110</v>
      </c>
      <c r="I98" s="27" t="str">
        <f t="shared" si="1"/>
        <v>Walnut - Mesa Carpathian #15-2020</v>
      </c>
      <c r="J98" s="11"/>
      <c r="K98" s="30">
        <f t="shared" si="2"/>
        <v>0</v>
      </c>
    </row>
    <row r="99">
      <c r="B99" s="27" t="str">
        <f>'Fruit Trees'!A92</f>
        <v/>
      </c>
      <c r="C99" s="27" t="str">
        <f>'Fruit Trees'!C92</f>
        <v/>
      </c>
      <c r="D99" s="27" t="str">
        <f>'Fruit Trees'!D92</f>
        <v/>
      </c>
      <c r="E99" s="27" t="str">
        <f>'Fruit Trees'!E92</f>
        <v/>
      </c>
      <c r="F99" s="31" t="str">
        <f>'Fruit Trees'!F92</f>
        <v/>
      </c>
      <c r="G99" s="27" t="str">
        <f>'Fruit Trees'!G92</f>
        <v/>
      </c>
      <c r="H99" s="27" t="str">
        <f>'Fruit Trees'!H92</f>
        <v/>
      </c>
      <c r="I99" s="27" t="str">
        <f t="shared" si="1"/>
        <v> -2020</v>
      </c>
      <c r="J99" s="11"/>
      <c r="K99" s="27">
        <f t="shared" si="2"/>
        <v>0</v>
      </c>
    </row>
    <row r="100">
      <c r="B100" s="27" t="str">
        <f>'Fruit Trees'!A93</f>
        <v/>
      </c>
      <c r="C100" s="27" t="str">
        <f>'Fruit Trees'!C93</f>
        <v/>
      </c>
      <c r="D100" s="27" t="str">
        <f>'Fruit Trees'!D93</f>
        <v/>
      </c>
      <c r="E100" s="27" t="str">
        <f>'Fruit Trees'!E93</f>
        <v/>
      </c>
      <c r="F100" s="31" t="str">
        <f>'Fruit Trees'!F93</f>
        <v/>
      </c>
      <c r="G100" s="27" t="str">
        <f>'Fruit Trees'!G93</f>
        <v/>
      </c>
      <c r="H100" s="27" t="str">
        <f>'Fruit Trees'!H93</f>
        <v/>
      </c>
      <c r="I100" s="27" t="str">
        <f t="shared" si="1"/>
        <v> -2020</v>
      </c>
      <c r="J100" s="11"/>
      <c r="K100" s="27">
        <f t="shared" si="2"/>
        <v>0</v>
      </c>
    </row>
    <row r="101">
      <c r="B101" s="27" t="str">
        <f>'Fruit Trees'!A94</f>
        <v/>
      </c>
      <c r="C101" s="27" t="str">
        <f>'Fruit Trees'!C94</f>
        <v/>
      </c>
      <c r="D101" s="27" t="str">
        <f>'Fruit Trees'!D94</f>
        <v/>
      </c>
      <c r="E101" s="27" t="str">
        <f>'Fruit Trees'!E94</f>
        <v/>
      </c>
      <c r="F101" s="31" t="str">
        <f>'Fruit Trees'!F94</f>
        <v/>
      </c>
      <c r="G101" s="27" t="str">
        <f>'Fruit Trees'!G94</f>
        <v/>
      </c>
      <c r="H101" s="27" t="str">
        <f>'Fruit Trees'!H94</f>
        <v/>
      </c>
      <c r="I101" s="27" t="str">
        <f t="shared" si="1"/>
        <v> -2020</v>
      </c>
      <c r="J101" s="11"/>
      <c r="K101" s="27">
        <f t="shared" si="2"/>
        <v>0</v>
      </c>
    </row>
    <row r="102">
      <c r="B102" s="27" t="str">
        <f>'Fruit Trees'!A95</f>
        <v/>
      </c>
      <c r="C102" s="27" t="str">
        <f>'Fruit Trees'!C95</f>
        <v/>
      </c>
      <c r="D102" s="27" t="str">
        <f>'Fruit Trees'!D95</f>
        <v/>
      </c>
      <c r="E102" s="27" t="str">
        <f>'Fruit Trees'!E95</f>
        <v/>
      </c>
      <c r="F102" s="31" t="str">
        <f>'Fruit Trees'!F95</f>
        <v/>
      </c>
      <c r="G102" s="27" t="str">
        <f>'Fruit Trees'!G95</f>
        <v/>
      </c>
      <c r="H102" s="27" t="str">
        <f>'Fruit Trees'!H95</f>
        <v/>
      </c>
      <c r="I102" s="27" t="str">
        <f t="shared" si="1"/>
        <v> -2020</v>
      </c>
      <c r="J102" s="11"/>
      <c r="K102" s="27">
        <f t="shared" si="2"/>
        <v>0</v>
      </c>
    </row>
    <row r="103">
      <c r="B103" s="27" t="str">
        <f>'Fruit Trees'!A96</f>
        <v/>
      </c>
      <c r="C103" s="27" t="str">
        <f>'Fruit Trees'!C96</f>
        <v/>
      </c>
      <c r="D103" s="27" t="str">
        <f>'Fruit Trees'!D96</f>
        <v/>
      </c>
      <c r="E103" s="27" t="str">
        <f>'Fruit Trees'!E96</f>
        <v/>
      </c>
      <c r="F103" s="31" t="str">
        <f>'Fruit Trees'!F96</f>
        <v/>
      </c>
      <c r="G103" s="27" t="str">
        <f>'Fruit Trees'!G96</f>
        <v/>
      </c>
      <c r="H103" s="27" t="str">
        <f>'Fruit Trees'!H96</f>
        <v/>
      </c>
      <c r="I103" s="27" t="str">
        <f t="shared" si="1"/>
        <v> -2020</v>
      </c>
      <c r="J103" s="11"/>
      <c r="K103" s="27">
        <f t="shared" si="2"/>
        <v>0</v>
      </c>
    </row>
    <row r="104">
      <c r="B104" s="27" t="str">
        <f>'Fruit Trees'!A97</f>
        <v/>
      </c>
      <c r="C104" s="27" t="str">
        <f>'Fruit Trees'!C97</f>
        <v/>
      </c>
      <c r="D104" s="27" t="str">
        <f>'Fruit Trees'!D97</f>
        <v/>
      </c>
      <c r="E104" s="27" t="str">
        <f>'Fruit Trees'!E97</f>
        <v/>
      </c>
      <c r="F104" s="31" t="str">
        <f>'Fruit Trees'!F97</f>
        <v/>
      </c>
      <c r="G104" s="27" t="str">
        <f>'Fruit Trees'!G97</f>
        <v/>
      </c>
      <c r="H104" s="27" t="str">
        <f>'Fruit Trees'!H97</f>
        <v/>
      </c>
      <c r="I104" s="27" t="str">
        <f t="shared" si="1"/>
        <v> -2020</v>
      </c>
      <c r="J104" s="11"/>
      <c r="K104" s="27">
        <f t="shared" si="2"/>
        <v>0</v>
      </c>
    </row>
    <row r="105">
      <c r="B105" s="27" t="str">
        <f>'Fruit Trees'!A98</f>
        <v/>
      </c>
      <c r="C105" s="27" t="str">
        <f>'Fruit Trees'!C98</f>
        <v/>
      </c>
      <c r="D105" s="27" t="str">
        <f>'Fruit Trees'!D98</f>
        <v/>
      </c>
      <c r="E105" s="27" t="str">
        <f>'Fruit Trees'!E98</f>
        <v/>
      </c>
      <c r="F105" s="31" t="str">
        <f>'Fruit Trees'!F98</f>
        <v/>
      </c>
      <c r="G105" s="27" t="str">
        <f>'Fruit Trees'!G98</f>
        <v/>
      </c>
      <c r="H105" s="27" t="str">
        <f>'Fruit Trees'!H98</f>
        <v/>
      </c>
      <c r="I105" s="27" t="str">
        <f t="shared" si="1"/>
        <v> -2020</v>
      </c>
      <c r="J105" s="11"/>
      <c r="K105" s="27">
        <f t="shared" si="2"/>
        <v>0</v>
      </c>
    </row>
    <row r="106">
      <c r="B106" s="27" t="str">
        <f>'Fruit Trees'!A99</f>
        <v/>
      </c>
      <c r="C106" s="27" t="str">
        <f>'Fruit Trees'!C99</f>
        <v/>
      </c>
      <c r="D106" s="27" t="str">
        <f>'Fruit Trees'!D99</f>
        <v/>
      </c>
      <c r="E106" s="27" t="str">
        <f>'Fruit Trees'!E99</f>
        <v/>
      </c>
      <c r="F106" s="31" t="str">
        <f>'Fruit Trees'!F99</f>
        <v/>
      </c>
      <c r="G106" s="27" t="str">
        <f>'Fruit Trees'!G99</f>
        <v/>
      </c>
      <c r="H106" s="27" t="str">
        <f>'Fruit Trees'!H99</f>
        <v/>
      </c>
      <c r="I106" s="27" t="str">
        <f t="shared" si="1"/>
        <v> -2020</v>
      </c>
      <c r="J106" s="11"/>
      <c r="K106" s="27">
        <f t="shared" si="2"/>
        <v>0</v>
      </c>
    </row>
    <row r="107">
      <c r="B107" s="27" t="str">
        <f>'Fruit Trees'!A100</f>
        <v/>
      </c>
      <c r="C107" s="27" t="str">
        <f>'Fruit Trees'!C100</f>
        <v/>
      </c>
      <c r="D107" s="27" t="str">
        <f>'Fruit Trees'!D100</f>
        <v/>
      </c>
      <c r="E107" s="27" t="str">
        <f>'Fruit Trees'!E100</f>
        <v/>
      </c>
      <c r="F107" s="31" t="str">
        <f>'Fruit Trees'!F100</f>
        <v/>
      </c>
      <c r="G107" s="27" t="str">
        <f>'Fruit Trees'!G100</f>
        <v/>
      </c>
      <c r="H107" s="27" t="str">
        <f>'Fruit Trees'!H100</f>
        <v/>
      </c>
      <c r="I107" s="27" t="str">
        <f t="shared" si="1"/>
        <v> -2020</v>
      </c>
      <c r="J107" s="11"/>
      <c r="K107" s="27">
        <f t="shared" si="2"/>
        <v>0</v>
      </c>
    </row>
    <row r="108">
      <c r="B108" s="27" t="str">
        <f>'Fruit Trees'!A101</f>
        <v/>
      </c>
      <c r="C108" s="27" t="str">
        <f>'Fruit Trees'!C101</f>
        <v/>
      </c>
      <c r="D108" s="27" t="str">
        <f>'Fruit Trees'!D101</f>
        <v/>
      </c>
      <c r="E108" s="27" t="str">
        <f>'Fruit Trees'!E101</f>
        <v/>
      </c>
      <c r="F108" s="31" t="str">
        <f>'Fruit Trees'!F101</f>
        <v/>
      </c>
      <c r="G108" s="27" t="str">
        <f>'Fruit Trees'!G101</f>
        <v/>
      </c>
      <c r="H108" s="27" t="str">
        <f>'Fruit Trees'!H101</f>
        <v/>
      </c>
      <c r="I108" s="27" t="str">
        <f t="shared" si="1"/>
        <v> -2020</v>
      </c>
      <c r="J108" s="11"/>
      <c r="K108" s="27">
        <f t="shared" si="2"/>
        <v>0</v>
      </c>
    </row>
    <row r="109">
      <c r="B109" s="27" t="str">
        <f>'Fruit Trees'!A102</f>
        <v/>
      </c>
      <c r="C109" s="27" t="str">
        <f>'Fruit Trees'!C102</f>
        <v/>
      </c>
      <c r="D109" s="27" t="str">
        <f>'Fruit Trees'!D102</f>
        <v/>
      </c>
      <c r="E109" s="27" t="str">
        <f>'Fruit Trees'!E102</f>
        <v/>
      </c>
      <c r="F109" s="31" t="str">
        <f>'Fruit Trees'!F102</f>
        <v/>
      </c>
      <c r="G109" s="27" t="str">
        <f>'Fruit Trees'!G102</f>
        <v/>
      </c>
      <c r="H109" s="27" t="str">
        <f>'Fruit Trees'!H102</f>
        <v/>
      </c>
      <c r="I109" s="27" t="str">
        <f t="shared" si="1"/>
        <v> -2020</v>
      </c>
      <c r="J109" s="11"/>
      <c r="K109" s="27">
        <f t="shared" si="2"/>
        <v>0</v>
      </c>
    </row>
    <row r="110">
      <c r="B110" s="27" t="str">
        <f>'Fruit Trees'!A103</f>
        <v/>
      </c>
      <c r="C110" s="27" t="str">
        <f>'Fruit Trees'!C103</f>
        <v/>
      </c>
      <c r="D110" s="27" t="str">
        <f>'Fruit Trees'!D103</f>
        <v/>
      </c>
      <c r="E110" s="27" t="str">
        <f>'Fruit Trees'!E103</f>
        <v/>
      </c>
      <c r="F110" s="31" t="str">
        <f>'Fruit Trees'!F103</f>
        <v/>
      </c>
      <c r="G110" s="27" t="str">
        <f>'Fruit Trees'!G103</f>
        <v/>
      </c>
      <c r="H110" s="27" t="str">
        <f>'Fruit Trees'!H103</f>
        <v/>
      </c>
      <c r="I110" s="27" t="str">
        <f t="shared" si="1"/>
        <v> -2020</v>
      </c>
      <c r="J110" s="11"/>
      <c r="K110" s="27">
        <f t="shared" si="2"/>
        <v>0</v>
      </c>
    </row>
    <row r="111">
      <c r="B111" s="27" t="str">
        <f>'Fruit Trees'!A104</f>
        <v/>
      </c>
      <c r="C111" s="27" t="str">
        <f>'Fruit Trees'!C104</f>
        <v/>
      </c>
      <c r="D111" s="27" t="str">
        <f>'Fruit Trees'!D104</f>
        <v/>
      </c>
      <c r="E111" s="27" t="str">
        <f>'Fruit Trees'!E104</f>
        <v/>
      </c>
      <c r="F111" s="31" t="str">
        <f>'Fruit Trees'!F104</f>
        <v/>
      </c>
      <c r="G111" s="27" t="str">
        <f>'Fruit Trees'!G104</f>
        <v/>
      </c>
      <c r="H111" s="27" t="str">
        <f>'Fruit Trees'!H104</f>
        <v/>
      </c>
      <c r="I111" s="27" t="str">
        <f t="shared" si="1"/>
        <v> -2020</v>
      </c>
      <c r="J111" s="11"/>
      <c r="K111" s="27">
        <f t="shared" si="2"/>
        <v>0</v>
      </c>
    </row>
    <row r="112">
      <c r="B112" s="27" t="str">
        <f>'Fruit Trees'!A105</f>
        <v/>
      </c>
      <c r="C112" s="27" t="str">
        <f>'Fruit Trees'!C105</f>
        <v/>
      </c>
      <c r="D112" s="27" t="str">
        <f>'Fruit Trees'!D105</f>
        <v/>
      </c>
      <c r="E112" s="27" t="str">
        <f>'Fruit Trees'!E105</f>
        <v/>
      </c>
      <c r="F112" s="31" t="str">
        <f>'Fruit Trees'!F105</f>
        <v/>
      </c>
      <c r="G112" s="27" t="str">
        <f>'Fruit Trees'!G105</f>
        <v/>
      </c>
      <c r="H112" s="27" t="str">
        <f>'Fruit Trees'!H105</f>
        <v/>
      </c>
      <c r="I112" s="27" t="str">
        <f t="shared" si="1"/>
        <v> -2020</v>
      </c>
      <c r="J112" s="11"/>
      <c r="K112" s="27">
        <f t="shared" si="2"/>
        <v>0</v>
      </c>
    </row>
    <row r="113">
      <c r="B113" s="27" t="str">
        <f>'Fruit Trees'!A106</f>
        <v/>
      </c>
      <c r="C113" s="27" t="str">
        <f>'Fruit Trees'!C106</f>
        <v/>
      </c>
      <c r="D113" s="27" t="str">
        <f>'Fruit Trees'!D106</f>
        <v/>
      </c>
      <c r="E113" s="27" t="str">
        <f>'Fruit Trees'!E106</f>
        <v/>
      </c>
      <c r="F113" s="31" t="str">
        <f>'Fruit Trees'!F106</f>
        <v/>
      </c>
      <c r="G113" s="27" t="str">
        <f>'Fruit Trees'!G106</f>
        <v/>
      </c>
      <c r="H113" s="27" t="str">
        <f>'Fruit Trees'!H106</f>
        <v/>
      </c>
      <c r="I113" s="27" t="str">
        <f t="shared" si="1"/>
        <v> -2020</v>
      </c>
      <c r="J113" s="11"/>
      <c r="K113" s="27">
        <f t="shared" si="2"/>
        <v>0</v>
      </c>
    </row>
    <row r="114">
      <c r="B114" s="27" t="str">
        <f>'Fruit Trees'!A107</f>
        <v/>
      </c>
      <c r="C114" s="27" t="str">
        <f>'Fruit Trees'!C107</f>
        <v/>
      </c>
      <c r="D114" s="27" t="str">
        <f>'Fruit Trees'!D107</f>
        <v/>
      </c>
      <c r="E114" s="27" t="str">
        <f>'Fruit Trees'!E107</f>
        <v/>
      </c>
      <c r="F114" s="31" t="str">
        <f>'Fruit Trees'!F107</f>
        <v/>
      </c>
      <c r="G114" s="27" t="str">
        <f>'Fruit Trees'!G107</f>
        <v/>
      </c>
      <c r="H114" s="27" t="str">
        <f>'Fruit Trees'!H107</f>
        <v/>
      </c>
      <c r="I114" s="27" t="str">
        <f t="shared" si="1"/>
        <v> -2020</v>
      </c>
      <c r="J114" s="11"/>
      <c r="K114" s="27">
        <f t="shared" si="2"/>
        <v>0</v>
      </c>
    </row>
    <row r="115">
      <c r="B115" s="27" t="str">
        <f>'Fruit Trees'!A108</f>
        <v/>
      </c>
      <c r="C115" s="27" t="str">
        <f>'Fruit Trees'!C108</f>
        <v/>
      </c>
      <c r="D115" s="27" t="str">
        <f>'Fruit Trees'!D108</f>
        <v/>
      </c>
      <c r="E115" s="27" t="str">
        <f>'Fruit Trees'!E108</f>
        <v/>
      </c>
      <c r="F115" s="31" t="str">
        <f>'Fruit Trees'!F108</f>
        <v/>
      </c>
      <c r="G115" s="27" t="str">
        <f>'Fruit Trees'!G108</f>
        <v/>
      </c>
      <c r="H115" s="27" t="str">
        <f>'Fruit Trees'!H108</f>
        <v/>
      </c>
      <c r="I115" s="27" t="str">
        <f t="shared" si="1"/>
        <v> -2020</v>
      </c>
      <c r="J115" s="11"/>
      <c r="K115" s="27">
        <f t="shared" si="2"/>
        <v>0</v>
      </c>
    </row>
    <row r="116">
      <c r="B116" s="27" t="str">
        <f>'Fruit Trees'!A109</f>
        <v/>
      </c>
      <c r="C116" s="27" t="str">
        <f>'Fruit Trees'!C109</f>
        <v/>
      </c>
      <c r="D116" s="27" t="str">
        <f>'Fruit Trees'!D109</f>
        <v/>
      </c>
      <c r="E116" s="27" t="str">
        <f>'Fruit Trees'!E109</f>
        <v/>
      </c>
      <c r="F116" s="31" t="str">
        <f>'Fruit Trees'!F109</f>
        <v/>
      </c>
      <c r="G116" s="27" t="str">
        <f>'Fruit Trees'!G109</f>
        <v/>
      </c>
      <c r="H116" s="27" t="str">
        <f>'Fruit Trees'!H109</f>
        <v/>
      </c>
      <c r="I116" s="27" t="str">
        <f t="shared" si="1"/>
        <v> -2020</v>
      </c>
      <c r="J116" s="11"/>
      <c r="K116" s="27">
        <f t="shared" si="2"/>
        <v>0</v>
      </c>
    </row>
    <row r="117">
      <c r="B117" s="27" t="str">
        <f>'Fruit Trees'!A110</f>
        <v/>
      </c>
      <c r="C117" s="27" t="str">
        <f>'Fruit Trees'!C110</f>
        <v/>
      </c>
      <c r="D117" s="27" t="str">
        <f>'Fruit Trees'!D110</f>
        <v/>
      </c>
      <c r="E117" s="27" t="str">
        <f>'Fruit Trees'!E110</f>
        <v/>
      </c>
      <c r="F117" s="31" t="str">
        <f>'Fruit Trees'!F110</f>
        <v/>
      </c>
      <c r="G117" s="27" t="str">
        <f>'Fruit Trees'!G110</f>
        <v/>
      </c>
      <c r="H117" s="27" t="str">
        <f>'Fruit Trees'!H110</f>
        <v/>
      </c>
      <c r="I117" s="27" t="str">
        <f t="shared" si="1"/>
        <v> -2020</v>
      </c>
      <c r="J117" s="11"/>
      <c r="K117" s="27">
        <f t="shared" si="2"/>
        <v>0</v>
      </c>
    </row>
    <row r="118">
      <c r="B118" s="27" t="str">
        <f>'Fruit Trees'!A111</f>
        <v/>
      </c>
      <c r="C118" s="27" t="str">
        <f>'Fruit Trees'!C111</f>
        <v/>
      </c>
      <c r="D118" s="27" t="str">
        <f>'Fruit Trees'!D111</f>
        <v/>
      </c>
      <c r="E118" s="27" t="str">
        <f>'Fruit Trees'!E111</f>
        <v/>
      </c>
      <c r="F118" s="31" t="str">
        <f>'Fruit Trees'!F111</f>
        <v/>
      </c>
      <c r="G118" s="27" t="str">
        <f>'Fruit Trees'!G111</f>
        <v/>
      </c>
      <c r="H118" s="27" t="str">
        <f>'Fruit Trees'!H111</f>
        <v/>
      </c>
      <c r="I118" s="27" t="str">
        <f t="shared" si="1"/>
        <v> -2020</v>
      </c>
      <c r="J118" s="11"/>
      <c r="K118" s="27">
        <f t="shared" si="2"/>
        <v>0</v>
      </c>
    </row>
    <row r="119">
      <c r="B119" s="27" t="str">
        <f>'Fruit Trees'!A112</f>
        <v/>
      </c>
      <c r="C119" s="27" t="str">
        <f>'Fruit Trees'!C112</f>
        <v/>
      </c>
      <c r="D119" s="27" t="str">
        <f>'Fruit Trees'!D112</f>
        <v/>
      </c>
      <c r="E119" s="27" t="str">
        <f>'Fruit Trees'!E112</f>
        <v/>
      </c>
      <c r="F119" s="31" t="str">
        <f>'Fruit Trees'!F112</f>
        <v/>
      </c>
      <c r="G119" s="27" t="str">
        <f>'Fruit Trees'!G112</f>
        <v/>
      </c>
      <c r="H119" s="27" t="str">
        <f>'Fruit Trees'!H112</f>
        <v/>
      </c>
      <c r="I119" s="27" t="str">
        <f t="shared" si="1"/>
        <v> -2020</v>
      </c>
      <c r="J119" s="11"/>
      <c r="K119" s="27">
        <f t="shared" si="2"/>
        <v>0</v>
      </c>
    </row>
    <row r="120">
      <c r="B120" s="27" t="str">
        <f>'Fruit Trees'!A113</f>
        <v/>
      </c>
      <c r="C120" s="27" t="str">
        <f>'Fruit Trees'!C113</f>
        <v/>
      </c>
      <c r="D120" s="27" t="str">
        <f>'Fruit Trees'!D113</f>
        <v/>
      </c>
      <c r="E120" s="27" t="str">
        <f>'Fruit Trees'!E113</f>
        <v/>
      </c>
      <c r="F120" s="31" t="str">
        <f>'Fruit Trees'!F113</f>
        <v/>
      </c>
      <c r="G120" s="27" t="str">
        <f>'Fruit Trees'!G113</f>
        <v/>
      </c>
      <c r="H120" s="27" t="str">
        <f>'Fruit Trees'!H113</f>
        <v/>
      </c>
      <c r="I120" s="27" t="str">
        <f t="shared" si="1"/>
        <v> -2020</v>
      </c>
      <c r="J120" s="11"/>
      <c r="K120" s="27">
        <f t="shared" si="2"/>
        <v>0</v>
      </c>
    </row>
    <row r="121">
      <c r="B121" s="27" t="str">
        <f>'Fruit Trees'!A114</f>
        <v/>
      </c>
      <c r="C121" s="27" t="str">
        <f>'Fruit Trees'!C114</f>
        <v/>
      </c>
      <c r="D121" s="27" t="str">
        <f>'Fruit Trees'!D114</f>
        <v/>
      </c>
      <c r="E121" s="27" t="str">
        <f>'Fruit Trees'!E114</f>
        <v/>
      </c>
      <c r="F121" s="31" t="str">
        <f>'Fruit Trees'!F114</f>
        <v/>
      </c>
      <c r="G121" s="27" t="str">
        <f>'Fruit Trees'!G114</f>
        <v/>
      </c>
      <c r="H121" s="27" t="str">
        <f>'Fruit Trees'!H114</f>
        <v/>
      </c>
      <c r="I121" s="27" t="str">
        <f t="shared" si="1"/>
        <v> -2020</v>
      </c>
      <c r="J121" s="11"/>
      <c r="K121" s="27">
        <f t="shared" si="2"/>
        <v>0</v>
      </c>
    </row>
    <row r="122">
      <c r="B122" s="27" t="str">
        <f>'Fruit Trees'!A115</f>
        <v/>
      </c>
      <c r="C122" s="27" t="str">
        <f>'Fruit Trees'!C115</f>
        <v/>
      </c>
      <c r="D122" s="27" t="str">
        <f>'Fruit Trees'!D115</f>
        <v/>
      </c>
      <c r="E122" s="27" t="str">
        <f>'Fruit Trees'!E115</f>
        <v/>
      </c>
      <c r="F122" s="31" t="str">
        <f>'Fruit Trees'!F115</f>
        <v/>
      </c>
      <c r="G122" s="27" t="str">
        <f>'Fruit Trees'!G115</f>
        <v/>
      </c>
      <c r="H122" s="27" t="str">
        <f>'Fruit Trees'!H115</f>
        <v/>
      </c>
      <c r="I122" s="27" t="str">
        <f t="shared" si="1"/>
        <v> -2020</v>
      </c>
      <c r="J122" s="11"/>
      <c r="K122" s="27">
        <f t="shared" si="2"/>
        <v>0</v>
      </c>
    </row>
    <row r="123">
      <c r="B123" s="27" t="str">
        <f>'Fruit Trees'!A116</f>
        <v/>
      </c>
      <c r="C123" s="27" t="str">
        <f>'Fruit Trees'!C116</f>
        <v/>
      </c>
      <c r="D123" s="27" t="str">
        <f>'Fruit Trees'!D116</f>
        <v/>
      </c>
      <c r="E123" s="27" t="str">
        <f>'Fruit Trees'!E116</f>
        <v/>
      </c>
      <c r="F123" s="31" t="str">
        <f>'Fruit Trees'!F116</f>
        <v/>
      </c>
      <c r="G123" s="27" t="str">
        <f>'Fruit Trees'!G116</f>
        <v/>
      </c>
      <c r="H123" s="27" t="str">
        <f>'Fruit Trees'!H116</f>
        <v/>
      </c>
      <c r="I123" s="27" t="str">
        <f t="shared" si="1"/>
        <v> -2020</v>
      </c>
      <c r="J123" s="11"/>
      <c r="K123" s="27">
        <f t="shared" si="2"/>
        <v>0</v>
      </c>
    </row>
    <row r="124">
      <c r="B124" s="27" t="str">
        <f>'Fruit Trees'!A117</f>
        <v/>
      </c>
      <c r="C124" s="27" t="str">
        <f>'Fruit Trees'!C117</f>
        <v/>
      </c>
      <c r="D124" s="27" t="str">
        <f>'Fruit Trees'!D117</f>
        <v/>
      </c>
      <c r="E124" s="27" t="str">
        <f>'Fruit Trees'!E117</f>
        <v/>
      </c>
      <c r="F124" s="31" t="str">
        <f>'Fruit Trees'!F117</f>
        <v/>
      </c>
      <c r="G124" s="27" t="str">
        <f>'Fruit Trees'!G117</f>
        <v/>
      </c>
      <c r="H124" s="27" t="str">
        <f>'Fruit Trees'!H117</f>
        <v/>
      </c>
      <c r="I124" s="27" t="str">
        <f t="shared" si="1"/>
        <v> -2020</v>
      </c>
      <c r="J124" s="11"/>
      <c r="K124" s="27">
        <f t="shared" si="2"/>
        <v>0</v>
      </c>
    </row>
    <row r="125">
      <c r="B125" s="27" t="str">
        <f>'Fruit Trees'!A118</f>
        <v/>
      </c>
      <c r="C125" s="27" t="str">
        <f>'Fruit Trees'!C118</f>
        <v/>
      </c>
      <c r="D125" s="27" t="str">
        <f>'Fruit Trees'!D118</f>
        <v/>
      </c>
      <c r="E125" s="27" t="str">
        <f>'Fruit Trees'!E118</f>
        <v/>
      </c>
      <c r="F125" s="31" t="str">
        <f>'Fruit Trees'!F118</f>
        <v/>
      </c>
      <c r="G125" s="27" t="str">
        <f>'Fruit Trees'!G118</f>
        <v/>
      </c>
      <c r="H125" s="27" t="str">
        <f>'Fruit Trees'!H118</f>
        <v/>
      </c>
      <c r="I125" s="27" t="str">
        <f t="shared" si="1"/>
        <v> -2020</v>
      </c>
      <c r="J125" s="11"/>
      <c r="K125" s="27">
        <f t="shared" si="2"/>
        <v>0</v>
      </c>
    </row>
    <row r="126">
      <c r="B126" s="27" t="str">
        <f>'Fruit Trees'!A119</f>
        <v/>
      </c>
      <c r="C126" s="27" t="str">
        <f>'Fruit Trees'!C119</f>
        <v/>
      </c>
      <c r="D126" s="27" t="str">
        <f>'Fruit Trees'!D119</f>
        <v/>
      </c>
      <c r="E126" s="27" t="str">
        <f>'Fruit Trees'!E119</f>
        <v/>
      </c>
      <c r="F126" s="31" t="str">
        <f>'Fruit Trees'!F119</f>
        <v/>
      </c>
      <c r="G126" s="27" t="str">
        <f>'Fruit Trees'!G119</f>
        <v/>
      </c>
      <c r="H126" s="27" t="str">
        <f>'Fruit Trees'!H119</f>
        <v/>
      </c>
      <c r="I126" s="27" t="str">
        <f t="shared" si="1"/>
        <v> -2020</v>
      </c>
      <c r="J126" s="11"/>
      <c r="K126" s="27">
        <f t="shared" si="2"/>
        <v>0</v>
      </c>
    </row>
    <row r="127">
      <c r="B127" s="27" t="str">
        <f>'Fruit Trees'!A120</f>
        <v/>
      </c>
      <c r="C127" s="27" t="str">
        <f>'Fruit Trees'!C120</f>
        <v/>
      </c>
      <c r="D127" s="27" t="str">
        <f>'Fruit Trees'!D120</f>
        <v/>
      </c>
      <c r="E127" s="27" t="str">
        <f>'Fruit Trees'!E120</f>
        <v/>
      </c>
      <c r="F127" s="31" t="str">
        <f>'Fruit Trees'!F120</f>
        <v/>
      </c>
      <c r="G127" s="27" t="str">
        <f>'Fruit Trees'!G120</f>
        <v/>
      </c>
      <c r="H127" s="27" t="str">
        <f>'Fruit Trees'!H120</f>
        <v/>
      </c>
      <c r="I127" s="27" t="str">
        <f t="shared" si="1"/>
        <v> -2020</v>
      </c>
      <c r="J127" s="11"/>
      <c r="K127" s="27">
        <f t="shared" si="2"/>
        <v>0</v>
      </c>
    </row>
    <row r="128">
      <c r="B128" s="27" t="str">
        <f>'Fruit Trees'!A121</f>
        <v/>
      </c>
      <c r="C128" s="27" t="str">
        <f>'Fruit Trees'!C121</f>
        <v/>
      </c>
      <c r="D128" s="27" t="str">
        <f>'Fruit Trees'!D121</f>
        <v/>
      </c>
      <c r="E128" s="27" t="str">
        <f>'Fruit Trees'!E121</f>
        <v/>
      </c>
      <c r="F128" s="31" t="str">
        <f>'Fruit Trees'!F121</f>
        <v/>
      </c>
      <c r="G128" s="27" t="str">
        <f>'Fruit Trees'!G121</f>
        <v/>
      </c>
      <c r="H128" s="27" t="str">
        <f>'Fruit Trees'!H121</f>
        <v/>
      </c>
      <c r="I128" s="27" t="str">
        <f t="shared" si="1"/>
        <v> -2020</v>
      </c>
      <c r="J128" s="11"/>
      <c r="K128" s="27">
        <f t="shared" si="2"/>
        <v>0</v>
      </c>
    </row>
    <row r="129">
      <c r="B129" s="27" t="str">
        <f>'Fruit Trees'!A122</f>
        <v/>
      </c>
      <c r="C129" s="27" t="str">
        <f>'Fruit Trees'!C122</f>
        <v/>
      </c>
      <c r="D129" s="27" t="str">
        <f>'Fruit Trees'!D122</f>
        <v/>
      </c>
      <c r="E129" s="27" t="str">
        <f>'Fruit Trees'!E122</f>
        <v/>
      </c>
      <c r="F129" s="31" t="str">
        <f>'Fruit Trees'!F122</f>
        <v/>
      </c>
      <c r="G129" s="27" t="str">
        <f>'Fruit Trees'!G122</f>
        <v/>
      </c>
      <c r="H129" s="27" t="str">
        <f>'Fruit Trees'!H122</f>
        <v/>
      </c>
      <c r="I129" s="27" t="str">
        <f t="shared" si="1"/>
        <v> -2020</v>
      </c>
      <c r="J129" s="11"/>
      <c r="K129" s="27">
        <f t="shared" si="2"/>
        <v>0</v>
      </c>
    </row>
    <row r="130">
      <c r="B130" s="27" t="str">
        <f>'Fruit Trees'!A123</f>
        <v/>
      </c>
      <c r="C130" s="27" t="str">
        <f>'Fruit Trees'!C123</f>
        <v/>
      </c>
      <c r="D130" s="27" t="str">
        <f>'Fruit Trees'!D123</f>
        <v/>
      </c>
      <c r="E130" s="27" t="str">
        <f>'Fruit Trees'!E123</f>
        <v/>
      </c>
      <c r="F130" s="31" t="str">
        <f>'Fruit Trees'!F123</f>
        <v/>
      </c>
      <c r="G130" s="27" t="str">
        <f>'Fruit Trees'!G123</f>
        <v/>
      </c>
      <c r="H130" s="27" t="str">
        <f>'Fruit Trees'!H123</f>
        <v/>
      </c>
      <c r="I130" s="27" t="str">
        <f t="shared" si="1"/>
        <v> -2020</v>
      </c>
      <c r="J130" s="11"/>
      <c r="K130" s="27">
        <f t="shared" si="2"/>
        <v>0</v>
      </c>
    </row>
    <row r="131">
      <c r="B131" s="27" t="str">
        <f>'Fruit Trees'!A124</f>
        <v/>
      </c>
      <c r="C131" s="27" t="str">
        <f>'Fruit Trees'!C124</f>
        <v/>
      </c>
      <c r="D131" s="27" t="str">
        <f>'Fruit Trees'!D124</f>
        <v/>
      </c>
      <c r="E131" s="27" t="str">
        <f>'Fruit Trees'!E124</f>
        <v/>
      </c>
      <c r="F131" s="31" t="str">
        <f>'Fruit Trees'!F124</f>
        <v/>
      </c>
      <c r="G131" s="27" t="str">
        <f>'Fruit Trees'!G124</f>
        <v/>
      </c>
      <c r="H131" s="27" t="str">
        <f>'Fruit Trees'!H124</f>
        <v/>
      </c>
      <c r="I131" s="27" t="str">
        <f t="shared" si="1"/>
        <v> -2020</v>
      </c>
      <c r="J131" s="11"/>
      <c r="K131" s="27">
        <f t="shared" si="2"/>
        <v>0</v>
      </c>
    </row>
    <row r="132">
      <c r="B132" s="27" t="str">
        <f>'Fruit Trees'!A125</f>
        <v/>
      </c>
      <c r="C132" s="27" t="str">
        <f>'Fruit Trees'!C125</f>
        <v/>
      </c>
      <c r="D132" s="27" t="str">
        <f>'Fruit Trees'!D125</f>
        <v/>
      </c>
      <c r="E132" s="27" t="str">
        <f>'Fruit Trees'!E125</f>
        <v/>
      </c>
      <c r="F132" s="31" t="str">
        <f>'Fruit Trees'!F125</f>
        <v/>
      </c>
      <c r="G132" s="27" t="str">
        <f>'Fruit Trees'!G125</f>
        <v/>
      </c>
      <c r="H132" s="27" t="str">
        <f>'Fruit Trees'!H125</f>
        <v/>
      </c>
      <c r="I132" s="27" t="str">
        <f t="shared" si="1"/>
        <v> -2020</v>
      </c>
      <c r="J132" s="11"/>
      <c r="K132" s="27">
        <f t="shared" si="2"/>
        <v>0</v>
      </c>
    </row>
    <row r="133">
      <c r="B133" s="27" t="str">
        <f>'Fruit Trees'!A126</f>
        <v/>
      </c>
      <c r="C133" s="27" t="str">
        <f>'Fruit Trees'!C126</f>
        <v/>
      </c>
      <c r="D133" s="27" t="str">
        <f>'Fruit Trees'!D126</f>
        <v/>
      </c>
      <c r="E133" s="27" t="str">
        <f>'Fruit Trees'!E126</f>
        <v/>
      </c>
      <c r="F133" s="31" t="str">
        <f>'Fruit Trees'!F126</f>
        <v/>
      </c>
      <c r="G133" s="27" t="str">
        <f>'Fruit Trees'!G126</f>
        <v/>
      </c>
      <c r="H133" s="27" t="str">
        <f>'Fruit Trees'!H126</f>
        <v/>
      </c>
      <c r="I133" s="27" t="str">
        <f t="shared" si="1"/>
        <v> -2020</v>
      </c>
      <c r="J133" s="11"/>
      <c r="K133" s="27">
        <f t="shared" si="2"/>
        <v>0</v>
      </c>
    </row>
    <row r="134">
      <c r="B134" s="27" t="str">
        <f>'Fruit Trees'!A127</f>
        <v/>
      </c>
      <c r="C134" s="27" t="str">
        <f>'Fruit Trees'!C127</f>
        <v/>
      </c>
      <c r="D134" s="27" t="str">
        <f>'Fruit Trees'!D127</f>
        <v/>
      </c>
      <c r="E134" s="27" t="str">
        <f>'Fruit Trees'!E127</f>
        <v/>
      </c>
      <c r="F134" s="31" t="str">
        <f>'Fruit Trees'!F127</f>
        <v/>
      </c>
      <c r="G134" s="27" t="str">
        <f>'Fruit Trees'!G127</f>
        <v/>
      </c>
      <c r="H134" s="27" t="str">
        <f>'Fruit Trees'!H127</f>
        <v/>
      </c>
      <c r="I134" s="27" t="str">
        <f t="shared" si="1"/>
        <v> -2020</v>
      </c>
      <c r="J134" s="11"/>
      <c r="K134" s="27">
        <f t="shared" si="2"/>
        <v>0</v>
      </c>
    </row>
    <row r="135">
      <c r="B135" s="27" t="str">
        <f>'Fruit Trees'!A128</f>
        <v/>
      </c>
      <c r="C135" s="27" t="str">
        <f>'Fruit Trees'!C128</f>
        <v/>
      </c>
      <c r="D135" s="27" t="str">
        <f>'Fruit Trees'!D128</f>
        <v/>
      </c>
      <c r="E135" s="27" t="str">
        <f>'Fruit Trees'!E128</f>
        <v/>
      </c>
      <c r="F135" s="31" t="str">
        <f>'Fruit Trees'!F128</f>
        <v/>
      </c>
      <c r="G135" s="27" t="str">
        <f>'Fruit Trees'!G128</f>
        <v/>
      </c>
      <c r="H135" s="27" t="str">
        <f>'Fruit Trees'!H128</f>
        <v/>
      </c>
      <c r="I135" s="27" t="str">
        <f t="shared" si="1"/>
        <v> -2020</v>
      </c>
      <c r="J135" s="11"/>
      <c r="K135" s="27">
        <f t="shared" si="2"/>
        <v>0</v>
      </c>
    </row>
    <row r="136">
      <c r="B136" s="27" t="str">
        <f>'Fruit Trees'!A129</f>
        <v/>
      </c>
      <c r="C136" s="27" t="str">
        <f>'Fruit Trees'!C129</f>
        <v/>
      </c>
      <c r="D136" s="27" t="str">
        <f>'Fruit Trees'!D129</f>
        <v/>
      </c>
      <c r="E136" s="27" t="str">
        <f>'Fruit Trees'!E129</f>
        <v/>
      </c>
      <c r="F136" s="31" t="str">
        <f>'Fruit Trees'!F129</f>
        <v/>
      </c>
      <c r="G136" s="27" t="str">
        <f>'Fruit Trees'!G129</f>
        <v/>
      </c>
      <c r="H136" s="27" t="str">
        <f>'Fruit Trees'!H129</f>
        <v/>
      </c>
      <c r="I136" s="27" t="str">
        <f t="shared" si="1"/>
        <v> -2020</v>
      </c>
      <c r="J136" s="11"/>
      <c r="K136" s="27">
        <f t="shared" si="2"/>
        <v>0</v>
      </c>
    </row>
    <row r="137">
      <c r="B137" s="27" t="str">
        <f>'Fruit Trees'!A130</f>
        <v/>
      </c>
      <c r="C137" s="27" t="str">
        <f>'Fruit Trees'!C130</f>
        <v/>
      </c>
      <c r="D137" s="27" t="str">
        <f>'Fruit Trees'!D130</f>
        <v/>
      </c>
      <c r="E137" s="27" t="str">
        <f>'Fruit Trees'!E130</f>
        <v/>
      </c>
      <c r="F137" s="31" t="str">
        <f>'Fruit Trees'!F130</f>
        <v/>
      </c>
      <c r="G137" s="27" t="str">
        <f>'Fruit Trees'!G130</f>
        <v/>
      </c>
      <c r="H137" s="27" t="str">
        <f>'Fruit Trees'!H130</f>
        <v/>
      </c>
      <c r="I137" s="27" t="str">
        <f t="shared" si="1"/>
        <v> -2020</v>
      </c>
      <c r="J137" s="11"/>
      <c r="K137" s="27">
        <f t="shared" si="2"/>
        <v>0</v>
      </c>
    </row>
    <row r="138">
      <c r="B138" s="27" t="str">
        <f>'Fruit Trees'!A131</f>
        <v/>
      </c>
      <c r="C138" s="27" t="str">
        <f>'Fruit Trees'!C131</f>
        <v/>
      </c>
      <c r="D138" s="27" t="str">
        <f>'Fruit Trees'!D131</f>
        <v/>
      </c>
      <c r="E138" s="27" t="str">
        <f>'Fruit Trees'!E131</f>
        <v/>
      </c>
      <c r="F138" s="31" t="str">
        <f>'Fruit Trees'!F131</f>
        <v/>
      </c>
      <c r="G138" s="27" t="str">
        <f>'Fruit Trees'!G131</f>
        <v/>
      </c>
      <c r="H138" s="27" t="str">
        <f>'Fruit Trees'!H131</f>
        <v/>
      </c>
      <c r="I138" s="27" t="str">
        <f t="shared" si="1"/>
        <v> -2020</v>
      </c>
      <c r="J138" s="11"/>
      <c r="K138" s="27">
        <f t="shared" si="2"/>
        <v>0</v>
      </c>
    </row>
    <row r="139">
      <c r="B139" s="27" t="str">
        <f>'Fruit Trees'!A132</f>
        <v/>
      </c>
      <c r="C139" s="27" t="str">
        <f>'Fruit Trees'!C132</f>
        <v/>
      </c>
      <c r="D139" s="27" t="str">
        <f>'Fruit Trees'!D132</f>
        <v/>
      </c>
      <c r="E139" s="27" t="str">
        <f>'Fruit Trees'!E132</f>
        <v/>
      </c>
      <c r="F139" s="31" t="str">
        <f>'Fruit Trees'!F132</f>
        <v/>
      </c>
      <c r="G139" s="27" t="str">
        <f>'Fruit Trees'!G132</f>
        <v/>
      </c>
      <c r="H139" s="27" t="str">
        <f>'Fruit Trees'!H132</f>
        <v/>
      </c>
      <c r="I139" s="27" t="str">
        <f t="shared" si="1"/>
        <v> -2020</v>
      </c>
      <c r="J139" s="11"/>
      <c r="K139" s="27">
        <f t="shared" si="2"/>
        <v>0</v>
      </c>
    </row>
    <row r="140">
      <c r="B140" s="27" t="str">
        <f>'Fruit Trees'!A133</f>
        <v/>
      </c>
      <c r="C140" s="27" t="str">
        <f>'Fruit Trees'!C133</f>
        <v/>
      </c>
      <c r="D140" s="27" t="str">
        <f>'Fruit Trees'!D133</f>
        <v/>
      </c>
      <c r="E140" s="27" t="str">
        <f>'Fruit Trees'!E133</f>
        <v/>
      </c>
      <c r="F140" s="31" t="str">
        <f>'Fruit Trees'!F133</f>
        <v/>
      </c>
      <c r="G140" s="27" t="str">
        <f>'Fruit Trees'!G133</f>
        <v/>
      </c>
      <c r="H140" s="27" t="str">
        <f>'Fruit Trees'!H133</f>
        <v/>
      </c>
      <c r="I140" s="27" t="str">
        <f t="shared" si="1"/>
        <v> -2020</v>
      </c>
      <c r="J140" s="11"/>
      <c r="K140" s="27">
        <f t="shared" si="2"/>
        <v>0</v>
      </c>
    </row>
    <row r="141">
      <c r="B141" s="27" t="str">
        <f>'Fruit Trees'!A134</f>
        <v/>
      </c>
      <c r="C141" s="27" t="str">
        <f>'Fruit Trees'!C134</f>
        <v/>
      </c>
      <c r="D141" s="27" t="str">
        <f>'Fruit Trees'!D134</f>
        <v/>
      </c>
      <c r="E141" s="27" t="str">
        <f>'Fruit Trees'!E134</f>
        <v/>
      </c>
      <c r="F141" s="31" t="str">
        <f>'Fruit Trees'!F134</f>
        <v/>
      </c>
      <c r="G141" s="27" t="str">
        <f>'Fruit Trees'!G134</f>
        <v/>
      </c>
      <c r="H141" s="27" t="str">
        <f>'Fruit Trees'!H134</f>
        <v/>
      </c>
      <c r="I141" s="27" t="str">
        <f t="shared" si="1"/>
        <v> -2020</v>
      </c>
      <c r="J141" s="11"/>
      <c r="K141" s="27">
        <f t="shared" si="2"/>
        <v>0</v>
      </c>
    </row>
    <row r="142">
      <c r="B142" s="27" t="str">
        <f>'Fruit Trees'!A135</f>
        <v/>
      </c>
      <c r="C142" s="27" t="str">
        <f>'Fruit Trees'!C135</f>
        <v/>
      </c>
      <c r="D142" s="27" t="str">
        <f>'Fruit Trees'!D135</f>
        <v/>
      </c>
      <c r="E142" s="27" t="str">
        <f>'Fruit Trees'!E135</f>
        <v/>
      </c>
      <c r="F142" s="31" t="str">
        <f>'Fruit Trees'!F135</f>
        <v/>
      </c>
      <c r="G142" s="27" t="str">
        <f>'Fruit Trees'!G135</f>
        <v/>
      </c>
      <c r="H142" s="27" t="str">
        <f>'Fruit Trees'!H135</f>
        <v/>
      </c>
      <c r="I142" s="27" t="str">
        <f t="shared" si="1"/>
        <v> -2020</v>
      </c>
      <c r="J142" s="11"/>
      <c r="K142" s="27">
        <f t="shared" si="2"/>
        <v>0</v>
      </c>
    </row>
    <row r="143">
      <c r="A143" s="27" t="str">
        <f>'Fruit Trees'!A136</f>
        <v/>
      </c>
      <c r="B143" s="27" t="str">
        <f>'Fruit Trees'!C136</f>
        <v/>
      </c>
      <c r="C143" s="27" t="str">
        <f>'Fruit Trees'!D136</f>
        <v/>
      </c>
      <c r="D143" s="27" t="str">
        <f>'Fruit Trees'!E136</f>
        <v/>
      </c>
      <c r="E143" s="27" t="str">
        <f>'Fruit Trees'!F136</f>
        <v/>
      </c>
      <c r="F143" s="31" t="str">
        <f>'Fruit Trees'!G136</f>
        <v/>
      </c>
      <c r="G143" s="27" t="str">
        <f>'Fruit Trees'!H136</f>
        <v/>
      </c>
      <c r="J143" s="11"/>
      <c r="K143" s="27">
        <f>J143*G143</f>
        <v>0</v>
      </c>
    </row>
    <row r="144">
      <c r="A144" s="27" t="str">
        <f>'Fruit Trees'!A137</f>
        <v/>
      </c>
      <c r="B144" s="27" t="str">
        <f>'Fruit Trees'!C137</f>
        <v/>
      </c>
      <c r="C144" s="27" t="str">
        <f>'Fruit Trees'!D137</f>
        <v/>
      </c>
      <c r="D144" s="27" t="str">
        <f>'Fruit Trees'!E137</f>
        <v/>
      </c>
      <c r="E144" s="27" t="str">
        <f>'Fruit Trees'!F137</f>
        <v/>
      </c>
      <c r="F144" s="31" t="str">
        <f>'Fruit Trees'!G137</f>
        <v/>
      </c>
      <c r="G144" s="27" t="str">
        <f>'Fruit Trees'!H137</f>
        <v/>
      </c>
      <c r="J144" s="26" t="s">
        <v>13</v>
      </c>
      <c r="K144" s="33">
        <f>Sum(K4:K143)</f>
        <v>0</v>
      </c>
    </row>
    <row r="145">
      <c r="A145" s="34" t="s">
        <v>14</v>
      </c>
      <c r="B145" s="35"/>
      <c r="D145" s="22"/>
      <c r="E145" s="22"/>
      <c r="F145" s="36"/>
      <c r="G145" s="37"/>
      <c r="H145" s="38"/>
      <c r="J145" s="10"/>
    </row>
    <row r="146">
      <c r="A146" s="24" t="str">
        <f>'Landscape Trees '!A1</f>
        <v>Latin Name</v>
      </c>
      <c r="B146" s="24" t="str">
        <f>'Landscape Trees '!C1</f>
        <v>Common Name</v>
      </c>
      <c r="C146" s="24" t="str">
        <f>'Landscape Trees '!D1</f>
        <v>Pot Size</v>
      </c>
      <c r="D146" s="24" t="str">
        <f>'Landscape Trees '!E1</f>
        <v>Caliper </v>
      </c>
      <c r="E146" s="24" t="str">
        <f>'Landscape Trees '!F1</f>
        <v>Height</v>
      </c>
      <c r="F146" s="25" t="str">
        <f>'Landscape Trees '!G1</f>
        <v>Quantity </v>
      </c>
      <c r="G146" s="24" t="str">
        <f>'Landscape Trees '!H1</f>
        <v>Projected</v>
      </c>
      <c r="H146" s="24" t="str">
        <f>'Landscape Trees '!I1</f>
        <v>Price</v>
      </c>
      <c r="J146" s="26" t="s">
        <v>11</v>
      </c>
      <c r="K146" s="3" t="s">
        <v>12</v>
      </c>
    </row>
    <row r="147">
      <c r="A147" s="27" t="str">
        <f>'Landscape Trees '!A2</f>
        <v/>
      </c>
      <c r="B147" s="27" t="str">
        <f>'Landscape Trees '!C2</f>
        <v>Sugar Maple</v>
      </c>
      <c r="C147" s="27" t="str">
        <f>'Landscape Trees '!D2</f>
        <v>#15</v>
      </c>
      <c r="D147" s="28" t="str">
        <f>'Landscape Trees '!E2</f>
        <v>1-1"</v>
      </c>
      <c r="E147" s="27" t="str">
        <f>'Landscape Trees '!F2</f>
        <v>8-9'</v>
      </c>
      <c r="F147" s="29">
        <f>'Landscape Trees '!G2</f>
        <v>0</v>
      </c>
      <c r="G147" s="27">
        <f>'Landscape Trees '!H2</f>
        <v>10</v>
      </c>
      <c r="H147" s="30">
        <f>'Landscape Trees '!I2</f>
        <v>35</v>
      </c>
      <c r="I147" s="27" t="str">
        <f t="shared" ref="I147:I444" si="3">B147&amp;" "&amp;C147&amp;-2020</f>
        <v>Sugar Maple #15-2020</v>
      </c>
      <c r="J147" s="11"/>
      <c r="K147" s="30">
        <f t="shared" ref="K147:K447" si="4">J147*H147</f>
        <v>0</v>
      </c>
    </row>
    <row r="148">
      <c r="A148" s="27" t="str">
        <f>'Landscape Trees '!A3</f>
        <v>Acer buergerianum</v>
      </c>
      <c r="B148" s="27" t="str">
        <f>'Landscape Trees '!C3</f>
        <v>Trident Maple</v>
      </c>
      <c r="C148" s="27" t="str">
        <f>'Landscape Trees '!D3</f>
        <v>#5</v>
      </c>
      <c r="D148" s="28" t="str">
        <f>'Landscape Trees '!E3</f>
        <v>0.25-0.5"</v>
      </c>
      <c r="E148" s="27" t="str">
        <f>'Landscape Trees '!F3</f>
        <v>3-6'</v>
      </c>
      <c r="F148" s="29">
        <f>'Landscape Trees '!G3</f>
        <v>9</v>
      </c>
      <c r="G148" s="27">
        <f>'Landscape Trees '!H3</f>
        <v>0</v>
      </c>
      <c r="H148" s="30">
        <f>'Landscape Trees '!I3</f>
        <v>40</v>
      </c>
      <c r="I148" s="27" t="str">
        <f t="shared" si="3"/>
        <v>Trident Maple #5-2020</v>
      </c>
      <c r="J148" s="11"/>
      <c r="K148" s="30">
        <f t="shared" si="4"/>
        <v>0</v>
      </c>
    </row>
    <row r="149">
      <c r="A149" s="27" t="str">
        <f>'Landscape Trees '!A4</f>
        <v>Acer campestre</v>
      </c>
      <c r="B149" s="27" t="str">
        <f>'Landscape Trees '!C4</f>
        <v>Hedge Maple</v>
      </c>
      <c r="C149" s="27" t="str">
        <f>'Landscape Trees '!D4</f>
        <v>#5</v>
      </c>
      <c r="D149" s="28" t="str">
        <f>'Landscape Trees '!E4</f>
        <v>1-1.25"</v>
      </c>
      <c r="E149" s="27" t="str">
        <f>'Landscape Trees '!F4</f>
        <v>6-7'</v>
      </c>
      <c r="F149" s="29">
        <f>'Landscape Trees '!G4</f>
        <v>12</v>
      </c>
      <c r="G149" s="27">
        <f>'Landscape Trees '!H4</f>
        <v>0</v>
      </c>
      <c r="H149" s="30">
        <f>'Landscape Trees '!I4</f>
        <v>40</v>
      </c>
      <c r="I149" s="27" t="str">
        <f t="shared" si="3"/>
        <v>Hedge Maple #5-2020</v>
      </c>
      <c r="J149" s="11"/>
      <c r="K149" s="30">
        <f t="shared" si="4"/>
        <v>0</v>
      </c>
    </row>
    <row r="150">
      <c r="A150" s="27" t="str">
        <f>'Landscape Trees '!A5</f>
        <v>Acer griseum</v>
      </c>
      <c r="B150" s="27" t="str">
        <f>'Landscape Trees '!C5</f>
        <v>Paperbark Maple</v>
      </c>
      <c r="C150" s="27" t="str">
        <f>'Landscape Trees '!D5</f>
        <v>#5</v>
      </c>
      <c r="D150" s="28" t="str">
        <f>'Landscape Trees '!E5</f>
        <v>0.75-1"</v>
      </c>
      <c r="E150" s="27" t="str">
        <f>'Landscape Trees '!F5</f>
        <v>4-5'</v>
      </c>
      <c r="F150" s="29">
        <f>'Landscape Trees '!G5</f>
        <v>21</v>
      </c>
      <c r="G150" s="27">
        <f>'Landscape Trees '!H5</f>
        <v>0</v>
      </c>
      <c r="H150" s="30">
        <f>'Landscape Trees '!I5</f>
        <v>55</v>
      </c>
      <c r="I150" s="27" t="str">
        <f t="shared" si="3"/>
        <v>Paperbark Maple #5-2020</v>
      </c>
      <c r="J150" s="11"/>
      <c r="K150" s="30">
        <f t="shared" si="4"/>
        <v>0</v>
      </c>
    </row>
    <row r="151">
      <c r="A151" s="27" t="str">
        <f>'Landscape Trees '!A6</f>
        <v>Acer griseum</v>
      </c>
      <c r="B151" s="27" t="str">
        <f>'Landscape Trees '!C6</f>
        <v>Paperbark Maple</v>
      </c>
      <c r="C151" s="27" t="str">
        <f>'Landscape Trees '!D6</f>
        <v>#15</v>
      </c>
      <c r="D151" s="28" t="str">
        <f>'Landscape Trees '!E6</f>
        <v>0-1.75"</v>
      </c>
      <c r="E151" s="27" t="str">
        <f>'Landscape Trees '!F6</f>
        <v>0-10'</v>
      </c>
      <c r="F151" s="29">
        <f>'Landscape Trees '!G6</f>
        <v>0</v>
      </c>
      <c r="G151" s="27">
        <f>'Landscape Trees '!H6</f>
        <v>6</v>
      </c>
      <c r="H151" s="30">
        <f>'Landscape Trees '!I6</f>
        <v>180</v>
      </c>
      <c r="I151" s="27" t="str">
        <f t="shared" si="3"/>
        <v>Paperbark Maple #15-2020</v>
      </c>
      <c r="J151" s="11"/>
      <c r="K151" s="30">
        <f t="shared" si="4"/>
        <v>0</v>
      </c>
    </row>
    <row r="152">
      <c r="A152" s="27" t="str">
        <f>'Landscape Trees '!A7</f>
        <v>Acer palmatum 'Bloodgood'</v>
      </c>
      <c r="B152" s="27" t="str">
        <f>'Landscape Trees '!C7</f>
        <v>Bloodgood Japanese Maple</v>
      </c>
      <c r="C152" s="27" t="str">
        <f>'Landscape Trees '!D7</f>
        <v>#7</v>
      </c>
      <c r="D152" s="28" t="str">
        <f>'Landscape Trees '!E7</f>
        <v>0.25-0.5"</v>
      </c>
      <c r="E152" s="27" t="str">
        <f>'Landscape Trees '!F7</f>
        <v>4-5'</v>
      </c>
      <c r="F152" s="29">
        <f>'Landscape Trees '!G7</f>
        <v>1</v>
      </c>
      <c r="G152" s="27">
        <f>'Landscape Trees '!H7</f>
        <v>0</v>
      </c>
      <c r="H152" s="30">
        <f>'Landscape Trees '!I7</f>
        <v>50</v>
      </c>
      <c r="I152" s="27" t="str">
        <f t="shared" si="3"/>
        <v>Bloodgood Japanese Maple #7-2020</v>
      </c>
      <c r="J152" s="11"/>
      <c r="K152" s="30">
        <f t="shared" si="4"/>
        <v>0</v>
      </c>
    </row>
    <row r="153">
      <c r="A153" s="27" t="str">
        <f>'Landscape Trees '!A8</f>
        <v>Acer palmatum 'Emperor I'</v>
      </c>
      <c r="B153" s="27" t="str">
        <f>'Landscape Trees '!C8</f>
        <v>Emperor I Japanese Maple</v>
      </c>
      <c r="C153" s="27" t="str">
        <f>'Landscape Trees '!D8</f>
        <v>#7</v>
      </c>
      <c r="D153" s="28" t="str">
        <f>'Landscape Trees '!E8</f>
        <v>0.25-0.5"</v>
      </c>
      <c r="E153" s="27" t="str">
        <f>'Landscape Trees '!F8</f>
        <v>4-5'</v>
      </c>
      <c r="F153" s="29">
        <f>'Landscape Trees '!G8</f>
        <v>3</v>
      </c>
      <c r="G153" s="27">
        <f>'Landscape Trees '!H8</f>
        <v>20</v>
      </c>
      <c r="H153" s="30">
        <f>'Landscape Trees '!I8</f>
        <v>55</v>
      </c>
      <c r="I153" s="27" t="str">
        <f t="shared" si="3"/>
        <v>Emperor I Japanese Maple #7-2020</v>
      </c>
      <c r="J153" s="11"/>
      <c r="K153" s="30">
        <f t="shared" si="4"/>
        <v>0</v>
      </c>
    </row>
    <row r="154">
      <c r="A154" s="27" t="str">
        <f>'Landscape Trees '!A9</f>
        <v>Acer palmatum 'Tamukeyama'</v>
      </c>
      <c r="B154" s="27" t="str">
        <f>'Landscape Trees '!C9</f>
        <v>Tamukeyama Japanese Maple</v>
      </c>
      <c r="C154" s="27" t="str">
        <f>'Landscape Trees '!D9</f>
        <v>#7</v>
      </c>
      <c r="D154" s="28" t="str">
        <f>'Landscape Trees '!E9</f>
        <v>0.375-0.5"</v>
      </c>
      <c r="E154" s="27" t="str">
        <f>'Landscape Trees '!F9</f>
        <v>3-4'</v>
      </c>
      <c r="F154" s="29">
        <f>'Landscape Trees '!G9</f>
        <v>14</v>
      </c>
      <c r="G154" s="27">
        <f>'Landscape Trees '!H9</f>
        <v>20</v>
      </c>
      <c r="H154" s="30">
        <f>'Landscape Trees '!I9</f>
        <v>60</v>
      </c>
      <c r="I154" s="27" t="str">
        <f t="shared" si="3"/>
        <v>Tamukeyama Japanese Maple #7-2020</v>
      </c>
      <c r="J154" s="11"/>
      <c r="K154" s="30">
        <f t="shared" si="4"/>
        <v>0</v>
      </c>
    </row>
    <row r="155">
      <c r="A155" s="27" t="str">
        <f>'Landscape Trees '!A10</f>
        <v>Acer rubrum</v>
      </c>
      <c r="B155" s="27" t="str">
        <f>'Landscape Trees '!C10</f>
        <v>Red Maple (Native)</v>
      </c>
      <c r="C155" s="27" t="str">
        <f>'Landscape Trees '!D10</f>
        <v>#5</v>
      </c>
      <c r="D155" s="28" t="str">
        <f>'Landscape Trees '!E10</f>
        <v>0.125-0.25"</v>
      </c>
      <c r="E155" s="27" t="str">
        <f>'Landscape Trees '!F10</f>
        <v>3-4'</v>
      </c>
      <c r="F155" s="29">
        <f>'Landscape Trees '!G10</f>
        <v>8</v>
      </c>
      <c r="G155" s="27">
        <f>'Landscape Trees '!H10</f>
        <v>100</v>
      </c>
      <c r="H155" s="30">
        <f>'Landscape Trees '!I10</f>
        <v>40</v>
      </c>
      <c r="I155" s="27" t="str">
        <f t="shared" si="3"/>
        <v>Red Maple (Native) #5-2020</v>
      </c>
      <c r="J155" s="11"/>
      <c r="K155" s="30">
        <f t="shared" si="4"/>
        <v>0</v>
      </c>
    </row>
    <row r="156">
      <c r="A156" s="27" t="str">
        <f>'Landscape Trees '!A11</f>
        <v>Acer rubrum </v>
      </c>
      <c r="B156" s="27" t="str">
        <f>'Landscape Trees '!C11</f>
        <v>Red Maple (Cultivar)</v>
      </c>
      <c r="C156" s="27" t="str">
        <f>'Landscape Trees '!D11</f>
        <v>#5</v>
      </c>
      <c r="D156" s="28" t="str">
        <f>'Landscape Trees '!E11</f>
        <v>0.25-0.5"</v>
      </c>
      <c r="E156" s="27" t="str">
        <f>'Landscape Trees '!F11</f>
        <v>2-3'</v>
      </c>
      <c r="F156" s="29">
        <f>'Landscape Trees '!G11</f>
        <v>55</v>
      </c>
      <c r="G156" s="27">
        <f>'Landscape Trees '!H11</f>
        <v>0</v>
      </c>
      <c r="H156" s="30">
        <f>'Landscape Trees '!I11</f>
        <v>40</v>
      </c>
      <c r="I156" s="27" t="str">
        <f t="shared" si="3"/>
        <v>Red Maple (Cultivar) #5-2020</v>
      </c>
      <c r="J156" s="11"/>
      <c r="K156" s="30">
        <f t="shared" si="4"/>
        <v>0</v>
      </c>
    </row>
    <row r="157">
      <c r="A157" s="27" t="str">
        <f>'Landscape Trees '!A12</f>
        <v>Acer rubrum </v>
      </c>
      <c r="B157" s="27" t="str">
        <f>'Landscape Trees '!C12</f>
        <v>Red Maple</v>
      </c>
      <c r="C157" s="27" t="str">
        <f>'Landscape Trees '!D12</f>
        <v>#15</v>
      </c>
      <c r="D157" s="28" t="str">
        <f>'Landscape Trees '!E12</f>
        <v>0-1.25"</v>
      </c>
      <c r="E157" s="27" t="str">
        <f>'Landscape Trees '!F12</f>
        <v>0-12'</v>
      </c>
      <c r="F157" s="29">
        <f>'Landscape Trees '!G12</f>
        <v>0</v>
      </c>
      <c r="G157" s="27">
        <f>'Landscape Trees '!H12</f>
        <v>40</v>
      </c>
      <c r="H157" s="30">
        <f>'Landscape Trees '!I12</f>
        <v>115</v>
      </c>
      <c r="I157" s="27" t="str">
        <f t="shared" si="3"/>
        <v>Red Maple #15-2020</v>
      </c>
      <c r="J157" s="11"/>
      <c r="K157" s="30">
        <f t="shared" si="4"/>
        <v>0</v>
      </c>
    </row>
    <row r="158">
      <c r="A158" s="27" t="str">
        <f>'Landscape Trees '!A13</f>
        <v>Acer saccharum</v>
      </c>
      <c r="B158" s="27" t="str">
        <f>'Landscape Trees '!C13</f>
        <v>Sugar Maple</v>
      </c>
      <c r="C158" s="27" t="str">
        <f>'Landscape Trees '!D13</f>
        <v>#5</v>
      </c>
      <c r="D158" s="28" t="str">
        <f>'Landscape Trees '!E13</f>
        <v>0.25-0.5"</v>
      </c>
      <c r="E158" s="27" t="str">
        <f>'Landscape Trees '!F13</f>
        <v>3-5'</v>
      </c>
      <c r="F158" s="29">
        <f>'Landscape Trees '!G13</f>
        <v>33</v>
      </c>
      <c r="G158" s="27">
        <f>'Landscape Trees '!H13</f>
        <v>50</v>
      </c>
      <c r="H158" s="30">
        <f>'Landscape Trees '!I13</f>
        <v>40</v>
      </c>
      <c r="I158" s="27" t="str">
        <f t="shared" si="3"/>
        <v>Sugar Maple #5-2020</v>
      </c>
      <c r="J158" s="11"/>
      <c r="K158" s="30">
        <f t="shared" si="4"/>
        <v>0</v>
      </c>
    </row>
    <row r="159">
      <c r="A159" s="27" t="str">
        <f>'Landscape Trees '!A14</f>
        <v>Acer saccharum 'Bailsta'</v>
      </c>
      <c r="B159" s="27" t="str">
        <f>'Landscape Trees '!C14</f>
        <v>Fall Fiesta Sugar Maple</v>
      </c>
      <c r="C159" s="27" t="str">
        <f>'Landscape Trees '!D14</f>
        <v>#15</v>
      </c>
      <c r="D159" s="28" t="str">
        <f>'Landscape Trees '!E14</f>
        <v>0-0"</v>
      </c>
      <c r="E159" s="27" t="str">
        <f>'Landscape Trees '!F14</f>
        <v>0-0'</v>
      </c>
      <c r="F159" s="29">
        <f>'Landscape Trees '!G14</f>
        <v>0</v>
      </c>
      <c r="G159" s="27">
        <f>'Landscape Trees '!H14</f>
        <v>15</v>
      </c>
      <c r="H159" s="30">
        <f>'Landscape Trees '!I14</f>
        <v>115</v>
      </c>
      <c r="I159" s="27" t="str">
        <f t="shared" si="3"/>
        <v>Fall Fiesta Sugar Maple #15-2020</v>
      </c>
      <c r="J159" s="11"/>
      <c r="K159" s="30">
        <f t="shared" si="4"/>
        <v>0</v>
      </c>
    </row>
    <row r="160">
      <c r="A160" s="27" t="str">
        <f>'Landscape Trees '!A15</f>
        <v>Acer saccharum 'Green Mountain'</v>
      </c>
      <c r="B160" s="27" t="str">
        <f>'Landscape Trees '!C15</f>
        <v>Green Mountain Sugar Maple</v>
      </c>
      <c r="C160" s="27" t="str">
        <f>'Landscape Trees '!D15</f>
        <v>#15</v>
      </c>
      <c r="D160" s="28" t="str">
        <f>'Landscape Trees '!E15</f>
        <v>0-1.25"</v>
      </c>
      <c r="E160" s="27" t="str">
        <f>'Landscape Trees '!F15</f>
        <v>0-10'</v>
      </c>
      <c r="F160" s="29">
        <f>'Landscape Trees '!G15</f>
        <v>0</v>
      </c>
      <c r="G160" s="27">
        <f>'Landscape Trees '!H15</f>
        <v>10</v>
      </c>
      <c r="H160" s="30">
        <f>'Landscape Trees '!I15</f>
        <v>115</v>
      </c>
      <c r="I160" s="27" t="str">
        <f t="shared" si="3"/>
        <v>Green Mountain Sugar Maple #15-2020</v>
      </c>
      <c r="J160" s="11"/>
      <c r="K160" s="30">
        <f t="shared" si="4"/>
        <v>0</v>
      </c>
    </row>
    <row r="161">
      <c r="A161" s="27" t="str">
        <f>'Landscape Trees '!A16</f>
        <v>Acer saccharum 'Green Mountain'</v>
      </c>
      <c r="B161" s="27" t="str">
        <f>'Landscape Trees '!C16</f>
        <v>Green Mountain Sugar Maple</v>
      </c>
      <c r="C161" s="27" t="str">
        <f>'Landscape Trees '!D16</f>
        <v>#25</v>
      </c>
      <c r="D161" s="28" t="str">
        <f>'Landscape Trees '!E16</f>
        <v>1-1.25"</v>
      </c>
      <c r="E161" s="27" t="str">
        <f>'Landscape Trees '!F16</f>
        <v>9-10'</v>
      </c>
      <c r="F161" s="29">
        <f>'Landscape Trees '!G16</f>
        <v>1</v>
      </c>
      <c r="G161" s="27">
        <f>'Landscape Trees '!H16</f>
        <v>0</v>
      </c>
      <c r="H161" s="30">
        <f>'Landscape Trees '!I16</f>
        <v>155</v>
      </c>
      <c r="I161" s="27" t="str">
        <f t="shared" si="3"/>
        <v>Green Mountain Sugar Maple #25-2020</v>
      </c>
      <c r="J161" s="11"/>
      <c r="K161" s="30">
        <f t="shared" si="4"/>
        <v>0</v>
      </c>
    </row>
    <row r="162">
      <c r="A162" s="27" t="str">
        <f>'Landscape Trees '!A17</f>
        <v>Acer saccharum 'Legacy'</v>
      </c>
      <c r="B162" s="27" t="str">
        <f>'Landscape Trees '!C17</f>
        <v>Legacy Sugar Maple</v>
      </c>
      <c r="C162" s="27" t="str">
        <f>'Landscape Trees '!D17</f>
        <v>#15</v>
      </c>
      <c r="D162" s="28" t="str">
        <f>'Landscape Trees '!E17</f>
        <v>0.5-0.75"</v>
      </c>
      <c r="E162" s="27" t="str">
        <f>'Landscape Trees '!F17</f>
        <v>7-7'</v>
      </c>
      <c r="F162" s="29">
        <f>'Landscape Trees '!G17</f>
        <v>2</v>
      </c>
      <c r="G162" s="27">
        <f>'Landscape Trees '!H17</f>
        <v>0</v>
      </c>
      <c r="H162" s="30">
        <f>'Landscape Trees '!I17</f>
        <v>115</v>
      </c>
      <c r="I162" s="27" t="str">
        <f t="shared" si="3"/>
        <v>Legacy Sugar Maple #15-2020</v>
      </c>
      <c r="J162" s="11"/>
      <c r="K162" s="30">
        <f t="shared" si="4"/>
        <v>0</v>
      </c>
    </row>
    <row r="163">
      <c r="A163" s="27" t="str">
        <f>'Landscape Trees '!A18</f>
        <v>Acer tataricum 'Hot Wings'</v>
      </c>
      <c r="B163" s="27" t="str">
        <f>'Landscape Trees '!C18</f>
        <v>Hot Wings Maple</v>
      </c>
      <c r="C163" s="27" t="str">
        <f>'Landscape Trees '!D18</f>
        <v>#15</v>
      </c>
      <c r="D163" s="28" t="str">
        <f>'Landscape Trees '!E18</f>
        <v>0-0"</v>
      </c>
      <c r="E163" s="27" t="str">
        <f>'Landscape Trees '!F18</f>
        <v>0-0'</v>
      </c>
      <c r="F163" s="29">
        <f>'Landscape Trees '!G18</f>
        <v>0</v>
      </c>
      <c r="G163" s="27">
        <f>'Landscape Trees '!H18</f>
        <v>5</v>
      </c>
      <c r="H163" s="30">
        <f>'Landscape Trees '!I18</f>
        <v>115</v>
      </c>
      <c r="I163" s="27" t="str">
        <f t="shared" si="3"/>
        <v>Hot Wings Maple #15-2020</v>
      </c>
      <c r="J163" s="11"/>
      <c r="K163" s="30">
        <f t="shared" si="4"/>
        <v>0</v>
      </c>
    </row>
    <row r="164">
      <c r="A164" s="27" t="str">
        <f>'Landscape Trees '!A19</f>
        <v>Acer tataricum 'Hot Wings'</v>
      </c>
      <c r="B164" s="27" t="str">
        <f>'Landscape Trees '!C19</f>
        <v>Hot Wings Maple</v>
      </c>
      <c r="C164" s="27" t="str">
        <f>'Landscape Trees '!D19</f>
        <v>#25</v>
      </c>
      <c r="D164" s="28" t="str">
        <f>'Landscape Trees '!E19</f>
        <v>1-1.5"</v>
      </c>
      <c r="E164" s="27" t="str">
        <f>'Landscape Trees '!F19</f>
        <v>8-11'</v>
      </c>
      <c r="F164" s="29">
        <f>'Landscape Trees '!G19</f>
        <v>5</v>
      </c>
      <c r="G164" s="27">
        <f>'Landscape Trees '!H19</f>
        <v>0</v>
      </c>
      <c r="H164" s="30">
        <f>'Landscape Trees '!I19</f>
        <v>140</v>
      </c>
      <c r="I164" s="27" t="str">
        <f t="shared" si="3"/>
        <v>Hot Wings Maple #25-2020</v>
      </c>
      <c r="J164" s="11"/>
      <c r="K164" s="30">
        <f t="shared" si="4"/>
        <v>0</v>
      </c>
    </row>
    <row r="165">
      <c r="A165" s="27" t="str">
        <f>'Landscape Trees '!A20</f>
        <v>Acer x freemanii</v>
      </c>
      <c r="B165" s="27" t="str">
        <f>'Landscape Trees '!C20</f>
        <v>Autumn Blaze Maple</v>
      </c>
      <c r="C165" s="27" t="str">
        <f>'Landscape Trees '!D20</f>
        <v>#5</v>
      </c>
      <c r="D165" s="28" t="str">
        <f>'Landscape Trees '!E20</f>
        <v>0.38-0.25"</v>
      </c>
      <c r="E165" s="27" t="str">
        <f>'Landscape Trees '!F20</f>
        <v>1-2'</v>
      </c>
      <c r="F165" s="29">
        <f>'Landscape Trees '!G20</f>
        <v>0</v>
      </c>
      <c r="G165" s="27">
        <f>'Landscape Trees '!H20</f>
        <v>25</v>
      </c>
      <c r="H165" s="30">
        <f>'Landscape Trees '!I20</f>
        <v>40</v>
      </c>
      <c r="I165" s="27" t="str">
        <f t="shared" si="3"/>
        <v>Autumn Blaze Maple #5-2020</v>
      </c>
      <c r="J165" s="11"/>
      <c r="K165" s="30">
        <f t="shared" si="4"/>
        <v>0</v>
      </c>
    </row>
    <row r="166">
      <c r="A166" s="27" t="str">
        <f>'Landscape Trees '!A21</f>
        <v>Acer x freemanii</v>
      </c>
      <c r="B166" s="27" t="str">
        <f>'Landscape Trees '!C21</f>
        <v>Autumn Blaze Maple</v>
      </c>
      <c r="C166" s="27" t="str">
        <f>'Landscape Trees '!D21</f>
        <v>#10</v>
      </c>
      <c r="D166" s="28" t="str">
        <f>'Landscape Trees '!E21</f>
        <v>0-1.5"</v>
      </c>
      <c r="E166" s="27" t="str">
        <f>'Landscape Trees '!F21</f>
        <v>0-9'</v>
      </c>
      <c r="F166" s="29">
        <f>'Landscape Trees '!G21</f>
        <v>0</v>
      </c>
      <c r="G166" s="27">
        <f>'Landscape Trees '!H21</f>
        <v>17</v>
      </c>
      <c r="H166" s="30">
        <f>'Landscape Trees '!I21</f>
        <v>85</v>
      </c>
      <c r="I166" s="27" t="str">
        <f t="shared" si="3"/>
        <v>Autumn Blaze Maple #10-2020</v>
      </c>
      <c r="J166" s="11"/>
      <c r="K166" s="30">
        <f t="shared" si="4"/>
        <v>0</v>
      </c>
    </row>
    <row r="167">
      <c r="A167" s="27" t="str">
        <f>'Landscape Trees '!A22</f>
        <v>Aesculus carnea 'Ft. McNair'</v>
      </c>
      <c r="B167" s="27" t="str">
        <f>'Landscape Trees '!C22</f>
        <v>Ft. McNair Horsechestnut</v>
      </c>
      <c r="C167" s="27" t="str">
        <f>'Landscape Trees '!D22</f>
        <v>#15</v>
      </c>
      <c r="D167" s="28" t="str">
        <f>'Landscape Trees '!E22</f>
        <v>1.25-1.5"</v>
      </c>
      <c r="E167" s="27" t="str">
        <f>'Landscape Trees '!F22</f>
        <v>8-9'</v>
      </c>
      <c r="F167" s="29">
        <f>'Landscape Trees '!G22</f>
        <v>1</v>
      </c>
      <c r="G167" s="27">
        <f>'Landscape Trees '!H22</f>
        <v>12</v>
      </c>
      <c r="H167" s="30">
        <f>'Landscape Trees '!I22</f>
        <v>140</v>
      </c>
      <c r="I167" s="27" t="str">
        <f t="shared" si="3"/>
        <v>Ft. McNair Horsechestnut #15-2020</v>
      </c>
      <c r="J167" s="11"/>
      <c r="K167" s="30">
        <f t="shared" si="4"/>
        <v>0</v>
      </c>
    </row>
    <row r="168">
      <c r="A168" s="27" t="str">
        <f>'Landscape Trees '!A23</f>
        <v>Aesculus carnea 'Ft. McNair'</v>
      </c>
      <c r="B168" s="27" t="str">
        <f>'Landscape Trees '!C23</f>
        <v>Ft. McNair Horsechestnut</v>
      </c>
      <c r="C168" s="27" t="str">
        <f>'Landscape Trees '!D23</f>
        <v>#25</v>
      </c>
      <c r="D168" s="28" t="str">
        <f>'Landscape Trees '!E23</f>
        <v>1.25-1.5"</v>
      </c>
      <c r="E168" s="27" t="str">
        <f>'Landscape Trees '!F23</f>
        <v>8-9'</v>
      </c>
      <c r="F168" s="29">
        <f>'Landscape Trees '!G23</f>
        <v>1</v>
      </c>
      <c r="G168" s="27">
        <f>'Landscape Trees '!H23</f>
        <v>0</v>
      </c>
      <c r="H168" s="30">
        <f>'Landscape Trees '!I23</f>
        <v>155</v>
      </c>
      <c r="I168" s="27" t="str">
        <f t="shared" si="3"/>
        <v>Ft. McNair Horsechestnut #25-2020</v>
      </c>
      <c r="J168" s="11"/>
      <c r="K168" s="30">
        <f t="shared" si="4"/>
        <v>0</v>
      </c>
    </row>
    <row r="169">
      <c r="A169" s="27" t="str">
        <f>'Landscape Trees '!A24</f>
        <v>Aesculus hippocastanum</v>
      </c>
      <c r="B169" s="27" t="str">
        <f>'Landscape Trees '!C24</f>
        <v>European Horsechestnut</v>
      </c>
      <c r="C169" s="27" t="str">
        <f>'Landscape Trees '!D24</f>
        <v>#5</v>
      </c>
      <c r="D169" s="28" t="str">
        <f>'Landscape Trees '!E24</f>
        <v>1-1.25"</v>
      </c>
      <c r="E169" s="27" t="str">
        <f>'Landscape Trees '!F24</f>
        <v>4-5'</v>
      </c>
      <c r="F169" s="29">
        <f>'Landscape Trees '!G24</f>
        <v>15</v>
      </c>
      <c r="G169" s="27">
        <f>'Landscape Trees '!H24</f>
        <v>0</v>
      </c>
      <c r="H169" s="30">
        <f>'Landscape Trees '!I24</f>
        <v>45</v>
      </c>
      <c r="I169" s="27" t="str">
        <f t="shared" si="3"/>
        <v>European Horsechestnut #5-2020</v>
      </c>
      <c r="J169" s="11"/>
      <c r="K169" s="30">
        <f t="shared" si="4"/>
        <v>0</v>
      </c>
    </row>
    <row r="170">
      <c r="A170" s="27" t="str">
        <f>'Landscape Trees '!A25</f>
        <v>Aesculus parviflora</v>
      </c>
      <c r="B170" s="27" t="str">
        <f>'Landscape Trees '!C25</f>
        <v>Bottlebrush Buckeye</v>
      </c>
      <c r="C170" s="27" t="str">
        <f>'Landscape Trees '!D25</f>
        <v>#5</v>
      </c>
      <c r="D170" s="28" t="str">
        <f>'Landscape Trees '!E25</f>
        <v>0.38-0.25"</v>
      </c>
      <c r="E170" s="27" t="str">
        <f>'Landscape Trees '!F25</f>
        <v>1-2'</v>
      </c>
      <c r="F170" s="29">
        <f>'Landscape Trees '!G25</f>
        <v>0</v>
      </c>
      <c r="G170" s="27">
        <f>'Landscape Trees '!H25</f>
        <v>100</v>
      </c>
      <c r="H170" s="30">
        <f>'Landscape Trees '!I25</f>
        <v>55</v>
      </c>
      <c r="I170" s="27" t="str">
        <f t="shared" si="3"/>
        <v>Bottlebrush Buckeye #5-2020</v>
      </c>
      <c r="J170" s="11"/>
      <c r="K170" s="30">
        <f t="shared" si="4"/>
        <v>0</v>
      </c>
    </row>
    <row r="171">
      <c r="A171" s="27" t="str">
        <f>'Landscape Trees '!A26</f>
        <v>Aesculus parviflora</v>
      </c>
      <c r="B171" s="27" t="str">
        <f>'Landscape Trees '!C26</f>
        <v>Bottlebrush Buckeye</v>
      </c>
      <c r="C171" s="27" t="str">
        <f>'Landscape Trees '!D26</f>
        <v>#7p</v>
      </c>
      <c r="D171" s="28" t="str">
        <f>'Landscape Trees '!E26</f>
        <v>0.5-0.75"</v>
      </c>
      <c r="E171" s="27" t="str">
        <f>'Landscape Trees '!F26</f>
        <v>4-5'</v>
      </c>
      <c r="F171" s="29">
        <f>'Landscape Trees '!G26</f>
        <v>0</v>
      </c>
      <c r="G171" s="27">
        <f>'Landscape Trees '!H26</f>
        <v>10</v>
      </c>
      <c r="H171" s="30">
        <f>'Landscape Trees '!I26</f>
        <v>65</v>
      </c>
      <c r="I171" s="27" t="str">
        <f t="shared" si="3"/>
        <v>Bottlebrush Buckeye #7p-2020</v>
      </c>
      <c r="J171" s="11"/>
      <c r="K171" s="30">
        <f t="shared" si="4"/>
        <v>0</v>
      </c>
    </row>
    <row r="172">
      <c r="A172" s="27" t="str">
        <f>'Landscape Trees '!A27</f>
        <v>Aesculus pavia</v>
      </c>
      <c r="B172" s="27" t="str">
        <f>'Landscape Trees '!C27</f>
        <v>Red Buckeye</v>
      </c>
      <c r="C172" s="27" t="str">
        <f>'Landscape Trees '!D27</f>
        <v>#5</v>
      </c>
      <c r="D172" s="28" t="str">
        <f>'Landscape Trees '!E27</f>
        <v>0.25-0.5"</v>
      </c>
      <c r="E172" s="27" t="str">
        <f>'Landscape Trees '!F27</f>
        <v>1-3'</v>
      </c>
      <c r="F172" s="29">
        <f>'Landscape Trees '!G27</f>
        <v>2</v>
      </c>
      <c r="G172" s="27">
        <f>'Landscape Trees '!H27</f>
        <v>50</v>
      </c>
      <c r="H172" s="30">
        <f>'Landscape Trees '!I27</f>
        <v>45</v>
      </c>
      <c r="I172" s="27" t="str">
        <f t="shared" si="3"/>
        <v>Red Buckeye #5-2020</v>
      </c>
      <c r="J172" s="11"/>
      <c r="K172" s="30">
        <f t="shared" si="4"/>
        <v>0</v>
      </c>
    </row>
    <row r="173">
      <c r="A173" s="27" t="str">
        <f>'Landscape Trees '!A28</f>
        <v>Albizia julibrissin 'E.H.Wilson'</v>
      </c>
      <c r="B173" s="27" t="str">
        <f>'Landscape Trees '!C28</f>
        <v>Cold Hardy Mimosa</v>
      </c>
      <c r="C173" s="27" t="str">
        <f>'Landscape Trees '!D28</f>
        <v>#5</v>
      </c>
      <c r="D173" s="32" t="str">
        <f>'Landscape Trees '!E28</f>
        <v>Multi</v>
      </c>
      <c r="E173" s="27" t="str">
        <f>'Landscape Trees '!F28</f>
        <v>3-4'</v>
      </c>
      <c r="F173" s="29">
        <f>'Landscape Trees '!G28</f>
        <v>11</v>
      </c>
      <c r="G173" s="27">
        <f>'Landscape Trees '!H28</f>
        <v>0</v>
      </c>
      <c r="H173" s="30">
        <f>'Landscape Trees '!I28</f>
        <v>35</v>
      </c>
      <c r="I173" s="27" t="str">
        <f t="shared" si="3"/>
        <v>Cold Hardy Mimosa #5-2020</v>
      </c>
      <c r="J173" s="11"/>
      <c r="K173" s="30">
        <f t="shared" si="4"/>
        <v>0</v>
      </c>
    </row>
    <row r="174">
      <c r="A174" s="27" t="str">
        <f>'Landscape Trees '!A29</f>
        <v>Amelanchier canadensis</v>
      </c>
      <c r="B174" s="27" t="str">
        <f>'Landscape Trees '!C29</f>
        <v>Canadensis Serviceberry</v>
      </c>
      <c r="C174" s="27" t="str">
        <f>'Landscape Trees '!D29</f>
        <v>#15</v>
      </c>
      <c r="D174" s="32" t="str">
        <f>'Landscape Trees '!E29</f>
        <v>Multi</v>
      </c>
      <c r="E174" s="27" t="str">
        <f>'Landscape Trees '!F29</f>
        <v>6-7'</v>
      </c>
      <c r="F174" s="29">
        <f>'Landscape Trees '!G29</f>
        <v>5</v>
      </c>
      <c r="G174" s="27">
        <f>'Landscape Trees '!H29</f>
        <v>0</v>
      </c>
      <c r="H174" s="30">
        <f>'Landscape Trees '!I29</f>
        <v>115</v>
      </c>
      <c r="I174" s="27" t="str">
        <f t="shared" si="3"/>
        <v>Canadensis Serviceberry #15-2020</v>
      </c>
      <c r="J174" s="11"/>
      <c r="K174" s="30">
        <f t="shared" si="4"/>
        <v>0</v>
      </c>
    </row>
    <row r="175">
      <c r="A175" s="27" t="str">
        <f>'Landscape Trees '!A30</f>
        <v>Amelanchier grandiflora 'Autumn Brilliance'</v>
      </c>
      <c r="B175" s="27" t="str">
        <f>'Landscape Trees '!C30</f>
        <v>Autumn Brillance Serviceberry</v>
      </c>
      <c r="C175" s="27" t="str">
        <f>'Landscape Trees '!D30</f>
        <v>#5</v>
      </c>
      <c r="D175" s="28" t="str">
        <f>'Landscape Trees '!E30</f>
        <v>0.25-0.5"</v>
      </c>
      <c r="E175" s="27" t="str">
        <f>'Landscape Trees '!F30</f>
        <v>5-6'</v>
      </c>
      <c r="F175" s="29">
        <f>'Landscape Trees '!G30</f>
        <v>0</v>
      </c>
      <c r="G175" s="27">
        <f>'Landscape Trees '!H30</f>
        <v>50</v>
      </c>
      <c r="H175" s="30">
        <f>'Landscape Trees '!I30</f>
        <v>40</v>
      </c>
      <c r="I175" s="27" t="str">
        <f t="shared" si="3"/>
        <v>Autumn Brillance Serviceberry #5-2020</v>
      </c>
      <c r="J175" s="11"/>
      <c r="K175" s="30">
        <f t="shared" si="4"/>
        <v>0</v>
      </c>
    </row>
    <row r="176">
      <c r="A176" s="27" t="str">
        <f>'Landscape Trees '!A31</f>
        <v>Amelanchier grandiflora 'Autumn Brilliance'</v>
      </c>
      <c r="B176" s="27" t="str">
        <f>'Landscape Trees '!C31</f>
        <v>Autumn Brilliance Serviceberry</v>
      </c>
      <c r="C176" s="27" t="str">
        <f>'Landscape Trees '!D31</f>
        <v>#15</v>
      </c>
      <c r="D176" s="28" t="str">
        <f>'Landscape Trees '!E31</f>
        <v>1-1"</v>
      </c>
      <c r="E176" s="27" t="str">
        <f>'Landscape Trees '!F31</f>
        <v>9-10'</v>
      </c>
      <c r="F176" s="29">
        <f>'Landscape Trees '!G31</f>
        <v>4</v>
      </c>
      <c r="G176" s="27">
        <f>'Landscape Trees '!H31</f>
        <v>0</v>
      </c>
      <c r="H176" s="30">
        <f>'Landscape Trees '!I31</f>
        <v>115</v>
      </c>
      <c r="I176" s="27" t="str">
        <f t="shared" si="3"/>
        <v>Autumn Brilliance Serviceberry #15-2020</v>
      </c>
      <c r="J176" s="11"/>
      <c r="K176" s="30">
        <f t="shared" si="4"/>
        <v>0</v>
      </c>
    </row>
    <row r="177">
      <c r="A177" s="27" t="str">
        <f>'Landscape Trees '!A32</f>
        <v>Amelanchier laevis</v>
      </c>
      <c r="B177" s="27" t="str">
        <f>'Landscape Trees '!C32</f>
        <v>Allegheny Serviceberry</v>
      </c>
      <c r="C177" s="27" t="str">
        <f>'Landscape Trees '!D32</f>
        <v>#5</v>
      </c>
      <c r="D177" s="28" t="str">
        <f>'Landscape Trees '!E32</f>
        <v>0.25-0.75"</v>
      </c>
      <c r="E177" s="27" t="str">
        <f>'Landscape Trees '!F32</f>
        <v>5-7'</v>
      </c>
      <c r="F177" s="31">
        <f>'Landscape Trees '!G32</f>
        <v>26</v>
      </c>
      <c r="G177" s="27">
        <f>'Landscape Trees '!H32</f>
        <v>0</v>
      </c>
      <c r="H177" s="30">
        <f>'Landscape Trees '!I32</f>
        <v>40</v>
      </c>
      <c r="I177" s="27" t="str">
        <f t="shared" si="3"/>
        <v>Allegheny Serviceberry #5-2020</v>
      </c>
      <c r="J177" s="11"/>
      <c r="K177" s="30">
        <f t="shared" si="4"/>
        <v>0</v>
      </c>
    </row>
    <row r="178">
      <c r="A178" s="27" t="str">
        <f>'Landscape Trees '!A33</f>
        <v>Amelanchier lamarckii</v>
      </c>
      <c r="B178" s="27" t="str">
        <f>'Landscape Trees '!C33</f>
        <v>Lamarckii Serviceberry</v>
      </c>
      <c r="C178" s="27" t="str">
        <f>'Landscape Trees '!D33</f>
        <v>#5</v>
      </c>
      <c r="D178" s="28" t="str">
        <f>'Landscape Trees '!E33</f>
        <v>0.125-0.125"</v>
      </c>
      <c r="E178" s="27" t="str">
        <f>'Landscape Trees '!F33</f>
        <v>2-8'</v>
      </c>
      <c r="F178" s="29">
        <f>'Landscape Trees '!G33</f>
        <v>54</v>
      </c>
      <c r="G178" s="27">
        <f>'Landscape Trees '!H33</f>
        <v>0</v>
      </c>
      <c r="H178" s="30">
        <f>'Landscape Trees '!I33</f>
        <v>40</v>
      </c>
      <c r="I178" s="27" t="str">
        <f t="shared" si="3"/>
        <v>Lamarckii Serviceberry #5-2020</v>
      </c>
      <c r="J178" s="11"/>
      <c r="K178" s="30">
        <f t="shared" si="4"/>
        <v>0</v>
      </c>
    </row>
    <row r="179">
      <c r="A179" s="27" t="str">
        <f>'Landscape Trees '!A34</f>
        <v>Amelanchier lamarckii</v>
      </c>
      <c r="B179" s="27" t="str">
        <f>'Landscape Trees '!C34</f>
        <v>Lamarckii Serviceberry</v>
      </c>
      <c r="C179" s="27" t="str">
        <f>'Landscape Trees '!D34</f>
        <v>#5</v>
      </c>
      <c r="D179" s="28" t="str">
        <f>'Landscape Trees '!E34</f>
        <v>Multi</v>
      </c>
      <c r="E179" s="27" t="str">
        <f>'Landscape Trees '!F34</f>
        <v>2-8'</v>
      </c>
      <c r="F179" s="29">
        <f>'Landscape Trees '!G34</f>
        <v>12</v>
      </c>
      <c r="G179" s="27">
        <f>'Landscape Trees '!H34</f>
        <v>0</v>
      </c>
      <c r="H179" s="30">
        <f>'Landscape Trees '!I34</f>
        <v>40</v>
      </c>
      <c r="I179" s="27" t="str">
        <f t="shared" si="3"/>
        <v>Lamarckii Serviceberry #5-2020</v>
      </c>
      <c r="J179" s="11"/>
      <c r="K179" s="30">
        <f t="shared" si="4"/>
        <v>0</v>
      </c>
    </row>
    <row r="180">
      <c r="A180" s="27" t="str">
        <f>'Landscape Trees '!A35</f>
        <v>Aronia melanocarpa</v>
      </c>
      <c r="B180" s="27" t="str">
        <f>'Landscape Trees '!C35</f>
        <v>Black Chokeberry</v>
      </c>
      <c r="C180" s="27" t="str">
        <f>'Landscape Trees '!D35</f>
        <v>#5</v>
      </c>
      <c r="D180" s="28" t="str">
        <f>'Landscape Trees '!E35</f>
        <v>Multi</v>
      </c>
      <c r="E180" s="27" t="str">
        <f>'Landscape Trees '!F35</f>
        <v>3-4'</v>
      </c>
      <c r="F180" s="29">
        <f>'Landscape Trees '!G35</f>
        <v>1</v>
      </c>
      <c r="G180" s="27">
        <f>'Landscape Trees '!H35</f>
        <v>100</v>
      </c>
      <c r="H180" s="30">
        <f>'Landscape Trees '!I35</f>
        <v>32</v>
      </c>
      <c r="I180" s="27" t="str">
        <f t="shared" si="3"/>
        <v>Black Chokeberry #5-2020</v>
      </c>
      <c r="J180" s="11"/>
      <c r="K180" s="30">
        <f t="shared" si="4"/>
        <v>0</v>
      </c>
    </row>
    <row r="181">
      <c r="A181" s="27" t="str">
        <f>'Landscape Trees '!A36</f>
        <v>Aronia melanocarpa 'Viking'</v>
      </c>
      <c r="B181" s="27" t="str">
        <f>'Landscape Trees '!C36</f>
        <v>Viking Black Chokeberry</v>
      </c>
      <c r="C181" s="27" t="str">
        <f>'Landscape Trees '!D36</f>
        <v>#5</v>
      </c>
      <c r="D181" s="28" t="str">
        <f>'Landscape Trees '!E36</f>
        <v>Multi</v>
      </c>
      <c r="E181" s="27" t="str">
        <f>'Landscape Trees '!F36</f>
        <v>1-2'</v>
      </c>
      <c r="F181" s="29">
        <f>'Landscape Trees '!G36</f>
        <v>0</v>
      </c>
      <c r="G181" s="27">
        <f>'Landscape Trees '!H36</f>
        <v>72</v>
      </c>
      <c r="H181" s="30">
        <f>'Landscape Trees '!I36</f>
        <v>35</v>
      </c>
      <c r="I181" s="27" t="str">
        <f t="shared" si="3"/>
        <v>Viking Black Chokeberry #5-2020</v>
      </c>
      <c r="J181" s="11"/>
      <c r="K181" s="30">
        <f t="shared" si="4"/>
        <v>0</v>
      </c>
    </row>
    <row r="182">
      <c r="A182" s="27" t="str">
        <f>'Landscape Trees '!A37</f>
        <v>Betula nigra</v>
      </c>
      <c r="B182" s="27" t="str">
        <f>'Landscape Trees '!C37</f>
        <v>River Birch</v>
      </c>
      <c r="C182" s="27" t="str">
        <f>'Landscape Trees '!D37</f>
        <v>#5</v>
      </c>
      <c r="D182" s="28" t="str">
        <f>'Landscape Trees '!E37</f>
        <v>0-1.25"</v>
      </c>
      <c r="E182" s="27" t="str">
        <f>'Landscape Trees '!F37</f>
        <v>0-8'</v>
      </c>
      <c r="F182" s="29">
        <f>'Landscape Trees '!G37</f>
        <v>0</v>
      </c>
      <c r="G182" s="27">
        <f>'Landscape Trees '!H37</f>
        <v>200</v>
      </c>
      <c r="H182" s="30">
        <f>'Landscape Trees '!I37</f>
        <v>40</v>
      </c>
      <c r="I182" s="27" t="str">
        <f t="shared" si="3"/>
        <v>River Birch #5-2020</v>
      </c>
      <c r="J182" s="11"/>
      <c r="K182" s="30">
        <f t="shared" si="4"/>
        <v>0</v>
      </c>
    </row>
    <row r="183">
      <c r="A183" s="27" t="str">
        <f>'Landscape Trees '!A38</f>
        <v>Betula nigra</v>
      </c>
      <c r="B183" s="27" t="str">
        <f>'Landscape Trees '!C38</f>
        <v>River Birch</v>
      </c>
      <c r="C183" s="27" t="str">
        <f>'Landscape Trees '!D38</f>
        <v>#7</v>
      </c>
      <c r="D183" s="28" t="str">
        <f>'Landscape Trees '!E38</f>
        <v>0.25-0.5"</v>
      </c>
      <c r="E183" s="27" t="str">
        <f>'Landscape Trees '!F38</f>
        <v>4-5'</v>
      </c>
      <c r="F183" s="29">
        <f>'Landscape Trees '!G38</f>
        <v>23</v>
      </c>
      <c r="G183" s="27">
        <f>'Landscape Trees '!H38</f>
        <v>0</v>
      </c>
      <c r="H183" s="30">
        <f>'Landscape Trees '!I38</f>
        <v>45</v>
      </c>
      <c r="I183" s="27" t="str">
        <f t="shared" si="3"/>
        <v>River Birch #7-2020</v>
      </c>
      <c r="J183" s="11"/>
      <c r="K183" s="30">
        <f t="shared" si="4"/>
        <v>0</v>
      </c>
    </row>
    <row r="184">
      <c r="A184" s="27" t="str">
        <f>'Landscape Trees '!A39</f>
        <v>Betula nigra</v>
      </c>
      <c r="B184" s="27" t="str">
        <f>'Landscape Trees '!C39</f>
        <v>River Birch</v>
      </c>
      <c r="C184" s="27" t="str">
        <f>'Landscape Trees '!D39</f>
        <v>#15</v>
      </c>
      <c r="D184" s="32" t="str">
        <f>'Landscape Trees '!E39</f>
        <v>Multi</v>
      </c>
      <c r="E184" s="27" t="str">
        <f>'Landscape Trees '!F39</f>
        <v>3-11'</v>
      </c>
      <c r="F184" s="29">
        <f>'Landscape Trees '!G39</f>
        <v>2</v>
      </c>
      <c r="G184" s="27">
        <f>'Landscape Trees '!H39</f>
        <v>5</v>
      </c>
      <c r="H184" s="30">
        <f>'Landscape Trees '!I39</f>
        <v>115</v>
      </c>
      <c r="I184" s="27" t="str">
        <f t="shared" si="3"/>
        <v>River Birch #15-2020</v>
      </c>
      <c r="J184" s="11"/>
      <c r="K184" s="30">
        <f t="shared" si="4"/>
        <v>0</v>
      </c>
    </row>
    <row r="185">
      <c r="A185" s="27" t="str">
        <f>'Landscape Trees '!A40</f>
        <v>Betula nigra Clump</v>
      </c>
      <c r="B185" s="27" t="str">
        <f>'Landscape Trees '!C40</f>
        <v>Clump River Birch</v>
      </c>
      <c r="C185" s="27" t="str">
        <f>'Landscape Trees '!D40</f>
        <v>#15</v>
      </c>
      <c r="D185" s="28" t="str">
        <f>'Landscape Trees '!E40</f>
        <v>0.25-0.5"</v>
      </c>
      <c r="E185" s="27" t="str">
        <f>'Landscape Trees '!F40</f>
        <v>4-5'</v>
      </c>
      <c r="F185" s="29">
        <f>'Landscape Trees '!G40</f>
        <v>0</v>
      </c>
      <c r="G185" s="27">
        <f>'Landscape Trees '!H40</f>
        <v>25</v>
      </c>
      <c r="H185" s="30">
        <f>'Landscape Trees '!I40</f>
        <v>0</v>
      </c>
      <c r="I185" s="27" t="str">
        <f t="shared" si="3"/>
        <v>Clump River Birch #15-2020</v>
      </c>
      <c r="J185" s="11"/>
      <c r="K185" s="30">
        <f t="shared" si="4"/>
        <v>0</v>
      </c>
    </row>
    <row r="186">
      <c r="A186" s="27" t="str">
        <f>'Landscape Trees '!A41</f>
        <v>Betula papyrifera</v>
      </c>
      <c r="B186" s="27" t="str">
        <f>'Landscape Trees '!C41</f>
        <v>Paper Birch</v>
      </c>
      <c r="C186" s="27" t="str">
        <f>'Landscape Trees '!D41</f>
        <v>#5</v>
      </c>
      <c r="D186" s="28" t="str">
        <f>'Landscape Trees '!E41</f>
        <v>0.38-0.25"</v>
      </c>
      <c r="E186" s="27" t="str">
        <f>'Landscape Trees '!F41</f>
        <v>1-2'</v>
      </c>
      <c r="F186" s="29">
        <f>'Landscape Trees '!G41</f>
        <v>0</v>
      </c>
      <c r="G186" s="27">
        <f>'Landscape Trees '!H41</f>
        <v>50</v>
      </c>
      <c r="H186" s="30">
        <f>'Landscape Trees '!I41</f>
        <v>40</v>
      </c>
      <c r="I186" s="27" t="str">
        <f t="shared" si="3"/>
        <v>Paper Birch #5-2020</v>
      </c>
      <c r="J186" s="11"/>
      <c r="K186" s="30">
        <f t="shared" si="4"/>
        <v>0</v>
      </c>
    </row>
    <row r="187">
      <c r="A187" s="27" t="str">
        <f>'Landscape Trees '!A42</f>
        <v>Betula pendula</v>
      </c>
      <c r="B187" s="27" t="str">
        <f>'Landscape Trees '!C42</f>
        <v>European Silver Birch</v>
      </c>
      <c r="C187" s="27" t="str">
        <f>'Landscape Trees '!D42</f>
        <v>#5</v>
      </c>
      <c r="D187" s="28" t="str">
        <f>'Landscape Trees '!E42</f>
        <v>1-1.25"</v>
      </c>
      <c r="E187" s="27" t="str">
        <f>'Landscape Trees '!F42</f>
        <v>9-13'</v>
      </c>
      <c r="F187" s="29">
        <f>'Landscape Trees '!G42</f>
        <v>6</v>
      </c>
      <c r="G187" s="27">
        <f>'Landscape Trees '!H42</f>
        <v>0</v>
      </c>
      <c r="H187" s="30">
        <f>'Landscape Trees '!I42</f>
        <v>40</v>
      </c>
      <c r="I187" s="27" t="str">
        <f t="shared" si="3"/>
        <v>European Silver Birch #5-2020</v>
      </c>
      <c r="J187" s="11"/>
      <c r="K187" s="30">
        <f t="shared" si="4"/>
        <v>0</v>
      </c>
    </row>
    <row r="188">
      <c r="A188" s="27" t="str">
        <f>'Landscape Trees '!A43</f>
        <v>Betula populifolia</v>
      </c>
      <c r="B188" s="27" t="str">
        <f>'Landscape Trees '!C43</f>
        <v>Gray Birch</v>
      </c>
      <c r="C188" s="27" t="str">
        <f>'Landscape Trees '!D43</f>
        <v>#5</v>
      </c>
      <c r="D188" s="28" t="str">
        <f>'Landscape Trees '!E43</f>
        <v>0.5-1.5"</v>
      </c>
      <c r="E188" s="27" t="str">
        <f>'Landscape Trees '!F43</f>
        <v>4-14'</v>
      </c>
      <c r="F188" s="29">
        <f>'Landscape Trees '!G43</f>
        <v>23</v>
      </c>
      <c r="G188" s="27">
        <f>'Landscape Trees '!H43</f>
        <v>0</v>
      </c>
      <c r="H188" s="30">
        <f>'Landscape Trees '!I43</f>
        <v>40</v>
      </c>
      <c r="I188" s="27" t="str">
        <f t="shared" si="3"/>
        <v>Gray Birch #5-2020</v>
      </c>
      <c r="J188" s="11"/>
      <c r="K188" s="30">
        <f t="shared" si="4"/>
        <v>0</v>
      </c>
    </row>
    <row r="189">
      <c r="A189" s="27" t="str">
        <f>'Landscape Trees '!A44</f>
        <v>Carpinus betulus</v>
      </c>
      <c r="B189" s="27" t="str">
        <f>'Landscape Trees '!C44</f>
        <v>European Hornbeam</v>
      </c>
      <c r="C189" s="27" t="str">
        <f>'Landscape Trees '!D44</f>
        <v>#7</v>
      </c>
      <c r="D189" s="28" t="str">
        <f>'Landscape Trees '!E44</f>
        <v>1-1.5"</v>
      </c>
      <c r="E189" s="27" t="str">
        <f>'Landscape Trees '!F44</f>
        <v>5-10'</v>
      </c>
      <c r="F189" s="29">
        <f>'Landscape Trees '!G44</f>
        <v>17</v>
      </c>
      <c r="G189" s="27">
        <f>'Landscape Trees '!H44</f>
        <v>0</v>
      </c>
      <c r="H189" s="30">
        <f>'Landscape Trees '!I44</f>
        <v>70</v>
      </c>
      <c r="I189" s="27" t="str">
        <f t="shared" si="3"/>
        <v>European Hornbeam #7-2020</v>
      </c>
      <c r="J189" s="11"/>
      <c r="K189" s="30">
        <f t="shared" si="4"/>
        <v>0</v>
      </c>
    </row>
    <row r="190">
      <c r="A190" s="27" t="str">
        <f>'Landscape Trees '!A45</f>
        <v>Carpinus betulus 'Fastigiata'</v>
      </c>
      <c r="B190" s="27" t="str">
        <f>'Landscape Trees '!C45</f>
        <v>Pyramidal Hornbeam</v>
      </c>
      <c r="C190" s="27" t="str">
        <f>'Landscape Trees '!D45</f>
        <v>#15</v>
      </c>
      <c r="D190" s="28" t="str">
        <f>'Landscape Trees '!E45</f>
        <v>0.75-1"</v>
      </c>
      <c r="E190" s="27" t="str">
        <f>'Landscape Trees '!F45</f>
        <v>6-8'</v>
      </c>
      <c r="F190" s="29">
        <f>'Landscape Trees '!G45</f>
        <v>10</v>
      </c>
      <c r="G190" s="27">
        <f>'Landscape Trees '!H45</f>
        <v>0</v>
      </c>
      <c r="H190" s="30">
        <f>'Landscape Trees '!I45</f>
        <v>115</v>
      </c>
      <c r="I190" s="27" t="str">
        <f t="shared" si="3"/>
        <v>Pyramidal Hornbeam #15-2020</v>
      </c>
      <c r="J190" s="11"/>
      <c r="K190" s="30">
        <f t="shared" si="4"/>
        <v>0</v>
      </c>
    </row>
    <row r="191">
      <c r="A191" s="27" t="str">
        <f>'Landscape Trees '!A46</f>
        <v>Carpinus betulus 'Frans Fontaine'</v>
      </c>
      <c r="B191" s="27" t="str">
        <f>'Landscape Trees '!C46</f>
        <v>Frans Fontaine European Hornbeam</v>
      </c>
      <c r="C191" s="27" t="str">
        <f>'Landscape Trees '!D46</f>
        <v>#10</v>
      </c>
      <c r="D191" s="28" t="str">
        <f>'Landscape Trees '!E46</f>
        <v>1.5-1.5"</v>
      </c>
      <c r="E191" s="27" t="str">
        <f>'Landscape Trees '!F46</f>
        <v>7-7'</v>
      </c>
      <c r="F191" s="29">
        <f>'Landscape Trees '!G46</f>
        <v>1</v>
      </c>
      <c r="G191" s="27">
        <f>'Landscape Trees '!H46</f>
        <v>0</v>
      </c>
      <c r="H191" s="30">
        <f>'Landscape Trees '!I46</f>
        <v>85</v>
      </c>
      <c r="I191" s="27" t="str">
        <f t="shared" si="3"/>
        <v>Frans Fontaine European Hornbeam #10-2020</v>
      </c>
      <c r="J191" s="11"/>
      <c r="K191" s="30">
        <f t="shared" si="4"/>
        <v>0</v>
      </c>
    </row>
    <row r="192">
      <c r="A192" s="27" t="str">
        <f>'Landscape Trees '!A47</f>
        <v>Carpinus caroliniana</v>
      </c>
      <c r="B192" s="27" t="str">
        <f>'Landscape Trees '!C47</f>
        <v>American Hornbeam</v>
      </c>
      <c r="C192" s="27" t="str">
        <f>'Landscape Trees '!D47</f>
        <v>#5</v>
      </c>
      <c r="D192" s="28" t="str">
        <f>'Landscape Trees '!E47</f>
        <v>0.5-0.75"</v>
      </c>
      <c r="E192" s="27" t="str">
        <f>'Landscape Trees '!F47</f>
        <v>4-6'</v>
      </c>
      <c r="F192" s="29">
        <f>'Landscape Trees '!G47</f>
        <v>216</v>
      </c>
      <c r="G192" s="27">
        <f>'Landscape Trees '!H47</f>
        <v>225</v>
      </c>
      <c r="H192" s="30">
        <f>'Landscape Trees '!I47</f>
        <v>40</v>
      </c>
      <c r="I192" s="27" t="str">
        <f t="shared" si="3"/>
        <v>American Hornbeam #5-2020</v>
      </c>
      <c r="J192" s="11"/>
      <c r="K192" s="30">
        <f t="shared" si="4"/>
        <v>0</v>
      </c>
    </row>
    <row r="193">
      <c r="A193" s="27" t="str">
        <f>'Landscape Trees '!A48</f>
        <v>Carpinus caroliniana</v>
      </c>
      <c r="B193" s="27" t="str">
        <f>'Landscape Trees '!C48</f>
        <v>American Hornbeam</v>
      </c>
      <c r="C193" s="27" t="str">
        <f>'Landscape Trees '!D48</f>
        <v>#7</v>
      </c>
      <c r="D193" s="28" t="str">
        <f>'Landscape Trees '!E48</f>
        <v>0.75-0.75"</v>
      </c>
      <c r="E193" s="27" t="str">
        <f>'Landscape Trees '!F48</f>
        <v>5-7'</v>
      </c>
      <c r="F193" s="29">
        <f>'Landscape Trees '!G48</f>
        <v>20</v>
      </c>
      <c r="G193" s="27">
        <f>'Landscape Trees '!H48</f>
        <v>0</v>
      </c>
      <c r="H193" s="30">
        <f>'Landscape Trees '!I48</f>
        <v>50</v>
      </c>
      <c r="I193" s="27" t="str">
        <f t="shared" si="3"/>
        <v>American Hornbeam #7-2020</v>
      </c>
      <c r="J193" s="11"/>
      <c r="K193" s="30">
        <f t="shared" si="4"/>
        <v>0</v>
      </c>
    </row>
    <row r="194">
      <c r="A194" s="27" t="str">
        <f>'Landscape Trees '!A49</f>
        <v>Carpinus caroliniana</v>
      </c>
      <c r="B194" s="27" t="str">
        <f>'Landscape Trees '!C49</f>
        <v>American Hornbeam</v>
      </c>
      <c r="C194" s="27" t="str">
        <f>'Landscape Trees '!D49</f>
        <v>#15</v>
      </c>
      <c r="D194" s="28" t="str">
        <f>'Landscape Trees '!E49</f>
        <v>0-1.5"</v>
      </c>
      <c r="E194" s="27" t="str">
        <f>'Landscape Trees '!F49</f>
        <v>0-11'</v>
      </c>
      <c r="F194" s="29">
        <f>'Landscape Trees '!G49</f>
        <v>0</v>
      </c>
      <c r="G194" s="27">
        <f>'Landscape Trees '!H49</f>
        <v>15</v>
      </c>
      <c r="H194" s="30">
        <f>'Landscape Trees '!I49</f>
        <v>115</v>
      </c>
      <c r="I194" s="27" t="str">
        <f t="shared" si="3"/>
        <v>American Hornbeam #15-2020</v>
      </c>
      <c r="J194" s="11"/>
      <c r="K194" s="30">
        <f t="shared" si="4"/>
        <v>0</v>
      </c>
    </row>
    <row r="195">
      <c r="A195" s="27" t="str">
        <f>'Landscape Trees '!A50</f>
        <v>Carya laciniosa</v>
      </c>
      <c r="B195" s="27" t="str">
        <f>'Landscape Trees '!C50</f>
        <v>Shellbark Hickory</v>
      </c>
      <c r="C195" s="27" t="str">
        <f>'Landscape Trees '!D50</f>
        <v>#5</v>
      </c>
      <c r="D195" s="28" t="str">
        <f>'Landscape Trees '!E50</f>
        <v>0.25-0.5"</v>
      </c>
      <c r="E195" s="27" t="str">
        <f>'Landscape Trees '!F50</f>
        <v>1.5-2.5'</v>
      </c>
      <c r="F195" s="29">
        <f>'Landscape Trees '!G50</f>
        <v>8</v>
      </c>
      <c r="G195" s="27">
        <f>'Landscape Trees '!H50</f>
        <v>0</v>
      </c>
      <c r="H195" s="30">
        <f>'Landscape Trees '!I50</f>
        <v>35</v>
      </c>
      <c r="I195" s="27" t="str">
        <f t="shared" si="3"/>
        <v>Shellbark Hickory #5-2020</v>
      </c>
      <c r="J195" s="11"/>
      <c r="K195" s="30">
        <f t="shared" si="4"/>
        <v>0</v>
      </c>
    </row>
    <row r="196">
      <c r="A196" s="27" t="str">
        <f>'Landscape Trees '!A51</f>
        <v>Carya ovata</v>
      </c>
      <c r="B196" s="27" t="str">
        <f>'Landscape Trees '!C51</f>
        <v>Shagbark Hickory</v>
      </c>
      <c r="C196" s="27" t="str">
        <f>'Landscape Trees '!D51</f>
        <v>#5</v>
      </c>
      <c r="D196" s="28" t="str">
        <f>'Landscape Trees '!E51</f>
        <v>0.125-0.5"</v>
      </c>
      <c r="E196" s="27" t="str">
        <f>'Landscape Trees '!F51</f>
        <v>0.5-2'</v>
      </c>
      <c r="F196" s="29">
        <f>'Landscape Trees '!G51</f>
        <v>164</v>
      </c>
      <c r="G196" s="27">
        <f>'Landscape Trees '!H51</f>
        <v>0</v>
      </c>
      <c r="H196" s="30">
        <f>'Landscape Trees '!I51</f>
        <v>35</v>
      </c>
      <c r="I196" s="27" t="str">
        <f t="shared" si="3"/>
        <v>Shagbark Hickory #5-2020</v>
      </c>
      <c r="J196" s="11"/>
      <c r="K196" s="30">
        <f t="shared" si="4"/>
        <v>0</v>
      </c>
    </row>
    <row r="197">
      <c r="A197" s="27" t="str">
        <f>'Landscape Trees '!A52</f>
        <v>Catalpa bignonioides</v>
      </c>
      <c r="B197" s="27" t="str">
        <f>'Landscape Trees '!C52</f>
        <v>Southern Catalpa</v>
      </c>
      <c r="C197" s="27" t="str">
        <f>'Landscape Trees '!D52</f>
        <v>#5</v>
      </c>
      <c r="D197" s="28" t="str">
        <f>'Landscape Trees '!E52</f>
        <v>0-0"</v>
      </c>
      <c r="E197" s="27" t="str">
        <f>'Landscape Trees '!F52</f>
        <v>0-0'</v>
      </c>
      <c r="F197" s="31">
        <f>'Landscape Trees '!G52</f>
        <v>26</v>
      </c>
      <c r="G197" s="27">
        <f>'Landscape Trees '!H52</f>
        <v>12.5</v>
      </c>
      <c r="H197" s="30">
        <f>'Landscape Trees '!I52</f>
        <v>40</v>
      </c>
      <c r="I197" s="27" t="str">
        <f t="shared" si="3"/>
        <v>Southern Catalpa #5-2020</v>
      </c>
      <c r="J197" s="11"/>
      <c r="K197" s="30">
        <f t="shared" si="4"/>
        <v>0</v>
      </c>
    </row>
    <row r="198">
      <c r="A198" s="27" t="str">
        <f>'Landscape Trees '!A53</f>
        <v>Catalpa bignonioides</v>
      </c>
      <c r="B198" s="27" t="str">
        <f>'Landscape Trees '!C53</f>
        <v>Southern Catalpa</v>
      </c>
      <c r="C198" s="27" t="str">
        <f>'Landscape Trees '!D53</f>
        <v>#5</v>
      </c>
      <c r="D198" s="28" t="str">
        <f>'Landscape Trees '!E53</f>
        <v>0.5-0.75"</v>
      </c>
      <c r="E198" s="27" t="str">
        <f>'Landscape Trees '!F53</f>
        <v>2-3'</v>
      </c>
      <c r="F198" s="29">
        <f>'Landscape Trees '!G53</f>
        <v>0</v>
      </c>
      <c r="G198" s="27">
        <f>'Landscape Trees '!H53</f>
        <v>12.5</v>
      </c>
      <c r="H198" s="30">
        <f>'Landscape Trees '!I53</f>
        <v>40</v>
      </c>
      <c r="I198" s="27" t="str">
        <f t="shared" si="3"/>
        <v>Southern Catalpa #5-2020</v>
      </c>
      <c r="J198" s="11"/>
      <c r="K198" s="30">
        <f t="shared" si="4"/>
        <v>0</v>
      </c>
    </row>
    <row r="199">
      <c r="A199" s="27" t="str">
        <f>'Landscape Trees '!A54</f>
        <v>Catalpa speciosa</v>
      </c>
      <c r="B199" s="27" t="str">
        <f>'Landscape Trees '!C54</f>
        <v>Northern Catalpa</v>
      </c>
      <c r="C199" s="27" t="str">
        <f>'Landscape Trees '!D54</f>
        <v>#5</v>
      </c>
      <c r="D199" s="28" t="str">
        <f>'Landscape Trees '!E54</f>
        <v>1-1"</v>
      </c>
      <c r="E199" s="27" t="str">
        <f>'Landscape Trees '!F54</f>
        <v>4-5'</v>
      </c>
      <c r="F199" s="29">
        <f>'Landscape Trees '!G54</f>
        <v>23</v>
      </c>
      <c r="G199" s="27">
        <f>'Landscape Trees '!H54</f>
        <v>0</v>
      </c>
      <c r="H199" s="30">
        <f>'Landscape Trees '!I54</f>
        <v>40</v>
      </c>
      <c r="I199" s="27" t="str">
        <f t="shared" si="3"/>
        <v>Northern Catalpa #5-2020</v>
      </c>
      <c r="J199" s="11"/>
      <c r="K199" s="30">
        <f t="shared" si="4"/>
        <v>0</v>
      </c>
    </row>
    <row r="200">
      <c r="A200" s="27" t="str">
        <f>'Landscape Trees '!A55</f>
        <v>Catalpa speciosa</v>
      </c>
      <c r="B200" s="27" t="str">
        <f>'Landscape Trees '!C55</f>
        <v>Northern Catalpa</v>
      </c>
      <c r="C200" s="27" t="str">
        <f>'Landscape Trees '!D55</f>
        <v>#25</v>
      </c>
      <c r="D200" s="28" t="str">
        <f>'Landscape Trees '!E55</f>
        <v>1.5-1.75"</v>
      </c>
      <c r="E200" s="27" t="str">
        <f>'Landscape Trees '!F55</f>
        <v>9-10'</v>
      </c>
      <c r="F200" s="29">
        <f>'Landscape Trees '!G55</f>
        <v>1</v>
      </c>
      <c r="G200" s="27">
        <f>'Landscape Trees '!H55</f>
        <v>0</v>
      </c>
      <c r="H200" s="30">
        <f>'Landscape Trees '!I55</f>
        <v>140</v>
      </c>
      <c r="I200" s="27" t="str">
        <f t="shared" si="3"/>
        <v>Northern Catalpa #25-2020</v>
      </c>
      <c r="J200" s="11"/>
      <c r="K200" s="30">
        <f t="shared" si="4"/>
        <v>0</v>
      </c>
    </row>
    <row r="201">
      <c r="A201" s="27" t="str">
        <f>'Landscape Trees '!A56</f>
        <v>Celtis occidentalis</v>
      </c>
      <c r="B201" s="27" t="str">
        <f>'Landscape Trees '!C56</f>
        <v>Hackberry</v>
      </c>
      <c r="C201" s="27" t="str">
        <f>'Landscape Trees '!D56</f>
        <v>#5</v>
      </c>
      <c r="D201" s="28" t="str">
        <f>'Landscape Trees '!E56</f>
        <v>0.25-0.25"</v>
      </c>
      <c r="E201" s="27" t="str">
        <f>'Landscape Trees '!F56</f>
        <v>2-4.5'</v>
      </c>
      <c r="F201" s="29">
        <f>'Landscape Trees '!G56</f>
        <v>122</v>
      </c>
      <c r="G201" s="27">
        <f>'Landscape Trees '!H56</f>
        <v>100</v>
      </c>
      <c r="H201" s="30">
        <f>'Landscape Trees '!I56</f>
        <v>40</v>
      </c>
      <c r="I201" s="27" t="str">
        <f t="shared" si="3"/>
        <v>Hackberry #5-2020</v>
      </c>
      <c r="J201" s="11"/>
      <c r="K201" s="30">
        <f t="shared" si="4"/>
        <v>0</v>
      </c>
    </row>
    <row r="202">
      <c r="A202" s="27" t="str">
        <f>'Landscape Trees '!A57</f>
        <v>Cephalanthus occidentalis</v>
      </c>
      <c r="B202" s="27" t="str">
        <f>'Landscape Trees '!C57</f>
        <v>ButtonBush</v>
      </c>
      <c r="C202" s="27" t="str">
        <f>'Landscape Trees '!D57</f>
        <v>#5</v>
      </c>
      <c r="D202" s="32" t="str">
        <f>'Landscape Trees '!E57</f>
        <v>Multi</v>
      </c>
      <c r="E202" s="27" t="str">
        <f>'Landscape Trees '!F57</f>
        <v>3-5'</v>
      </c>
      <c r="F202" s="29">
        <f>'Landscape Trees '!G57</f>
        <v>3</v>
      </c>
      <c r="G202" s="27">
        <f>'Landscape Trees '!H57</f>
        <v>50</v>
      </c>
      <c r="H202" s="30">
        <f>'Landscape Trees '!I57</f>
        <v>32</v>
      </c>
      <c r="I202" s="27" t="str">
        <f t="shared" si="3"/>
        <v>ButtonBush #5-2020</v>
      </c>
      <c r="J202" s="11"/>
      <c r="K202" s="30">
        <f t="shared" si="4"/>
        <v>0</v>
      </c>
    </row>
    <row r="203">
      <c r="A203" s="27" t="str">
        <f>'Landscape Trees '!A58</f>
        <v>Cercis canadensis</v>
      </c>
      <c r="B203" s="27" t="str">
        <f>'Landscape Trees '!C58</f>
        <v>Eastern Redbud</v>
      </c>
      <c r="C203" s="27" t="str">
        <f>'Landscape Trees '!D58</f>
        <v>#10</v>
      </c>
      <c r="D203" s="28" t="str">
        <f>'Landscape Trees '!E58</f>
        <v>0-1.25"</v>
      </c>
      <c r="E203" s="27" t="str">
        <f>'Landscape Trees '!F58</f>
        <v>0-8'</v>
      </c>
      <c r="F203" s="29">
        <f>'Landscape Trees '!G58</f>
        <v>0</v>
      </c>
      <c r="G203" s="27">
        <f>'Landscape Trees '!H58</f>
        <v>10</v>
      </c>
      <c r="H203" s="30">
        <f>'Landscape Trees '!I58</f>
        <v>85</v>
      </c>
      <c r="I203" s="27" t="str">
        <f t="shared" si="3"/>
        <v>Eastern Redbud #10-2020</v>
      </c>
      <c r="J203" s="11"/>
      <c r="K203" s="30">
        <f t="shared" si="4"/>
        <v>0</v>
      </c>
    </row>
    <row r="204">
      <c r="A204" s="27" t="str">
        <f>'Landscape Trees '!A59</f>
        <v>Cercis canadensis</v>
      </c>
      <c r="B204" s="27" t="str">
        <f>'Landscape Trees '!C59</f>
        <v>Eastern Redbud</v>
      </c>
      <c r="C204" s="27" t="str">
        <f>'Landscape Trees '!D59</f>
        <v>#15</v>
      </c>
      <c r="D204" s="28" t="str">
        <f>'Landscape Trees '!E59</f>
        <v>0-1.5"</v>
      </c>
      <c r="E204" s="27" t="str">
        <f>'Landscape Trees '!F59</f>
        <v>0-11'</v>
      </c>
      <c r="F204" s="29">
        <f>'Landscape Trees '!G59</f>
        <v>0</v>
      </c>
      <c r="G204" s="27">
        <f>'Landscape Trees '!H59</f>
        <v>25</v>
      </c>
      <c r="H204" s="30">
        <f>'Landscape Trees '!I59</f>
        <v>115</v>
      </c>
      <c r="I204" s="27" t="str">
        <f t="shared" si="3"/>
        <v>Eastern Redbud #15-2020</v>
      </c>
      <c r="J204" s="11"/>
      <c r="K204" s="30">
        <f t="shared" si="4"/>
        <v>0</v>
      </c>
    </row>
    <row r="205">
      <c r="A205" s="27" t="str">
        <f>'Landscape Trees '!A60</f>
        <v>Cercis canadensis 'Forest Pansy'</v>
      </c>
      <c r="B205" s="27" t="str">
        <f>'Landscape Trees '!C60</f>
        <v>Forest Pansy Redbud</v>
      </c>
      <c r="C205" s="27" t="str">
        <f>'Landscape Trees '!D60</f>
        <v>#7</v>
      </c>
      <c r="D205" s="28" t="str">
        <f>'Landscape Trees '!E60</f>
        <v>0.75-1"</v>
      </c>
      <c r="E205" s="27" t="str">
        <f>'Landscape Trees '!F60</f>
        <v>3-6'</v>
      </c>
      <c r="F205" s="29">
        <f>'Landscape Trees '!G60</f>
        <v>54</v>
      </c>
      <c r="G205" s="27">
        <f>'Landscape Trees '!H60</f>
        <v>100</v>
      </c>
      <c r="H205" s="30">
        <f>'Landscape Trees '!I60</f>
        <v>65</v>
      </c>
      <c r="I205" s="27" t="str">
        <f t="shared" si="3"/>
        <v>Forest Pansy Redbud #7-2020</v>
      </c>
      <c r="J205" s="11"/>
      <c r="K205" s="30">
        <f t="shared" si="4"/>
        <v>0</v>
      </c>
    </row>
    <row r="206">
      <c r="A206" s="27" t="str">
        <f>'Landscape Trees '!A61</f>
        <v>Cercis canadensis 'Forest Pansy'</v>
      </c>
      <c r="B206" s="27" t="str">
        <f>'Landscape Trees '!C61</f>
        <v>Forest Pansy Redbud</v>
      </c>
      <c r="C206" s="27" t="str">
        <f>'Landscape Trees '!D61</f>
        <v>#15p</v>
      </c>
      <c r="D206" s="28" t="str">
        <f>'Landscape Trees '!E61</f>
        <v>0.5-0.75"</v>
      </c>
      <c r="E206" s="27" t="str">
        <f>'Landscape Trees '!F61</f>
        <v>7-8'</v>
      </c>
      <c r="F206" s="29">
        <f>'Landscape Trees '!G61</f>
        <v>0</v>
      </c>
      <c r="G206" s="27">
        <f>'Landscape Trees '!H61</f>
        <v>15</v>
      </c>
      <c r="H206" s="30">
        <f>'Landscape Trees '!I61</f>
        <v>115</v>
      </c>
      <c r="I206" s="27" t="str">
        <f t="shared" si="3"/>
        <v>Forest Pansy Redbud #15p-2020</v>
      </c>
      <c r="J206" s="11"/>
      <c r="K206" s="30">
        <f t="shared" si="4"/>
        <v>0</v>
      </c>
    </row>
    <row r="207">
      <c r="A207" s="27" t="str">
        <f>'Landscape Trees '!A62</f>
        <v>Cercis canadensis 'Lavender Twist'</v>
      </c>
      <c r="B207" s="27" t="str">
        <f>'Landscape Trees '!C62</f>
        <v>Lavender Twist Redbud</v>
      </c>
      <c r="C207" s="27" t="str">
        <f>'Landscape Trees '!D62</f>
        <v>#7</v>
      </c>
      <c r="D207" s="28" t="str">
        <f>'Landscape Trees '!E62</f>
        <v>0.75-1"</v>
      </c>
      <c r="E207" s="27" t="str">
        <f>'Landscape Trees '!F62</f>
        <v>3-6'</v>
      </c>
      <c r="F207" s="29">
        <f>'Landscape Trees '!G62</f>
        <v>7</v>
      </c>
      <c r="G207" s="27">
        <f>'Landscape Trees '!H62</f>
        <v>20</v>
      </c>
      <c r="H207" s="30">
        <f>'Landscape Trees '!I62</f>
        <v>90</v>
      </c>
      <c r="I207" s="27" t="str">
        <f t="shared" si="3"/>
        <v>Lavender Twist Redbud #7-2020</v>
      </c>
      <c r="J207" s="11"/>
      <c r="K207" s="30">
        <f t="shared" si="4"/>
        <v>0</v>
      </c>
    </row>
    <row r="208">
      <c r="A208" s="27" t="str">
        <f>'Landscape Trees '!A63</f>
        <v>Cercis canadensis 'Oklahoma'</v>
      </c>
      <c r="B208" s="27" t="str">
        <f>'Landscape Trees '!C63</f>
        <v>Oklahoma Redbud</v>
      </c>
      <c r="C208" s="27" t="str">
        <f>'Landscape Trees '!D63</f>
        <v>#7</v>
      </c>
      <c r="D208" s="28" t="str">
        <f>'Landscape Trees '!E63</f>
        <v>0.75-1"</v>
      </c>
      <c r="E208" s="27" t="str">
        <f>'Landscape Trees '!F63</f>
        <v>3-4'</v>
      </c>
      <c r="F208" s="29">
        <f>'Landscape Trees '!G63</f>
        <v>5</v>
      </c>
      <c r="G208" s="27">
        <f>'Landscape Trees '!H63</f>
        <v>0</v>
      </c>
      <c r="H208" s="30">
        <f>'Landscape Trees '!I63</f>
        <v>70</v>
      </c>
      <c r="I208" s="27" t="str">
        <f t="shared" si="3"/>
        <v>Oklahoma Redbud #7-2020</v>
      </c>
      <c r="J208" s="11"/>
      <c r="K208" s="30">
        <f t="shared" si="4"/>
        <v>0</v>
      </c>
    </row>
    <row r="209">
      <c r="A209" s="27" t="str">
        <f>'Landscape Trees '!A64</f>
        <v>Cercis canadensis 'Rising Sun'</v>
      </c>
      <c r="B209" s="27" t="str">
        <f>'Landscape Trees '!C64</f>
        <v>Rising Sun Redbud</v>
      </c>
      <c r="C209" s="27" t="str">
        <f>'Landscape Trees '!D64</f>
        <v>#7</v>
      </c>
      <c r="D209" s="28" t="str">
        <f>'Landscape Trees '!E64</f>
        <v>0.5-0.75"</v>
      </c>
      <c r="E209" s="27" t="str">
        <f>'Landscape Trees '!F64</f>
        <v>1-2'</v>
      </c>
      <c r="F209" s="29">
        <f>'Landscape Trees '!G64</f>
        <v>15</v>
      </c>
      <c r="G209" s="27">
        <f>'Landscape Trees '!H64</f>
        <v>40</v>
      </c>
      <c r="H209" s="30">
        <f>'Landscape Trees '!I64</f>
        <v>90</v>
      </c>
      <c r="I209" s="27" t="str">
        <f t="shared" si="3"/>
        <v>Rising Sun Redbud #7-2020</v>
      </c>
      <c r="J209" s="11"/>
      <c r="K209" s="30">
        <f t="shared" si="4"/>
        <v>0</v>
      </c>
    </row>
    <row r="210">
      <c r="A210" s="27" t="str">
        <f>'Landscape Trees '!A65</f>
        <v>Cercis canadensis 'Rising Sun'</v>
      </c>
      <c r="B210" s="27" t="str">
        <f>'Landscape Trees '!C65</f>
        <v>Rising Sun Redbud</v>
      </c>
      <c r="C210" s="27" t="str">
        <f>'Landscape Trees '!D65</f>
        <v>#10</v>
      </c>
      <c r="D210" s="28" t="str">
        <f>'Landscape Trees '!E65</f>
        <v>1-1"</v>
      </c>
      <c r="E210" s="27" t="str">
        <f>'Landscape Trees '!F65</f>
        <v>3-4'</v>
      </c>
      <c r="F210" s="29">
        <f>'Landscape Trees '!G65</f>
        <v>2</v>
      </c>
      <c r="G210" s="27">
        <f>'Landscape Trees '!H65</f>
        <v>0</v>
      </c>
      <c r="H210" s="30">
        <f>'Landscape Trees '!I65</f>
        <v>105</v>
      </c>
      <c r="I210" s="27" t="str">
        <f t="shared" si="3"/>
        <v>Rising Sun Redbud #10-2020</v>
      </c>
      <c r="J210" s="11"/>
      <c r="K210" s="30">
        <f t="shared" si="4"/>
        <v>0</v>
      </c>
    </row>
    <row r="211">
      <c r="A211" s="27" t="str">
        <f>'Landscape Trees '!A66</f>
        <v>Cercis canadensis 'Ruby Falls'</v>
      </c>
      <c r="B211" s="27" t="str">
        <f>'Landscape Trees '!C66</f>
        <v>Ruby Falls Redbud</v>
      </c>
      <c r="C211" s="27" t="str">
        <f>'Landscape Trees '!D66</f>
        <v>#7</v>
      </c>
      <c r="D211" s="28" t="str">
        <f>'Landscape Trees '!E66</f>
        <v>0.5-0.75"</v>
      </c>
      <c r="E211" s="27" t="str">
        <f>'Landscape Trees '!F66</f>
        <v>0.5-2'</v>
      </c>
      <c r="F211" s="29">
        <f>'Landscape Trees '!G66</f>
        <v>4</v>
      </c>
      <c r="G211" s="27">
        <f>'Landscape Trees '!H66</f>
        <v>20</v>
      </c>
      <c r="H211" s="30">
        <f>'Landscape Trees '!I66</f>
        <v>90</v>
      </c>
      <c r="I211" s="27" t="str">
        <f t="shared" si="3"/>
        <v>Ruby Falls Redbud #7-2020</v>
      </c>
      <c r="J211" s="11"/>
      <c r="K211" s="30">
        <f t="shared" si="4"/>
        <v>0</v>
      </c>
    </row>
    <row r="212">
      <c r="A212" s="27" t="str">
        <f>'Landscape Trees '!A67</f>
        <v>Cercis canadensis 'Ruby Falls'</v>
      </c>
      <c r="B212" s="27" t="str">
        <f>'Landscape Trees '!C67</f>
        <v>Ruby Falls Redbud</v>
      </c>
      <c r="C212" s="27" t="str">
        <f>'Landscape Trees '!D67</f>
        <v>#15</v>
      </c>
      <c r="D212" s="28" t="str">
        <f>'Landscape Trees '!E67</f>
        <v>0.75-1"</v>
      </c>
      <c r="E212" s="27" t="str">
        <f>'Landscape Trees '!F67</f>
        <v>6-7'</v>
      </c>
      <c r="F212" s="29">
        <f>'Landscape Trees '!G67</f>
        <v>4</v>
      </c>
      <c r="G212" s="27">
        <f>'Landscape Trees '!H67</f>
        <v>0</v>
      </c>
      <c r="H212" s="30">
        <f>'Landscape Trees '!I67</f>
        <v>115</v>
      </c>
      <c r="I212" s="27" t="str">
        <f t="shared" si="3"/>
        <v>Ruby Falls Redbud #15-2020</v>
      </c>
      <c r="J212" s="11"/>
      <c r="K212" s="30">
        <f t="shared" si="4"/>
        <v>0</v>
      </c>
    </row>
    <row r="213">
      <c r="A213" s="27" t="str">
        <f>'Landscape Trees '!A68</f>
        <v>Cercis tex. 'Merlot'</v>
      </c>
      <c r="B213" s="27" t="str">
        <f>'Landscape Trees '!C68</f>
        <v>Merlot Redbud</v>
      </c>
      <c r="C213" s="27" t="str">
        <f>'Landscape Trees '!D68</f>
        <v>#10</v>
      </c>
      <c r="D213" s="28" t="str">
        <f>'Landscape Trees '!E68</f>
        <v>0.5-0.75"</v>
      </c>
      <c r="E213" s="27" t="str">
        <f>'Landscape Trees '!F68</f>
        <v>3-4'</v>
      </c>
      <c r="F213" s="29">
        <f>'Landscape Trees '!G68</f>
        <v>4</v>
      </c>
      <c r="G213" s="27">
        <f>'Landscape Trees '!H68</f>
        <v>0</v>
      </c>
      <c r="H213" s="30">
        <f>'Landscape Trees '!I68</f>
        <v>85</v>
      </c>
      <c r="I213" s="27" t="str">
        <f t="shared" si="3"/>
        <v>Merlot Redbud #10-2020</v>
      </c>
      <c r="J213" s="11"/>
      <c r="K213" s="30">
        <f t="shared" si="4"/>
        <v>0</v>
      </c>
    </row>
    <row r="214">
      <c r="A214" s="27" t="str">
        <f>'Landscape Trees '!A69</f>
        <v>Chionanthus retusus</v>
      </c>
      <c r="B214" s="27" t="str">
        <f>'Landscape Trees '!C69</f>
        <v>Chinese Fringe Tree</v>
      </c>
      <c r="C214" s="27" t="str">
        <f>'Landscape Trees '!D69</f>
        <v>#5</v>
      </c>
      <c r="D214" s="28" t="str">
        <f>'Landscape Trees '!E69</f>
        <v>0.125-0.25"</v>
      </c>
      <c r="E214" s="27" t="str">
        <f>'Landscape Trees '!F69</f>
        <v>1-3'</v>
      </c>
      <c r="F214" s="29">
        <f>'Landscape Trees '!G69</f>
        <v>4</v>
      </c>
      <c r="G214" s="27">
        <f>'Landscape Trees '!H69</f>
        <v>0</v>
      </c>
      <c r="H214" s="30">
        <f>'Landscape Trees '!I69</f>
        <v>40</v>
      </c>
      <c r="I214" s="27" t="str">
        <f t="shared" si="3"/>
        <v>Chinese Fringe Tree #5-2020</v>
      </c>
      <c r="J214" s="11"/>
      <c r="K214" s="30">
        <f t="shared" si="4"/>
        <v>0</v>
      </c>
    </row>
    <row r="215">
      <c r="A215" s="27" t="str">
        <f>'Landscape Trees '!A70</f>
        <v>Chionanthus virginicus</v>
      </c>
      <c r="B215" s="27" t="str">
        <f>'Landscape Trees '!C70</f>
        <v>White Fringe Tree</v>
      </c>
      <c r="C215" s="27" t="str">
        <f>'Landscape Trees '!D70</f>
        <v>#5</v>
      </c>
      <c r="D215" s="28" t="str">
        <f>'Landscape Trees '!E70</f>
        <v>0.125-0.75"</v>
      </c>
      <c r="E215" s="27" t="str">
        <f>'Landscape Trees '!F70</f>
        <v>2-5'</v>
      </c>
      <c r="F215" s="29">
        <f>'Landscape Trees '!G70</f>
        <v>264</v>
      </c>
      <c r="G215" s="27">
        <f>'Landscape Trees '!H70</f>
        <v>100</v>
      </c>
      <c r="H215" s="30">
        <f>'Landscape Trees '!I70</f>
        <v>40</v>
      </c>
      <c r="I215" s="27" t="str">
        <f t="shared" si="3"/>
        <v>White Fringe Tree #5-2020</v>
      </c>
      <c r="J215" s="11"/>
      <c r="K215" s="30">
        <f t="shared" si="4"/>
        <v>0</v>
      </c>
    </row>
    <row r="216">
      <c r="A216" s="27" t="str">
        <f>'Landscape Trees '!A71</f>
        <v>Cladastris kentuckea 'Perkins Pink'</v>
      </c>
      <c r="B216" s="27" t="str">
        <f>'Landscape Trees '!C71</f>
        <v>Perkins Pink Yellowwood</v>
      </c>
      <c r="C216" s="27" t="str">
        <f>'Landscape Trees '!D71</f>
        <v>#15</v>
      </c>
      <c r="D216" s="28" t="str">
        <f>'Landscape Trees '!E71</f>
        <v>0-1"</v>
      </c>
      <c r="E216" s="27" t="str">
        <f>'Landscape Trees '!F71</f>
        <v>0-8'</v>
      </c>
      <c r="F216" s="29">
        <f>'Landscape Trees '!G71</f>
        <v>0</v>
      </c>
      <c r="G216" s="27">
        <f>'Landscape Trees '!H71</f>
        <v>5</v>
      </c>
      <c r="H216" s="30">
        <f>'Landscape Trees '!I71</f>
        <v>115</v>
      </c>
      <c r="I216" s="27" t="str">
        <f t="shared" si="3"/>
        <v>Perkins Pink Yellowwood #15-2020</v>
      </c>
      <c r="J216" s="11"/>
      <c r="K216" s="30">
        <f t="shared" si="4"/>
        <v>0</v>
      </c>
    </row>
    <row r="217">
      <c r="A217" s="27" t="str">
        <f>'Landscape Trees '!A72</f>
        <v>Cladrastis kentukea</v>
      </c>
      <c r="B217" s="27" t="str">
        <f>'Landscape Trees '!C72</f>
        <v>Yellowwood</v>
      </c>
      <c r="C217" s="27" t="str">
        <f>'Landscape Trees '!D72</f>
        <v>#5</v>
      </c>
      <c r="D217" s="28" t="str">
        <f>'Landscape Trees '!E72</f>
        <v>0.375-0.5"</v>
      </c>
      <c r="E217" s="27" t="str">
        <f>'Landscape Trees '!F72</f>
        <v>2-6'</v>
      </c>
      <c r="F217" s="29">
        <f>'Landscape Trees '!G72</f>
        <v>62</v>
      </c>
      <c r="G217" s="27">
        <f>'Landscape Trees '!H72</f>
        <v>200</v>
      </c>
      <c r="H217" s="30">
        <f>'Landscape Trees '!I72</f>
        <v>40</v>
      </c>
      <c r="I217" s="27" t="str">
        <f t="shared" si="3"/>
        <v>Yellowwood #5-2020</v>
      </c>
      <c r="J217" s="11"/>
      <c r="K217" s="30">
        <f t="shared" si="4"/>
        <v>0</v>
      </c>
    </row>
    <row r="218">
      <c r="A218" s="27" t="str">
        <f>'Landscape Trees '!A73</f>
        <v>Conium maculatum</v>
      </c>
      <c r="B218" s="27" t="str">
        <f>'Landscape Trees '!C73</f>
        <v>Hemlock</v>
      </c>
      <c r="C218" s="27" t="str">
        <f>'Landscape Trees '!D73</f>
        <v>#7</v>
      </c>
      <c r="D218" s="28" t="str">
        <f>'Landscape Trees '!E73</f>
        <v>1-1"</v>
      </c>
      <c r="E218" s="27" t="str">
        <f>'Landscape Trees '!F73</f>
        <v>3-4'</v>
      </c>
      <c r="F218" s="29">
        <f>'Landscape Trees '!G73</f>
        <v>1</v>
      </c>
      <c r="G218" s="27">
        <f>'Landscape Trees '!H73</f>
        <v>0</v>
      </c>
      <c r="H218" s="30">
        <f>'Landscape Trees '!I73</f>
        <v>75</v>
      </c>
      <c r="I218" s="27" t="str">
        <f t="shared" si="3"/>
        <v>Hemlock #7-2020</v>
      </c>
      <c r="J218" s="11"/>
      <c r="K218" s="30">
        <f t="shared" si="4"/>
        <v>0</v>
      </c>
    </row>
    <row r="219">
      <c r="A219" s="27" t="str">
        <f>'Landscape Trees '!A74</f>
        <v>Cornus 'Cherokee Brave'</v>
      </c>
      <c r="B219" s="27" t="str">
        <f>'Landscape Trees '!C74</f>
        <v>Cherokee Brave Dogwood</v>
      </c>
      <c r="C219" s="27" t="str">
        <f>'Landscape Trees '!D74</f>
        <v>#5</v>
      </c>
      <c r="D219" s="28" t="str">
        <f>'Landscape Trees '!E74</f>
        <v>0.25-0.5"</v>
      </c>
      <c r="E219" s="27" t="str">
        <f>'Landscape Trees '!F74</f>
        <v>2-3'</v>
      </c>
      <c r="F219" s="29">
        <f>'Landscape Trees '!G74</f>
        <v>0</v>
      </c>
      <c r="G219" s="27">
        <f>'Landscape Trees '!H74</f>
        <v>100</v>
      </c>
      <c r="H219" s="30">
        <f>'Landscape Trees '!I74</f>
        <v>55</v>
      </c>
      <c r="I219" s="27" t="str">
        <f t="shared" si="3"/>
        <v>Cherokee Brave Dogwood #5-2020</v>
      </c>
      <c r="J219" s="11"/>
      <c r="K219" s="30">
        <f t="shared" si="4"/>
        <v>0</v>
      </c>
    </row>
    <row r="220">
      <c r="A220" s="27" t="str">
        <f>'Landscape Trees '!A75</f>
        <v>Cornus 'Cherokee Brave'</v>
      </c>
      <c r="B220" s="27" t="str">
        <f>'Landscape Trees '!C75</f>
        <v>Cherokee Brave Dogwood</v>
      </c>
      <c r="C220" s="27" t="str">
        <f>'Landscape Trees '!D75</f>
        <v>#7</v>
      </c>
      <c r="D220" s="28" t="str">
        <f>'Landscape Trees '!E75</f>
        <v>0.5-0.75"</v>
      </c>
      <c r="E220" s="27" t="str">
        <f>'Landscape Trees '!F75</f>
        <v>4-5'</v>
      </c>
      <c r="F220" s="29">
        <f>'Landscape Trees '!G75</f>
        <v>3</v>
      </c>
      <c r="G220" s="27">
        <f>'Landscape Trees '!H75</f>
        <v>0</v>
      </c>
      <c r="H220" s="30">
        <f>'Landscape Trees '!I75</f>
        <v>80</v>
      </c>
      <c r="I220" s="27" t="str">
        <f t="shared" si="3"/>
        <v>Cherokee Brave Dogwood #7-2020</v>
      </c>
      <c r="J220" s="11"/>
      <c r="K220" s="30">
        <f t="shared" si="4"/>
        <v>0</v>
      </c>
    </row>
    <row r="221">
      <c r="A221" s="27" t="str">
        <f>'Landscape Trees '!A76</f>
        <v>Cornus 'Cherokee Brave'</v>
      </c>
      <c r="B221" s="27" t="str">
        <f>'Landscape Trees '!C76</f>
        <v>Cherokee Brave Dogwood</v>
      </c>
      <c r="C221" s="27" t="str">
        <f>'Landscape Trees '!D76</f>
        <v>#10</v>
      </c>
      <c r="D221" s="28" t="str">
        <f>'Landscape Trees '!E76</f>
        <v>0.5-0.75"</v>
      </c>
      <c r="E221" s="27" t="str">
        <f>'Landscape Trees '!F76</f>
        <v>4-5'</v>
      </c>
      <c r="F221" s="29">
        <f>'Landscape Trees '!G76</f>
        <v>4</v>
      </c>
      <c r="G221" s="27">
        <f>'Landscape Trees '!H76</f>
        <v>0</v>
      </c>
      <c r="H221" s="30">
        <f>'Landscape Trees '!I76</f>
        <v>90</v>
      </c>
      <c r="I221" s="27" t="str">
        <f t="shared" si="3"/>
        <v>Cherokee Brave Dogwood #10-2020</v>
      </c>
      <c r="J221" s="11"/>
      <c r="K221" s="30">
        <f t="shared" si="4"/>
        <v>0</v>
      </c>
    </row>
    <row r="222">
      <c r="A222" s="27" t="str">
        <f>'Landscape Trees '!A77</f>
        <v>Cornus 'Constellation'</v>
      </c>
      <c r="B222" s="27" t="str">
        <f>'Landscape Trees '!C77</f>
        <v>Constellation Dogwood</v>
      </c>
      <c r="C222" s="27" t="str">
        <f>'Landscape Trees '!D77</f>
        <v>#10</v>
      </c>
      <c r="D222" s="28" t="str">
        <f>'Landscape Trees '!E77</f>
        <v>0.5-0.75"</v>
      </c>
      <c r="E222" s="27" t="str">
        <f>'Landscape Trees '!F77</f>
        <v>5-8'</v>
      </c>
      <c r="F222" s="29">
        <f>'Landscape Trees '!G77</f>
        <v>14</v>
      </c>
      <c r="G222" s="27">
        <f>'Landscape Trees '!H77</f>
        <v>0</v>
      </c>
      <c r="H222" s="30">
        <f>'Landscape Trees '!I77</f>
        <v>90</v>
      </c>
      <c r="I222" s="27" t="str">
        <f t="shared" si="3"/>
        <v>Constellation Dogwood #10-2020</v>
      </c>
      <c r="J222" s="11"/>
      <c r="K222" s="30">
        <f t="shared" si="4"/>
        <v>0</v>
      </c>
    </row>
    <row r="223">
      <c r="A223" s="27" t="str">
        <f>'Landscape Trees '!A78</f>
        <v>Cornus 'Constellation'</v>
      </c>
      <c r="B223" s="27" t="str">
        <f>'Landscape Trees '!C78</f>
        <v>Constellation Dogwood</v>
      </c>
      <c r="C223" s="27" t="str">
        <f>'Landscape Trees '!D78</f>
        <v>#15</v>
      </c>
      <c r="D223" s="28" t="str">
        <f>'Landscape Trees '!E78</f>
        <v>1-1"</v>
      </c>
      <c r="E223" s="27" t="str">
        <f>'Landscape Trees '!F78</f>
        <v>8-8'</v>
      </c>
      <c r="F223" s="29">
        <f>'Landscape Trees '!G78</f>
        <v>1</v>
      </c>
      <c r="G223" s="27">
        <f>'Landscape Trees '!H78</f>
        <v>20</v>
      </c>
      <c r="H223" s="30">
        <f>'Landscape Trees '!I78</f>
        <v>115</v>
      </c>
      <c r="I223" s="27" t="str">
        <f t="shared" si="3"/>
        <v>Constellation Dogwood #15-2020</v>
      </c>
      <c r="J223" s="11"/>
      <c r="K223" s="30">
        <f t="shared" si="4"/>
        <v>0</v>
      </c>
    </row>
    <row r="224">
      <c r="A224" s="27" t="str">
        <f>'Landscape Trees '!A79</f>
        <v>Cornus 'Rutdan' Celestial </v>
      </c>
      <c r="B224" s="27" t="str">
        <f>'Landscape Trees '!C79</f>
        <v>Celestial Dogwood</v>
      </c>
      <c r="C224" s="27" t="str">
        <f>'Landscape Trees '!D79</f>
        <v>#5</v>
      </c>
      <c r="D224" s="28" t="str">
        <f>'Landscape Trees '!E79</f>
        <v>0.75-1"</v>
      </c>
      <c r="E224" s="27" t="str">
        <f>'Landscape Trees '!F79</f>
        <v>5-5'</v>
      </c>
      <c r="F224" s="29">
        <f>'Landscape Trees '!G79</f>
        <v>11</v>
      </c>
      <c r="G224" s="27">
        <f>'Landscape Trees '!H79</f>
        <v>0</v>
      </c>
      <c r="H224" s="30">
        <f>'Landscape Trees '!I79</f>
        <v>50</v>
      </c>
      <c r="I224" s="27" t="str">
        <f t="shared" si="3"/>
        <v>Celestial Dogwood #5-2020</v>
      </c>
      <c r="J224" s="11"/>
      <c r="K224" s="30">
        <f t="shared" si="4"/>
        <v>0</v>
      </c>
    </row>
    <row r="225">
      <c r="A225" s="27" t="str">
        <f>'Landscape Trees '!A80</f>
        <v>Cornus 'Rutgan' Stellar Pink</v>
      </c>
      <c r="B225" s="27" t="str">
        <f>'Landscape Trees '!C80</f>
        <v>Stellar Pink Dogwood</v>
      </c>
      <c r="C225" s="27" t="str">
        <f>'Landscape Trees '!D80</f>
        <v>#10</v>
      </c>
      <c r="D225" s="28" t="str">
        <f>'Landscape Trees '!E80</f>
        <v>0.75-1"</v>
      </c>
      <c r="E225" s="27" t="str">
        <f>'Landscape Trees '!F80</f>
        <v>5-8'</v>
      </c>
      <c r="F225" s="29">
        <f>'Landscape Trees '!G80</f>
        <v>20</v>
      </c>
      <c r="G225" s="27">
        <f>'Landscape Trees '!H80</f>
        <v>100</v>
      </c>
      <c r="H225" s="30">
        <f>'Landscape Trees '!I80</f>
        <v>90</v>
      </c>
      <c r="I225" s="27" t="str">
        <f t="shared" si="3"/>
        <v>Stellar Pink Dogwood #10-2020</v>
      </c>
      <c r="J225" s="11"/>
      <c r="K225" s="30">
        <f t="shared" si="4"/>
        <v>0</v>
      </c>
    </row>
    <row r="226">
      <c r="A226" s="27" t="str">
        <f>'Landscape Trees '!A81</f>
        <v>Cornus 'Rutgan' Stellar Pink</v>
      </c>
      <c r="B226" s="27" t="str">
        <f>'Landscape Trees '!C81</f>
        <v>Stellar Pink Dogwood</v>
      </c>
      <c r="C226" s="27" t="str">
        <f>'Landscape Trees '!D81</f>
        <v>#15</v>
      </c>
      <c r="D226" s="28" t="str">
        <f>'Landscape Trees '!E81</f>
        <v>0.5-0.75"</v>
      </c>
      <c r="E226" s="27" t="str">
        <f>'Landscape Trees '!F81</f>
        <v>5-6'</v>
      </c>
      <c r="F226" s="29">
        <f>'Landscape Trees '!G81</f>
        <v>0</v>
      </c>
      <c r="G226" s="27">
        <f>'Landscape Trees '!H81</f>
        <v>10</v>
      </c>
      <c r="H226" s="30">
        <f>'Landscape Trees '!I81</f>
        <v>120</v>
      </c>
      <c r="I226" s="27" t="str">
        <f t="shared" si="3"/>
        <v>Stellar Pink Dogwood #15-2020</v>
      </c>
      <c r="J226" s="11"/>
      <c r="K226" s="30">
        <f t="shared" si="4"/>
        <v>0</v>
      </c>
    </row>
    <row r="227">
      <c r="A227" s="27" t="str">
        <f>'Landscape Trees '!A82</f>
        <v>Cornus kousa</v>
      </c>
      <c r="B227" s="27" t="str">
        <f>'Landscape Trees '!C82</f>
        <v>Kousa Dogwood</v>
      </c>
      <c r="C227" s="27" t="str">
        <f>'Landscape Trees '!D82</f>
        <v>#5</v>
      </c>
      <c r="D227" s="28" t="str">
        <f>'Landscape Trees '!E82</f>
        <v>0.5-0.75"</v>
      </c>
      <c r="E227" s="27" t="str">
        <f>'Landscape Trees '!F82</f>
        <v>3-4.5'</v>
      </c>
      <c r="F227" s="29">
        <f>'Landscape Trees '!G82</f>
        <v>88</v>
      </c>
      <c r="G227" s="27">
        <f>'Landscape Trees '!H82</f>
        <v>0</v>
      </c>
      <c r="H227" s="30">
        <f>'Landscape Trees '!I82</f>
        <v>40</v>
      </c>
      <c r="I227" s="27" t="str">
        <f t="shared" si="3"/>
        <v>Kousa Dogwood #5-2020</v>
      </c>
      <c r="J227" s="11"/>
      <c r="K227" s="30">
        <f t="shared" si="4"/>
        <v>0</v>
      </c>
    </row>
    <row r="228">
      <c r="A228" s="27" t="str">
        <f>'Landscape Trees '!A83</f>
        <v>Cornus kousa</v>
      </c>
      <c r="B228" s="27" t="str">
        <f>'Landscape Trees '!C83</f>
        <v>Kousa Dogwood</v>
      </c>
      <c r="C228" s="27" t="str">
        <f>'Landscape Trees '!D83</f>
        <v>#15</v>
      </c>
      <c r="D228" s="28" t="str">
        <f>'Landscape Trees '!E83</f>
        <v>0-1.25"</v>
      </c>
      <c r="E228" s="27" t="str">
        <f>'Landscape Trees '!F83</f>
        <v>0-7'</v>
      </c>
      <c r="F228" s="29">
        <f>'Landscape Trees '!G83</f>
        <v>0</v>
      </c>
      <c r="G228" s="27">
        <f>'Landscape Trees '!H83</f>
        <v>10</v>
      </c>
      <c r="H228" s="30">
        <f>'Landscape Trees '!I83</f>
        <v>120</v>
      </c>
      <c r="I228" s="27" t="str">
        <f t="shared" si="3"/>
        <v>Kousa Dogwood #15-2020</v>
      </c>
      <c r="J228" s="11"/>
      <c r="K228" s="30">
        <f t="shared" si="4"/>
        <v>0</v>
      </c>
    </row>
    <row r="229">
      <c r="A229" s="27" t="str">
        <f>'Landscape Trees '!A84</f>
        <v>Cornus kousa 'Rutpink'</v>
      </c>
      <c r="B229" s="27" t="str">
        <f>'Landscape Trees '!C84</f>
        <v>Scarlet Fire Dogwood</v>
      </c>
      <c r="C229" s="27" t="str">
        <f>'Landscape Trees '!D84</f>
        <v>#7</v>
      </c>
      <c r="D229" s="28" t="str">
        <f>'Landscape Trees '!E84</f>
        <v>0.5-0.75"</v>
      </c>
      <c r="E229" s="27" t="str">
        <f>'Landscape Trees '!F84</f>
        <v>3-5'</v>
      </c>
      <c r="F229" s="29">
        <f>'Landscape Trees '!G84</f>
        <v>6</v>
      </c>
      <c r="G229" s="27">
        <f>'Landscape Trees '!H84</f>
        <v>50</v>
      </c>
      <c r="H229" s="30">
        <f>'Landscape Trees '!I84</f>
        <v>65</v>
      </c>
      <c r="I229" s="27" t="str">
        <f t="shared" si="3"/>
        <v>Scarlet Fire Dogwood #7-2020</v>
      </c>
      <c r="J229" s="11"/>
      <c r="K229" s="30">
        <f t="shared" si="4"/>
        <v>0</v>
      </c>
    </row>
    <row r="230">
      <c r="A230" s="27" t="str">
        <f>'Landscape Trees '!A85</f>
        <v>Cornus mas</v>
      </c>
      <c r="B230" s="27" t="str">
        <f>'Landscape Trees '!C85</f>
        <v>Corneliancherry Dogwood</v>
      </c>
      <c r="C230" s="27" t="str">
        <f>'Landscape Trees '!D85</f>
        <v>#5</v>
      </c>
      <c r="D230" s="28" t="str">
        <f>'Landscape Trees '!E85</f>
        <v>0.5-0.75"</v>
      </c>
      <c r="E230" s="27" t="str">
        <f>'Landscape Trees '!F85</f>
        <v>4-5'</v>
      </c>
      <c r="F230" s="29">
        <f>'Landscape Trees '!G85</f>
        <v>31</v>
      </c>
      <c r="G230" s="27">
        <f>'Landscape Trees '!H85</f>
        <v>25</v>
      </c>
      <c r="H230" s="30">
        <f>'Landscape Trees '!I85</f>
        <v>40</v>
      </c>
      <c r="I230" s="27" t="str">
        <f t="shared" si="3"/>
        <v>Corneliancherry Dogwood #5-2020</v>
      </c>
      <c r="J230" s="11"/>
      <c r="K230" s="30">
        <f t="shared" si="4"/>
        <v>0</v>
      </c>
    </row>
    <row r="231">
      <c r="A231" s="27" t="str">
        <f>'Landscape Trees '!A86</f>
        <v>Cornus racemosa</v>
      </c>
      <c r="B231" s="27" t="str">
        <f>'Landscape Trees '!C86</f>
        <v>Gray Dogwood</v>
      </c>
      <c r="C231" s="27" t="str">
        <f>'Landscape Trees '!D86</f>
        <v>#5</v>
      </c>
      <c r="D231" s="28" t="str">
        <f>'Landscape Trees '!E86</f>
        <v>0.5-0.75"</v>
      </c>
      <c r="E231" s="27" t="str">
        <f>'Landscape Trees '!F86</f>
        <v>4-5'</v>
      </c>
      <c r="F231" s="29">
        <f>'Landscape Trees '!G86</f>
        <v>5</v>
      </c>
      <c r="G231" s="27">
        <f>'Landscape Trees '!H86</f>
        <v>0</v>
      </c>
      <c r="H231" s="30">
        <f>'Landscape Trees '!I86</f>
        <v>32</v>
      </c>
      <c r="I231" s="27" t="str">
        <f t="shared" si="3"/>
        <v>Gray Dogwood #5-2020</v>
      </c>
      <c r="J231" s="11"/>
      <c r="K231" s="30">
        <f t="shared" si="4"/>
        <v>0</v>
      </c>
    </row>
    <row r="232">
      <c r="A232" s="27" t="str">
        <f>'Landscape Trees '!A87</f>
        <v>Cornus sericea 'Baileyi'</v>
      </c>
      <c r="B232" s="27" t="str">
        <f>'Landscape Trees '!C87</f>
        <v>Baileyi Red Twig Dogwood</v>
      </c>
      <c r="C232" s="27" t="str">
        <f>'Landscape Trees '!D87</f>
        <v>#5</v>
      </c>
      <c r="D232" s="32" t="str">
        <f>'Landscape Trees '!E87</f>
        <v>Multi</v>
      </c>
      <c r="E232" s="27" t="str">
        <f>'Landscape Trees '!F87</f>
        <v>3-5'</v>
      </c>
      <c r="F232" s="29">
        <f>'Landscape Trees '!G87</f>
        <v>11</v>
      </c>
      <c r="G232" s="27">
        <f>'Landscape Trees '!H87</f>
        <v>0</v>
      </c>
      <c r="H232" s="30">
        <f>'Landscape Trees '!I87</f>
        <v>32</v>
      </c>
      <c r="I232" s="27" t="str">
        <f t="shared" si="3"/>
        <v>Baileyi Red Twig Dogwood #5-2020</v>
      </c>
      <c r="J232" s="11"/>
      <c r="K232" s="30">
        <f t="shared" si="4"/>
        <v>0</v>
      </c>
    </row>
    <row r="233">
      <c r="A233" s="27" t="str">
        <f>'Landscape Trees '!A88</f>
        <v>Cotinus coggygria 'Royal Purple'</v>
      </c>
      <c r="B233" s="27" t="str">
        <f>'Landscape Trees '!C88</f>
        <v>Royal Purple Smokebush</v>
      </c>
      <c r="C233" s="27" t="str">
        <f>'Landscape Trees '!D88</f>
        <v>#5</v>
      </c>
      <c r="D233" s="28" t="str">
        <f>'Landscape Trees '!E88</f>
        <v>0.25-0.5"</v>
      </c>
      <c r="E233" s="27" t="str">
        <f>'Landscape Trees '!F88</f>
        <v>3-5'</v>
      </c>
      <c r="F233" s="29">
        <f>'Landscape Trees '!G88</f>
        <v>22</v>
      </c>
      <c r="G233" s="27">
        <f>'Landscape Trees '!H88</f>
        <v>20</v>
      </c>
      <c r="H233" s="30">
        <f>'Landscape Trees '!I88</f>
        <v>40</v>
      </c>
      <c r="I233" s="27" t="str">
        <f t="shared" si="3"/>
        <v>Royal Purple Smokebush #5-2020</v>
      </c>
      <c r="J233" s="11"/>
      <c r="K233" s="30">
        <f t="shared" si="4"/>
        <v>0</v>
      </c>
    </row>
    <row r="234">
      <c r="A234" s="27" t="str">
        <f>'Landscape Trees '!A89</f>
        <v>Cotinus obovatus</v>
      </c>
      <c r="B234" s="27" t="str">
        <f>'Landscape Trees '!C89</f>
        <v>American Smoke Tree</v>
      </c>
      <c r="C234" s="27" t="str">
        <f>'Landscape Trees '!D89</f>
        <v>#5</v>
      </c>
      <c r="D234" s="28" t="str">
        <f>'Landscape Trees '!E89</f>
        <v>0.38-0.5"</v>
      </c>
      <c r="E234" s="27" t="str">
        <f>'Landscape Trees '!F89</f>
        <v>1-2'</v>
      </c>
      <c r="F234" s="29">
        <f>'Landscape Trees '!G89</f>
        <v>0</v>
      </c>
      <c r="G234" s="27">
        <f>'Landscape Trees '!H89</f>
        <v>50</v>
      </c>
      <c r="H234" s="30">
        <f>'Landscape Trees '!I89</f>
        <v>0</v>
      </c>
      <c r="I234" s="27" t="str">
        <f t="shared" si="3"/>
        <v>American Smoke Tree #5-2020</v>
      </c>
      <c r="J234" s="11"/>
      <c r="K234" s="30">
        <f t="shared" si="4"/>
        <v>0</v>
      </c>
    </row>
    <row r="235">
      <c r="A235" s="27" t="str">
        <f>'Landscape Trees '!A90</f>
        <v>Cotinus obovatus</v>
      </c>
      <c r="B235" s="27" t="str">
        <f>'Landscape Trees '!C90</f>
        <v>Smokebush (Native)</v>
      </c>
      <c r="C235" s="27" t="str">
        <f>'Landscape Trees '!D90</f>
        <v>#5</v>
      </c>
      <c r="D235" s="32" t="str">
        <f>'Landscape Trees '!E90</f>
        <v>Multi</v>
      </c>
      <c r="E235" s="27" t="str">
        <f>'Landscape Trees '!F90</f>
        <v>4-9'</v>
      </c>
      <c r="F235" s="29">
        <f>'Landscape Trees '!G90</f>
        <v>155</v>
      </c>
      <c r="G235" s="27">
        <f>'Landscape Trees '!H90</f>
        <v>0</v>
      </c>
      <c r="H235" s="30">
        <f>'Landscape Trees '!I90</f>
        <v>40</v>
      </c>
      <c r="I235" s="27" t="str">
        <f t="shared" si="3"/>
        <v>Smokebush (Native) #5-2020</v>
      </c>
      <c r="J235" s="11"/>
      <c r="K235" s="30">
        <f t="shared" si="4"/>
        <v>0</v>
      </c>
    </row>
    <row r="236">
      <c r="A236" s="27" t="str">
        <f>'Landscape Trees '!A91</f>
        <v>Crataegus viridis 'Winter King'</v>
      </c>
      <c r="B236" s="27" t="str">
        <f>'Landscape Trees '!C91</f>
        <v>Winter King Hawthorn</v>
      </c>
      <c r="C236" s="27" t="str">
        <f>'Landscape Trees '!D91</f>
        <v>#15</v>
      </c>
      <c r="D236" s="28" t="str">
        <f>'Landscape Trees '!E91</f>
        <v>0-1.25"</v>
      </c>
      <c r="E236" s="27" t="str">
        <f>'Landscape Trees '!F91</f>
        <v>0-10'</v>
      </c>
      <c r="F236" s="29">
        <f>'Landscape Trees '!G91</f>
        <v>0</v>
      </c>
      <c r="G236" s="27">
        <f>'Landscape Trees '!H91</f>
        <v>25</v>
      </c>
      <c r="H236" s="30">
        <f>'Landscape Trees '!I91</f>
        <v>115</v>
      </c>
      <c r="I236" s="27" t="str">
        <f t="shared" si="3"/>
        <v>Winter King Hawthorn #15-2020</v>
      </c>
      <c r="J236" s="11"/>
      <c r="K236" s="30">
        <f t="shared" si="4"/>
        <v>0</v>
      </c>
    </row>
    <row r="237">
      <c r="A237" s="27" t="str">
        <f>'Landscape Trees '!A92</f>
        <v>Diospyros virginiana</v>
      </c>
      <c r="B237" s="27" t="str">
        <f>'Landscape Trees '!C92</f>
        <v>American Persimmon</v>
      </c>
      <c r="C237" s="27" t="str">
        <f>'Landscape Trees '!D92</f>
        <v>#5</v>
      </c>
      <c r="D237" s="28" t="str">
        <f>'Landscape Trees '!E92</f>
        <v>0.125-0.75"</v>
      </c>
      <c r="E237" s="27" t="str">
        <f>'Landscape Trees '!F92</f>
        <v>1-6'</v>
      </c>
      <c r="F237" s="29">
        <f>'Landscape Trees '!G92</f>
        <v>36</v>
      </c>
      <c r="G237" s="27">
        <f>'Landscape Trees '!H92</f>
        <v>150</v>
      </c>
      <c r="H237" s="30">
        <f>'Landscape Trees '!I92</f>
        <v>40</v>
      </c>
      <c r="I237" s="27" t="str">
        <f t="shared" si="3"/>
        <v>American Persimmon #5-2020</v>
      </c>
      <c r="J237" s="11"/>
      <c r="K237" s="30">
        <f t="shared" si="4"/>
        <v>0</v>
      </c>
    </row>
    <row r="238">
      <c r="A238" s="27" t="str">
        <f>'Landscape Trees '!A93</f>
        <v>Diospyros virginiana</v>
      </c>
      <c r="B238" s="27" t="str">
        <f>'Landscape Trees '!C93</f>
        <v>American Persimmon</v>
      </c>
      <c r="C238" s="27" t="str">
        <f>'Landscape Trees '!D93</f>
        <v>#7</v>
      </c>
      <c r="D238" s="28" t="str">
        <f>'Landscape Trees '!E93</f>
        <v>0.25-0.5"</v>
      </c>
      <c r="E238" s="27" t="str">
        <f>'Landscape Trees '!F93</f>
        <v>1-5'</v>
      </c>
      <c r="F238" s="29">
        <f>'Landscape Trees '!G93</f>
        <v>3</v>
      </c>
      <c r="G238" s="27">
        <f>'Landscape Trees '!H93</f>
        <v>0</v>
      </c>
      <c r="H238" s="30">
        <f>'Landscape Trees '!I93</f>
        <v>50</v>
      </c>
      <c r="I238" s="27" t="str">
        <f t="shared" si="3"/>
        <v>American Persimmon #7-2020</v>
      </c>
      <c r="J238" s="11"/>
      <c r="K238" s="30">
        <f t="shared" si="4"/>
        <v>0</v>
      </c>
    </row>
    <row r="239">
      <c r="A239" s="27" t="str">
        <f>'Landscape Trees '!A94</f>
        <v>Eucommia ulmoides</v>
      </c>
      <c r="B239" s="27" t="str">
        <f>'Landscape Trees '!C94</f>
        <v>Hardy Rubber Tree</v>
      </c>
      <c r="C239" s="27" t="str">
        <f>'Landscape Trees '!D94</f>
        <v>#15</v>
      </c>
      <c r="D239" s="28" t="str">
        <f>'Landscape Trees '!E94</f>
        <v>1.75-2"</v>
      </c>
      <c r="E239" s="27" t="str">
        <f>'Landscape Trees '!F94</f>
        <v>12-13'</v>
      </c>
      <c r="F239" s="29">
        <f>'Landscape Trees '!G94</f>
        <v>5</v>
      </c>
      <c r="G239" s="27">
        <f>'Landscape Trees '!H94</f>
        <v>0</v>
      </c>
      <c r="H239" s="30">
        <f>'Landscape Trees '!I94</f>
        <v>115</v>
      </c>
      <c r="I239" s="27" t="str">
        <f t="shared" si="3"/>
        <v>Hardy Rubber Tree #15-2020</v>
      </c>
      <c r="J239" s="11"/>
      <c r="K239" s="30">
        <f t="shared" si="4"/>
        <v>0</v>
      </c>
    </row>
    <row r="240">
      <c r="A240" s="27" t="str">
        <f>'Landscape Trees '!A95</f>
        <v>Euonymus americanus</v>
      </c>
      <c r="B240" s="27" t="str">
        <f>'Landscape Trees '!C95</f>
        <v>Strawberry Bush</v>
      </c>
      <c r="C240" s="27" t="str">
        <f>'Landscape Trees '!D95</f>
        <v>#5</v>
      </c>
      <c r="D240" s="28" t="str">
        <f>'Landscape Trees '!E95</f>
        <v>0-0"</v>
      </c>
      <c r="E240" s="27" t="str">
        <f>'Landscape Trees '!F95</f>
        <v>0-0'</v>
      </c>
      <c r="F240" s="31">
        <f>'Landscape Trees '!G95</f>
        <v>29</v>
      </c>
      <c r="G240" s="27">
        <f>'Landscape Trees '!H95</f>
        <v>25</v>
      </c>
      <c r="H240" s="30">
        <f>'Landscape Trees '!I95</f>
        <v>45</v>
      </c>
      <c r="I240" s="27" t="str">
        <f t="shared" si="3"/>
        <v>Strawberry Bush #5-2020</v>
      </c>
      <c r="J240" s="11"/>
      <c r="K240" s="30">
        <f t="shared" si="4"/>
        <v>0</v>
      </c>
    </row>
    <row r="241">
      <c r="A241" s="27" t="str">
        <f>'Landscape Trees '!A96</f>
        <v>Euonymus americanus</v>
      </c>
      <c r="B241" s="27" t="str">
        <f>'Landscape Trees '!C96</f>
        <v>Strawberry Bush</v>
      </c>
      <c r="C241" s="27" t="str">
        <f>'Landscape Trees '!D96</f>
        <v>#5</v>
      </c>
      <c r="D241" s="28" t="str">
        <f>'Landscape Trees '!E96</f>
        <v>0.38-0.25"</v>
      </c>
      <c r="E241" s="27" t="str">
        <f>'Landscape Trees '!F96</f>
        <v>1-2'</v>
      </c>
      <c r="F241" s="29">
        <f>'Landscape Trees '!G96</f>
        <v>0</v>
      </c>
      <c r="G241" s="27">
        <f>'Landscape Trees '!H96</f>
        <v>25</v>
      </c>
      <c r="H241" s="30">
        <f>'Landscape Trees '!I96</f>
        <v>45</v>
      </c>
      <c r="I241" s="27" t="str">
        <f t="shared" si="3"/>
        <v>Strawberry Bush #5-2020</v>
      </c>
      <c r="J241" s="11"/>
      <c r="K241" s="30">
        <f t="shared" si="4"/>
        <v>0</v>
      </c>
    </row>
    <row r="242">
      <c r="A242" s="27" t="str">
        <f>'Landscape Trees '!A97</f>
        <v>Fagus sylvatica</v>
      </c>
      <c r="B242" s="27" t="str">
        <f>'Landscape Trees '!C97</f>
        <v>European Beech</v>
      </c>
      <c r="C242" s="27" t="str">
        <f>'Landscape Trees '!D97</f>
        <v>#5</v>
      </c>
      <c r="D242" s="28" t="str">
        <f>'Landscape Trees '!E97</f>
        <v>1-1"</v>
      </c>
      <c r="E242" s="27" t="str">
        <f>'Landscape Trees '!F97</f>
        <v>6-7'</v>
      </c>
      <c r="F242" s="29">
        <f>'Landscape Trees '!G97</f>
        <v>12</v>
      </c>
      <c r="G242" s="27">
        <f>'Landscape Trees '!H97</f>
        <v>0</v>
      </c>
      <c r="H242" s="30">
        <f>'Landscape Trees '!I97</f>
        <v>45</v>
      </c>
      <c r="I242" s="27" t="str">
        <f t="shared" si="3"/>
        <v>European Beech #5-2020</v>
      </c>
      <c r="J242" s="11"/>
      <c r="K242" s="30">
        <f t="shared" si="4"/>
        <v>0</v>
      </c>
    </row>
    <row r="243">
      <c r="A243" s="27" t="str">
        <f>'Landscape Trees '!A98</f>
        <v>Fagus sylvatica</v>
      </c>
      <c r="B243" s="27" t="str">
        <f>'Landscape Trees '!C98</f>
        <v>European Beech</v>
      </c>
      <c r="C243" s="27" t="str">
        <f>'Landscape Trees '!D98</f>
        <v>#10</v>
      </c>
      <c r="D243" s="28" t="str">
        <f>'Landscape Trees '!E98</f>
        <v>1.25-1.25"</v>
      </c>
      <c r="E243" s="27" t="str">
        <f>'Landscape Trees '!F98</f>
        <v>9-13'</v>
      </c>
      <c r="F243" s="29">
        <f>'Landscape Trees '!G98</f>
        <v>1</v>
      </c>
      <c r="G243" s="27">
        <f>'Landscape Trees '!H98</f>
        <v>0</v>
      </c>
      <c r="H243" s="30">
        <f>'Landscape Trees '!I98</f>
        <v>100</v>
      </c>
      <c r="I243" s="27" t="str">
        <f t="shared" si="3"/>
        <v>European Beech #10-2020</v>
      </c>
      <c r="J243" s="11"/>
      <c r="K243" s="30">
        <f t="shared" si="4"/>
        <v>0</v>
      </c>
    </row>
    <row r="244">
      <c r="A244" s="27" t="str">
        <f>'Landscape Trees '!A99</f>
        <v>Fagus sylvatica f. purpurea</v>
      </c>
      <c r="B244" s="27" t="str">
        <f>'Landscape Trees '!C99</f>
        <v>Purple Beech</v>
      </c>
      <c r="C244" s="27" t="str">
        <f>'Landscape Trees '!D99</f>
        <v>#10</v>
      </c>
      <c r="D244" s="28" t="str">
        <f>'Landscape Trees '!E99</f>
        <v>0.75-1"</v>
      </c>
      <c r="E244" s="27" t="str">
        <f>'Landscape Trees '!F99</f>
        <v>4-5'</v>
      </c>
      <c r="F244" s="29">
        <f>'Landscape Trees '!G99</f>
        <v>3</v>
      </c>
      <c r="G244" s="27">
        <f>'Landscape Trees '!H99</f>
        <v>0</v>
      </c>
      <c r="H244" s="30">
        <f>'Landscape Trees '!I99</f>
        <v>85</v>
      </c>
      <c r="I244" s="27" t="str">
        <f t="shared" si="3"/>
        <v>Purple Beech #10-2020</v>
      </c>
      <c r="J244" s="11"/>
      <c r="K244" s="30">
        <f t="shared" si="4"/>
        <v>0</v>
      </c>
    </row>
    <row r="245">
      <c r="A245" s="27" t="str">
        <f>'Landscape Trees '!A100</f>
        <v>Franklinia alatamaha</v>
      </c>
      <c r="B245" s="27" t="str">
        <f>'Landscape Trees '!C100</f>
        <v>Franklinia</v>
      </c>
      <c r="C245" s="27" t="str">
        <f>'Landscape Trees '!D100</f>
        <v>#5</v>
      </c>
      <c r="D245" s="28" t="str">
        <f>'Landscape Trees '!E100</f>
        <v>0.75-1"</v>
      </c>
      <c r="E245" s="27" t="str">
        <f>'Landscape Trees '!F100</f>
        <v>5-6'</v>
      </c>
      <c r="F245" s="29">
        <f>'Landscape Trees '!G100</f>
        <v>6</v>
      </c>
      <c r="G245" s="27">
        <f>'Landscape Trees '!H100</f>
        <v>50</v>
      </c>
      <c r="H245" s="30">
        <f>'Landscape Trees '!I100</f>
        <v>55</v>
      </c>
      <c r="I245" s="27" t="str">
        <f t="shared" si="3"/>
        <v>Franklinia #5-2020</v>
      </c>
      <c r="J245" s="11"/>
      <c r="K245" s="30">
        <f t="shared" si="4"/>
        <v>0</v>
      </c>
    </row>
    <row r="246">
      <c r="A246" s="27" t="str">
        <f>'Landscape Trees '!A101</f>
        <v>Ginkgo biloba 'Autumn Gold'</v>
      </c>
      <c r="B246" s="27" t="str">
        <f>'Landscape Trees '!C101</f>
        <v>Autumn Gold Ginkgo</v>
      </c>
      <c r="C246" s="27" t="str">
        <f>'Landscape Trees '!D101</f>
        <v>#7</v>
      </c>
      <c r="D246" s="28" t="str">
        <f>'Landscape Trees '!E101</f>
        <v>0.5-0.75"</v>
      </c>
      <c r="E246" s="27" t="str">
        <f>'Landscape Trees '!F101</f>
        <v>3-4'</v>
      </c>
      <c r="F246" s="29">
        <f>'Landscape Trees '!G101</f>
        <v>0</v>
      </c>
      <c r="G246" s="27">
        <f>'Landscape Trees '!H101</f>
        <v>20</v>
      </c>
      <c r="H246" s="30">
        <f>'Landscape Trees '!I101</f>
        <v>55</v>
      </c>
      <c r="I246" s="27" t="str">
        <f t="shared" si="3"/>
        <v>Autumn Gold Ginkgo #7-2020</v>
      </c>
      <c r="J246" s="11"/>
      <c r="K246" s="30">
        <f t="shared" si="4"/>
        <v>0</v>
      </c>
    </row>
    <row r="247">
      <c r="A247" s="27" t="str">
        <f>'Landscape Trees '!A102</f>
        <v>Ginkgo biloba 'Autumn Gold'</v>
      </c>
      <c r="B247" s="27" t="str">
        <f>'Landscape Trees '!C102</f>
        <v>Autumn Gold Ginkgo</v>
      </c>
      <c r="C247" s="27" t="str">
        <f>'Landscape Trees '!D102</f>
        <v>#10</v>
      </c>
      <c r="D247" s="28" t="str">
        <f>'Landscape Trees '!E102</f>
        <v>0.25-0.5"</v>
      </c>
      <c r="E247" s="27" t="str">
        <f>'Landscape Trees '!F102</f>
        <v>2-3'</v>
      </c>
      <c r="F247" s="29">
        <f>'Landscape Trees '!G102</f>
        <v>0</v>
      </c>
      <c r="G247" s="27">
        <f>'Landscape Trees '!H102</f>
        <v>20</v>
      </c>
      <c r="H247" s="30">
        <f>'Landscape Trees '!I102</f>
        <v>55</v>
      </c>
      <c r="I247" s="27" t="str">
        <f t="shared" si="3"/>
        <v>Autumn Gold Ginkgo #10-2020</v>
      </c>
      <c r="J247" s="11"/>
      <c r="K247" s="30">
        <f t="shared" si="4"/>
        <v>0</v>
      </c>
    </row>
    <row r="248">
      <c r="A248" s="27" t="str">
        <f>'Landscape Trees '!A103</f>
        <v>Ginkgo biloba 'Princeton Sentry'</v>
      </c>
      <c r="B248" s="27" t="str">
        <f>'Landscape Trees '!C103</f>
        <v>Princeton Sentry Ginkgo biloba</v>
      </c>
      <c r="C248" s="27" t="str">
        <f>'Landscape Trees '!D103</f>
        <v>#15</v>
      </c>
      <c r="D248" s="28" t="str">
        <f>'Landscape Trees '!E103</f>
        <v>1.25-1.25"</v>
      </c>
      <c r="E248" s="27" t="str">
        <f>'Landscape Trees '!F103</f>
        <v>9-9'</v>
      </c>
      <c r="F248" s="29">
        <f>'Landscape Trees '!G103</f>
        <v>2</v>
      </c>
      <c r="G248" s="27">
        <f>'Landscape Trees '!H103</f>
        <v>0</v>
      </c>
      <c r="H248" s="30">
        <f>'Landscape Trees '!I103</f>
        <v>115</v>
      </c>
      <c r="I248" s="27" t="str">
        <f t="shared" si="3"/>
        <v>Princeton Sentry Ginkgo biloba #15-2020</v>
      </c>
      <c r="J248" s="11"/>
      <c r="K248" s="30">
        <f t="shared" si="4"/>
        <v>0</v>
      </c>
    </row>
    <row r="249">
      <c r="A249" s="27" t="str">
        <f>'Landscape Trees '!A104</f>
        <v>Ginkgo biloba 'Windover Gold'</v>
      </c>
      <c r="B249" s="27" t="str">
        <f>'Landscape Trees '!C104</f>
        <v>Windover Gold Ginkgo</v>
      </c>
      <c r="C249" s="27" t="str">
        <f>'Landscape Trees '!D104</f>
        <v>#25</v>
      </c>
      <c r="D249" s="28" t="str">
        <f>'Landscape Trees '!E104</f>
        <v>1.5-1.5"</v>
      </c>
      <c r="E249" s="27" t="str">
        <f>'Landscape Trees '!F104</f>
        <v>10-11'</v>
      </c>
      <c r="F249" s="29">
        <f>'Landscape Trees '!G104</f>
        <v>1</v>
      </c>
      <c r="G249" s="27">
        <f>'Landscape Trees '!H104</f>
        <v>0</v>
      </c>
      <c r="H249" s="30">
        <f>'Landscape Trees '!I104</f>
        <v>140</v>
      </c>
      <c r="I249" s="27" t="str">
        <f t="shared" si="3"/>
        <v>Windover Gold Ginkgo #25-2020</v>
      </c>
      <c r="J249" s="11"/>
      <c r="K249" s="30">
        <f t="shared" si="4"/>
        <v>0</v>
      </c>
    </row>
    <row r="250">
      <c r="A250" s="27" t="str">
        <f>'Landscape Trees '!A105</f>
        <v>Gledistia triacanthos 'Sunset Gold'</v>
      </c>
      <c r="B250" s="27" t="str">
        <f>'Landscape Trees '!C105</f>
        <v>Sunset Gold Honeylocust</v>
      </c>
      <c r="C250" s="27" t="str">
        <f>'Landscape Trees '!D105</f>
        <v>#15</v>
      </c>
      <c r="D250" s="28" t="str">
        <f>'Landscape Trees '!E105</f>
        <v>1.25-1.5"</v>
      </c>
      <c r="E250" s="27" t="str">
        <f>'Landscape Trees '!F105</f>
        <v>8-10'</v>
      </c>
      <c r="F250" s="29">
        <f>'Landscape Trees '!G105</f>
        <v>5</v>
      </c>
      <c r="G250" s="27">
        <f>'Landscape Trees '!H105</f>
        <v>0</v>
      </c>
      <c r="H250" s="30">
        <f>'Landscape Trees '!I105</f>
        <v>115</v>
      </c>
      <c r="I250" s="27" t="str">
        <f t="shared" si="3"/>
        <v>Sunset Gold Honeylocust #15-2020</v>
      </c>
      <c r="J250" s="11"/>
      <c r="K250" s="30">
        <f t="shared" si="4"/>
        <v>0</v>
      </c>
    </row>
    <row r="251">
      <c r="A251" s="27" t="str">
        <f>'Landscape Trees '!A106</f>
        <v>Gledistia triacanthos 'Sunset Gold'</v>
      </c>
      <c r="B251" s="27" t="str">
        <f>'Landscape Trees '!C106</f>
        <v>Sunset Gold Honeylocust</v>
      </c>
      <c r="C251" s="27" t="str">
        <f>'Landscape Trees '!D106</f>
        <v>#25</v>
      </c>
      <c r="D251" s="28" t="str">
        <f>'Landscape Trees '!E106</f>
        <v>1.25-1.25"</v>
      </c>
      <c r="E251" s="27" t="str">
        <f>'Landscape Trees '!F106</f>
        <v>10-10'</v>
      </c>
      <c r="F251" s="29">
        <f>'Landscape Trees '!G106</f>
        <v>1</v>
      </c>
      <c r="G251" s="27">
        <f>'Landscape Trees '!H106</f>
        <v>0</v>
      </c>
      <c r="H251" s="30">
        <f>'Landscape Trees '!I106</f>
        <v>140</v>
      </c>
      <c r="I251" s="27" t="str">
        <f t="shared" si="3"/>
        <v>Sunset Gold Honeylocust #25-2020</v>
      </c>
      <c r="J251" s="11"/>
      <c r="K251" s="30">
        <f t="shared" si="4"/>
        <v>0</v>
      </c>
    </row>
    <row r="252">
      <c r="A252" s="27" t="str">
        <f>'Landscape Trees '!A107</f>
        <v>Gleditsia triacanthos 'Shademaster'</v>
      </c>
      <c r="B252" s="27" t="str">
        <f>'Landscape Trees '!C107</f>
        <v>Shademaster Honeylocust</v>
      </c>
      <c r="C252" s="27" t="str">
        <f>'Landscape Trees '!D107</f>
        <v>#15</v>
      </c>
      <c r="D252" s="28" t="str">
        <f>'Landscape Trees '!E107</f>
        <v>1.25-1.5"</v>
      </c>
      <c r="E252" s="27" t="str">
        <f>'Landscape Trees '!F107</f>
        <v>10-11'</v>
      </c>
      <c r="F252" s="29">
        <f>'Landscape Trees '!G107</f>
        <v>6</v>
      </c>
      <c r="G252" s="27">
        <f>'Landscape Trees '!H107</f>
        <v>15</v>
      </c>
      <c r="H252" s="30">
        <f>'Landscape Trees '!I107</f>
        <v>115</v>
      </c>
      <c r="I252" s="27" t="str">
        <f t="shared" si="3"/>
        <v>Shademaster Honeylocust #15-2020</v>
      </c>
      <c r="J252" s="11"/>
      <c r="K252" s="30">
        <f t="shared" si="4"/>
        <v>0</v>
      </c>
    </row>
    <row r="253">
      <c r="A253" s="27" t="str">
        <f>'Landscape Trees '!A108</f>
        <v>Gleditsia triacanthos 'Skyline'</v>
      </c>
      <c r="B253" s="27" t="str">
        <f>'Landscape Trees '!C108</f>
        <v>Skyline Honeylocust</v>
      </c>
      <c r="C253" s="27" t="str">
        <f>'Landscape Trees '!D108</f>
        <v>#15</v>
      </c>
      <c r="D253" s="28" t="str">
        <f>'Landscape Trees '!E108</f>
        <v>1-1"</v>
      </c>
      <c r="E253" s="27" t="str">
        <f>'Landscape Trees '!F108</f>
        <v>8-9'</v>
      </c>
      <c r="F253" s="29">
        <f>'Landscape Trees '!G108</f>
        <v>0</v>
      </c>
      <c r="G253" s="27">
        <f>'Landscape Trees '!H108</f>
        <v>15</v>
      </c>
      <c r="H253" s="30">
        <f>'Landscape Trees '!I108</f>
        <v>115</v>
      </c>
      <c r="I253" s="27" t="str">
        <f t="shared" si="3"/>
        <v>Skyline Honeylocust #15-2020</v>
      </c>
      <c r="J253" s="11"/>
      <c r="K253" s="30">
        <f t="shared" si="4"/>
        <v>0</v>
      </c>
    </row>
    <row r="254">
      <c r="A254" s="27" t="str">
        <f>'Landscape Trees '!A109</f>
        <v>Gleditsia triacanthos 'Skyline'</v>
      </c>
      <c r="B254" s="27" t="str">
        <f>'Landscape Trees '!C109</f>
        <v>Skyline Honeylocust</v>
      </c>
      <c r="C254" s="27" t="str">
        <f>'Landscape Trees '!D109</f>
        <v>#25</v>
      </c>
      <c r="D254" s="28" t="str">
        <f>'Landscape Trees '!E109</f>
        <v>0-1.5"</v>
      </c>
      <c r="E254" s="27" t="str">
        <f>'Landscape Trees '!F109</f>
        <v>0-10'</v>
      </c>
      <c r="F254" s="29">
        <f>'Landscape Trees '!G109</f>
        <v>0</v>
      </c>
      <c r="G254" s="27">
        <f>'Landscape Trees '!H109</f>
        <v>5</v>
      </c>
      <c r="H254" s="30">
        <f>'Landscape Trees '!I109</f>
        <v>140</v>
      </c>
      <c r="I254" s="27" t="str">
        <f t="shared" si="3"/>
        <v>Skyline Honeylocust #25-2020</v>
      </c>
      <c r="J254" s="11"/>
      <c r="K254" s="30">
        <f t="shared" si="4"/>
        <v>0</v>
      </c>
    </row>
    <row r="255">
      <c r="A255" s="27" t="str">
        <f>'Landscape Trees '!A110</f>
        <v>Gymnocladus dioicus</v>
      </c>
      <c r="B255" s="27" t="str">
        <f>'Landscape Trees '!C110</f>
        <v>Kentucky Coffeetree</v>
      </c>
      <c r="C255" s="27" t="str">
        <f>'Landscape Trees '!D110</f>
        <v>#5</v>
      </c>
      <c r="D255" s="28" t="str">
        <f>'Landscape Trees '!E110</f>
        <v>0.25-0.75"</v>
      </c>
      <c r="E255" s="27" t="str">
        <f>'Landscape Trees '!F110</f>
        <v>1-5'</v>
      </c>
      <c r="F255" s="29">
        <f>'Landscape Trees '!G110</f>
        <v>152</v>
      </c>
      <c r="G255" s="27">
        <f>'Landscape Trees '!H110</f>
        <v>50</v>
      </c>
      <c r="H255" s="30">
        <f>'Landscape Trees '!I110</f>
        <v>40</v>
      </c>
      <c r="I255" s="27" t="str">
        <f t="shared" si="3"/>
        <v>Kentucky Coffeetree #5-2020</v>
      </c>
      <c r="J255" s="11"/>
      <c r="K255" s="30">
        <f t="shared" si="4"/>
        <v>0</v>
      </c>
    </row>
    <row r="256">
      <c r="A256" s="27" t="str">
        <f>'Landscape Trees '!A111</f>
        <v>Gymnocladus dioicus</v>
      </c>
      <c r="B256" s="27" t="str">
        <f>'Landscape Trees '!C111</f>
        <v>Kentucky Coffeetree</v>
      </c>
      <c r="C256" s="27" t="str">
        <f>'Landscape Trees '!D111</f>
        <v>#15</v>
      </c>
      <c r="D256" s="28" t="str">
        <f>'Landscape Trees '!E111</f>
        <v>0.75-1"</v>
      </c>
      <c r="E256" s="27" t="str">
        <f>'Landscape Trees '!F111</f>
        <v>8-9'</v>
      </c>
      <c r="F256" s="29">
        <f>'Landscape Trees '!G111</f>
        <v>0</v>
      </c>
      <c r="G256" s="27">
        <f>'Landscape Trees '!H111</f>
        <v>10</v>
      </c>
      <c r="H256" s="30">
        <f>'Landscape Trees '!I111</f>
        <v>115</v>
      </c>
      <c r="I256" s="27" t="str">
        <f t="shared" si="3"/>
        <v>Kentucky Coffeetree #15-2020</v>
      </c>
      <c r="J256" s="11"/>
      <c r="K256" s="30">
        <f t="shared" si="4"/>
        <v>0</v>
      </c>
    </row>
    <row r="257">
      <c r="A257" s="27" t="str">
        <f>'Landscape Trees '!A112</f>
        <v>Gymnocladus dioicus 'Espresso'</v>
      </c>
      <c r="B257" s="27" t="str">
        <f>'Landscape Trees '!C112</f>
        <v>Espresso Kentucky Coffeetree</v>
      </c>
      <c r="C257" s="27" t="str">
        <f>'Landscape Trees '!D112</f>
        <v>#15</v>
      </c>
      <c r="D257" s="28" t="str">
        <f>'Landscape Trees '!E112</f>
        <v>1-1"</v>
      </c>
      <c r="E257" s="27" t="str">
        <f>'Landscape Trees '!F112</f>
        <v>7-10'</v>
      </c>
      <c r="F257" s="29">
        <f>'Landscape Trees '!G112</f>
        <v>2</v>
      </c>
      <c r="G257" s="27">
        <f>'Landscape Trees '!H112</f>
        <v>0</v>
      </c>
      <c r="H257" s="30">
        <f>'Landscape Trees '!I112</f>
        <v>115</v>
      </c>
      <c r="I257" s="27" t="str">
        <f t="shared" si="3"/>
        <v>Espresso Kentucky Coffeetree #15-2020</v>
      </c>
      <c r="J257" s="11"/>
      <c r="K257" s="30">
        <f t="shared" si="4"/>
        <v>0</v>
      </c>
    </row>
    <row r="258">
      <c r="A258" s="27" t="str">
        <f>'Landscape Trees '!A113</f>
        <v>Gymnocladus dioicus 'Espresso'</v>
      </c>
      <c r="B258" s="27" t="str">
        <f>'Landscape Trees '!C113</f>
        <v>Espresso Kentucky Coffeetree</v>
      </c>
      <c r="C258" s="27" t="str">
        <f>'Landscape Trees '!D113</f>
        <v>#25</v>
      </c>
      <c r="D258" s="28" t="str">
        <f>'Landscape Trees '!E113</f>
        <v>1-1"</v>
      </c>
      <c r="E258" s="27" t="str">
        <f>'Landscape Trees '!F113</f>
        <v>7-10'</v>
      </c>
      <c r="F258" s="29">
        <f>'Landscape Trees '!G113</f>
        <v>1</v>
      </c>
      <c r="G258" s="27">
        <f>'Landscape Trees '!H113</f>
        <v>0</v>
      </c>
      <c r="H258" s="30">
        <f>'Landscape Trees '!I113</f>
        <v>140</v>
      </c>
      <c r="I258" s="27" t="str">
        <f t="shared" si="3"/>
        <v>Espresso Kentucky Coffeetree #25-2020</v>
      </c>
      <c r="J258" s="11"/>
      <c r="K258" s="30">
        <f t="shared" si="4"/>
        <v>0</v>
      </c>
    </row>
    <row r="259">
      <c r="A259" s="27" t="str">
        <f>'Landscape Trees '!A114</f>
        <v>Halesia carolina</v>
      </c>
      <c r="B259" s="27" t="str">
        <f>'Landscape Trees '!C114</f>
        <v>Carolina Silverbell</v>
      </c>
      <c r="C259" s="27" t="str">
        <f>'Landscape Trees '!D114</f>
        <v>#5</v>
      </c>
      <c r="D259" s="28" t="str">
        <f>'Landscape Trees '!E114</f>
        <v>0.25-0.5"</v>
      </c>
      <c r="E259" s="27" t="str">
        <f>'Landscape Trees '!F114</f>
        <v>3-4'</v>
      </c>
      <c r="F259" s="29">
        <f>'Landscape Trees '!G114</f>
        <v>4</v>
      </c>
      <c r="G259" s="27">
        <f>'Landscape Trees '!H114</f>
        <v>50</v>
      </c>
      <c r="H259" s="30">
        <f>'Landscape Trees '!I114</f>
        <v>40</v>
      </c>
      <c r="I259" s="27" t="str">
        <f t="shared" si="3"/>
        <v>Carolina Silverbell #5-2020</v>
      </c>
      <c r="J259" s="11"/>
      <c r="K259" s="30">
        <f t="shared" si="4"/>
        <v>0</v>
      </c>
    </row>
    <row r="260">
      <c r="A260" s="27" t="str">
        <f>'Landscape Trees '!A115</f>
        <v>Hamamelis virginiana</v>
      </c>
      <c r="B260" s="27" t="str">
        <f>'Landscape Trees '!C115</f>
        <v>Witch Hazel</v>
      </c>
      <c r="C260" s="27" t="str">
        <f>'Landscape Trees '!D115</f>
        <v>#5</v>
      </c>
      <c r="D260" s="32" t="str">
        <f>'Landscape Trees '!E115</f>
        <v>Multi</v>
      </c>
      <c r="E260" s="27" t="str">
        <f>'Landscape Trees '!F115</f>
        <v>1-4.5'</v>
      </c>
      <c r="F260" s="29">
        <f>'Landscape Trees '!G115</f>
        <v>65</v>
      </c>
      <c r="G260" s="27">
        <f>'Landscape Trees '!H115</f>
        <v>200</v>
      </c>
      <c r="H260" s="30">
        <f>'Landscape Trees '!I115</f>
        <v>40</v>
      </c>
      <c r="I260" s="27" t="str">
        <f t="shared" si="3"/>
        <v>Witch Hazel #5-2020</v>
      </c>
      <c r="J260" s="11"/>
      <c r="K260" s="30">
        <f t="shared" si="4"/>
        <v>0</v>
      </c>
    </row>
    <row r="261">
      <c r="A261" s="27" t="str">
        <f>'Landscape Trees '!A116</f>
        <v>Hamamelis x 'Diane'</v>
      </c>
      <c r="B261" s="27" t="str">
        <f>'Landscape Trees '!C116</f>
        <v>Diane Witch Hazel</v>
      </c>
      <c r="C261" s="27" t="str">
        <f>'Landscape Trees '!D116</f>
        <v>#5</v>
      </c>
      <c r="D261" s="28" t="str">
        <f>'Landscape Trees '!E116</f>
        <v>Multi</v>
      </c>
      <c r="E261" s="27" t="str">
        <f>'Landscape Trees '!F116</f>
        <v>1-2'</v>
      </c>
      <c r="F261" s="29">
        <f>'Landscape Trees '!G116</f>
        <v>1</v>
      </c>
      <c r="G261" s="27">
        <f>'Landscape Trees '!H116</f>
        <v>10</v>
      </c>
      <c r="H261" s="30">
        <f>'Landscape Trees '!I116</f>
        <v>35</v>
      </c>
      <c r="I261" s="27" t="str">
        <f t="shared" si="3"/>
        <v>Diane Witch Hazel #5-2020</v>
      </c>
      <c r="J261" s="11"/>
      <c r="K261" s="30">
        <f t="shared" si="4"/>
        <v>0</v>
      </c>
    </row>
    <row r="262">
      <c r="A262" s="27" t="str">
        <f>'Landscape Trees '!A117</f>
        <v>Hydrangea qu. 'Ruby slippers'</v>
      </c>
      <c r="B262" s="27" t="str">
        <f>'Landscape Trees '!C117</f>
        <v>Ruby Slippers Oakleaf Hydrangea</v>
      </c>
      <c r="C262" s="27" t="str">
        <f>'Landscape Trees '!D117</f>
        <v>#5</v>
      </c>
      <c r="D262" s="28" t="str">
        <f>'Landscape Trees '!E117</f>
        <v>Multi</v>
      </c>
      <c r="E262" s="27" t="str">
        <f>'Landscape Trees '!F117</f>
        <v>1-3'</v>
      </c>
      <c r="F262" s="29">
        <f>'Landscape Trees '!G117</f>
        <v>6</v>
      </c>
      <c r="G262" s="27">
        <f>'Landscape Trees '!H117</f>
        <v>100</v>
      </c>
      <c r="H262" s="30">
        <f>'Landscape Trees '!I117</f>
        <v>32</v>
      </c>
      <c r="I262" s="27" t="str">
        <f t="shared" si="3"/>
        <v>Ruby Slippers Oakleaf Hydrangea #5-2020</v>
      </c>
      <c r="J262" s="11"/>
      <c r="K262" s="30">
        <f t="shared" si="4"/>
        <v>0</v>
      </c>
    </row>
    <row r="263">
      <c r="A263" s="27" t="str">
        <f>'Landscape Trees '!A118</f>
        <v>Hydrangea que. 'Pee Wee'</v>
      </c>
      <c r="B263" s="27" t="str">
        <f>'Landscape Trees '!C118</f>
        <v>Pee Wee Oakleaf Hydrangea</v>
      </c>
      <c r="C263" s="27" t="str">
        <f>'Landscape Trees '!D118</f>
        <v>#5</v>
      </c>
      <c r="D263" s="32" t="str">
        <f>'Landscape Trees '!E118</f>
        <v>Multi</v>
      </c>
      <c r="E263" s="27" t="str">
        <f>'Landscape Trees '!F118</f>
        <v>1-2'</v>
      </c>
      <c r="F263" s="29">
        <f>'Landscape Trees '!G118</f>
        <v>4</v>
      </c>
      <c r="G263" s="27">
        <f>'Landscape Trees '!H118</f>
        <v>50</v>
      </c>
      <c r="H263" s="30">
        <f>'Landscape Trees '!I118</f>
        <v>32</v>
      </c>
      <c r="I263" s="27" t="str">
        <f t="shared" si="3"/>
        <v>Pee Wee Oakleaf Hydrangea #5-2020</v>
      </c>
      <c r="J263" s="11"/>
      <c r="K263" s="30">
        <f t="shared" si="4"/>
        <v>0</v>
      </c>
    </row>
    <row r="264">
      <c r="A264" s="27" t="str">
        <f>'Landscape Trees '!A119</f>
        <v>Hydrangea que. 'Snow Queen'</v>
      </c>
      <c r="B264" s="27" t="str">
        <f>'Landscape Trees '!C119</f>
        <v>Snow Queen Oakleaf Hydrangea</v>
      </c>
      <c r="C264" s="27" t="str">
        <f>'Landscape Trees '!D119</f>
        <v>#5</v>
      </c>
      <c r="D264" s="28" t="str">
        <f>'Landscape Trees '!E119</f>
        <v>Multi</v>
      </c>
      <c r="E264" s="27" t="str">
        <f>'Landscape Trees '!F119</f>
        <v>2-3'</v>
      </c>
      <c r="F264" s="29">
        <f>'Landscape Trees '!G119</f>
        <v>7</v>
      </c>
      <c r="G264" s="27">
        <f>'Landscape Trees '!H119</f>
        <v>50</v>
      </c>
      <c r="H264" s="30">
        <f>'Landscape Trees '!I119</f>
        <v>32</v>
      </c>
      <c r="I264" s="27" t="str">
        <f t="shared" si="3"/>
        <v>Snow Queen Oakleaf Hydrangea #5-2020</v>
      </c>
      <c r="J264" s="11"/>
      <c r="K264" s="30">
        <f t="shared" si="4"/>
        <v>0</v>
      </c>
    </row>
    <row r="265">
      <c r="A265" s="27" t="str">
        <f>'Landscape Trees '!A120</f>
        <v>Hydrangea quercifolia 'Alice'</v>
      </c>
      <c r="B265" s="27" t="str">
        <f>'Landscape Trees '!C120</f>
        <v>Alice Oakleaf Hydrangea</v>
      </c>
      <c r="C265" s="27" t="str">
        <f>'Landscape Trees '!D120</f>
        <v>#5</v>
      </c>
      <c r="D265" s="32" t="str">
        <f>'Landscape Trees '!E120</f>
        <v>Multi</v>
      </c>
      <c r="E265" s="27" t="str">
        <f>'Landscape Trees '!F120</f>
        <v>1-2'</v>
      </c>
      <c r="F265" s="29">
        <f>'Landscape Trees '!G120</f>
        <v>1</v>
      </c>
      <c r="G265" s="27">
        <f>'Landscape Trees '!H120</f>
        <v>0</v>
      </c>
      <c r="H265" s="30">
        <f>'Landscape Trees '!I120</f>
        <v>32</v>
      </c>
      <c r="I265" s="27" t="str">
        <f t="shared" si="3"/>
        <v>Alice Oakleaf Hydrangea #5-2020</v>
      </c>
      <c r="J265" s="11"/>
      <c r="K265" s="30">
        <f t="shared" si="4"/>
        <v>0</v>
      </c>
    </row>
    <row r="266">
      <c r="A266" s="27" t="str">
        <f>'Landscape Trees '!A121</f>
        <v>Hypericum calycinum 'Fiesta'</v>
      </c>
      <c r="B266" s="27" t="str">
        <f>'Landscape Trees '!C121</f>
        <v>Fiesta St. John's wort</v>
      </c>
      <c r="C266" s="27" t="str">
        <f>'Landscape Trees '!D121</f>
        <v>#5</v>
      </c>
      <c r="D266" s="32" t="str">
        <f>'Landscape Trees '!E121</f>
        <v>Multi</v>
      </c>
      <c r="E266" s="27" t="str">
        <f>'Landscape Trees '!F121</f>
        <v>0.5-1'</v>
      </c>
      <c r="F266" s="29">
        <f>'Landscape Trees '!G121</f>
        <v>3</v>
      </c>
      <c r="G266" s="27">
        <f>'Landscape Trees '!H121</f>
        <v>0</v>
      </c>
      <c r="H266" s="30">
        <f>'Landscape Trees '!I121</f>
        <v>30</v>
      </c>
      <c r="I266" s="27" t="str">
        <f t="shared" si="3"/>
        <v>Fiesta St. John's wort #5-2020</v>
      </c>
      <c r="J266" s="11"/>
      <c r="K266" s="30">
        <f t="shared" si="4"/>
        <v>0</v>
      </c>
    </row>
    <row r="267">
      <c r="A267" s="27" t="str">
        <f>'Landscape Trees '!A122</f>
        <v>Ilex verticillata 'Winter Gold'</v>
      </c>
      <c r="B267" s="27" t="str">
        <f>'Landscape Trees '!C122</f>
        <v>Winter Gold Holly</v>
      </c>
      <c r="C267" s="27" t="str">
        <f>'Landscape Trees '!D122</f>
        <v>#2</v>
      </c>
      <c r="D267" s="32" t="str">
        <f>'Landscape Trees '!E122</f>
        <v>Multi</v>
      </c>
      <c r="E267" s="27" t="str">
        <f>'Landscape Trees '!F122</f>
        <v>0-3'</v>
      </c>
      <c r="F267" s="29">
        <f>'Landscape Trees '!G122</f>
        <v>0</v>
      </c>
      <c r="G267" s="27">
        <f>'Landscape Trees '!H122</f>
        <v>50</v>
      </c>
      <c r="H267" s="30">
        <f>'Landscape Trees '!I122</f>
        <v>15</v>
      </c>
      <c r="I267" s="27" t="str">
        <f t="shared" si="3"/>
        <v>Winter Gold Holly #2-2020</v>
      </c>
      <c r="J267" s="11"/>
      <c r="K267" s="30">
        <f t="shared" si="4"/>
        <v>0</v>
      </c>
    </row>
    <row r="268">
      <c r="A268" s="27" t="str">
        <f>'Landscape Trees '!A123</f>
        <v>Ilex verticillata 'Winter Red'</v>
      </c>
      <c r="B268" s="27" t="str">
        <f>'Landscape Trees '!C123</f>
        <v>Winter Red Winterberry Holly</v>
      </c>
      <c r="C268" s="27" t="str">
        <f>'Landscape Trees '!D123</f>
        <v>#5</v>
      </c>
      <c r="D268" s="28" t="str">
        <f>'Landscape Trees '!E123</f>
        <v>Multi</v>
      </c>
      <c r="E268" s="27" t="str">
        <f>'Landscape Trees '!F123</f>
        <v>2-2'</v>
      </c>
      <c r="F268" s="29">
        <f>'Landscape Trees '!G123</f>
        <v>2</v>
      </c>
      <c r="G268" s="27">
        <f>'Landscape Trees '!H123</f>
        <v>100</v>
      </c>
      <c r="H268" s="30">
        <f>'Landscape Trees '!I123</f>
        <v>30</v>
      </c>
      <c r="I268" s="27" t="str">
        <f t="shared" si="3"/>
        <v>Winter Red Winterberry Holly #5-2020</v>
      </c>
      <c r="J268" s="11"/>
      <c r="K268" s="30">
        <f t="shared" si="4"/>
        <v>0</v>
      </c>
    </row>
    <row r="269">
      <c r="A269" s="27" t="str">
        <f>'Landscape Trees '!A124</f>
        <v>Juglans cinerea</v>
      </c>
      <c r="B269" s="27" t="str">
        <f>'Landscape Trees '!C124</f>
        <v>Butternut</v>
      </c>
      <c r="C269" s="27" t="str">
        <f>'Landscape Trees '!D124</f>
        <v>#5</v>
      </c>
      <c r="D269" s="28" t="str">
        <f>'Landscape Trees '!E124</f>
        <v>0.5-0.75"</v>
      </c>
      <c r="E269" s="27" t="str">
        <f>'Landscape Trees '!F124</f>
        <v>3-5'</v>
      </c>
      <c r="F269" s="29">
        <f>'Landscape Trees '!G124</f>
        <v>59</v>
      </c>
      <c r="G269" s="27">
        <f>'Landscape Trees '!H124</f>
        <v>0</v>
      </c>
      <c r="H269" s="30">
        <f>'Landscape Trees '!I124</f>
        <v>40</v>
      </c>
      <c r="I269" s="27" t="str">
        <f t="shared" si="3"/>
        <v>Butternut #5-2020</v>
      </c>
      <c r="J269" s="11"/>
      <c r="K269" s="30">
        <f t="shared" si="4"/>
        <v>0</v>
      </c>
    </row>
    <row r="270">
      <c r="A270" s="27" t="str">
        <f>'Landscape Trees '!A125</f>
        <v>Koelreuteria paniculata</v>
      </c>
      <c r="B270" s="27" t="str">
        <f>'Landscape Trees '!C125</f>
        <v>Golden Rain Tree</v>
      </c>
      <c r="C270" s="27" t="str">
        <f>'Landscape Trees '!D125</f>
        <v>#5</v>
      </c>
      <c r="D270" s="28" t="str">
        <f>'Landscape Trees '!E125</f>
        <v>0.75-1"</v>
      </c>
      <c r="E270" s="27" t="str">
        <f>'Landscape Trees '!F125</f>
        <v>6-9'</v>
      </c>
      <c r="F270" s="29">
        <f>'Landscape Trees '!G125</f>
        <v>16</v>
      </c>
      <c r="G270" s="27">
        <f>'Landscape Trees '!H125</f>
        <v>0</v>
      </c>
      <c r="H270" s="30">
        <f>'Landscape Trees '!I125</f>
        <v>40</v>
      </c>
      <c r="I270" s="27" t="str">
        <f t="shared" si="3"/>
        <v>Golden Rain Tree #5-2020</v>
      </c>
      <c r="J270" s="11"/>
      <c r="K270" s="30">
        <f t="shared" si="4"/>
        <v>0</v>
      </c>
    </row>
    <row r="271">
      <c r="A271" s="27" t="str">
        <f>'Landscape Trees '!A126</f>
        <v>Koelreuteria paniculata</v>
      </c>
      <c r="B271" s="27" t="str">
        <f>'Landscape Trees '!C126</f>
        <v>Golden Rain Tree</v>
      </c>
      <c r="C271" s="27" t="str">
        <f>'Landscape Trees '!D126</f>
        <v>#15</v>
      </c>
      <c r="D271" s="28" t="str">
        <f>'Landscape Trees '!E126</f>
        <v>0-0"</v>
      </c>
      <c r="E271" s="27" t="str">
        <f>'Landscape Trees '!F126</f>
        <v>0-0'</v>
      </c>
      <c r="F271" s="29">
        <f>'Landscape Trees '!G126</f>
        <v>0</v>
      </c>
      <c r="G271" s="27">
        <f>'Landscape Trees '!H126</f>
        <v>10</v>
      </c>
      <c r="H271" s="30">
        <f>'Landscape Trees '!I126</f>
        <v>115</v>
      </c>
      <c r="I271" s="27" t="str">
        <f t="shared" si="3"/>
        <v>Golden Rain Tree #15-2020</v>
      </c>
      <c r="J271" s="11"/>
      <c r="K271" s="30">
        <f t="shared" si="4"/>
        <v>0</v>
      </c>
    </row>
    <row r="272">
      <c r="A272" s="27" t="str">
        <f>'Landscape Trees '!A127</f>
        <v>Laburnum anagyroides</v>
      </c>
      <c r="B272" s="27" t="str">
        <f>'Landscape Trees '!C127</f>
        <v>Golden Chain Tree</v>
      </c>
      <c r="C272" s="27" t="str">
        <f>'Landscape Trees '!D127</f>
        <v>#5</v>
      </c>
      <c r="D272" s="32" t="str">
        <f>'Landscape Trees '!E127</f>
        <v>Multi</v>
      </c>
      <c r="E272" s="27" t="str">
        <f>'Landscape Trees '!F127</f>
        <v>2-7'</v>
      </c>
      <c r="F272" s="29">
        <f>'Landscape Trees '!G127</f>
        <v>30</v>
      </c>
      <c r="G272" s="27">
        <f>'Landscape Trees '!H127</f>
        <v>0</v>
      </c>
      <c r="H272" s="30">
        <f>'Landscape Trees '!I127</f>
        <v>45</v>
      </c>
      <c r="I272" s="27" t="str">
        <f t="shared" si="3"/>
        <v>Golden Chain Tree #5-2020</v>
      </c>
      <c r="J272" s="11"/>
      <c r="K272" s="30">
        <f t="shared" si="4"/>
        <v>0</v>
      </c>
    </row>
    <row r="273">
      <c r="A273" s="27" t="str">
        <f>'Landscape Trees '!A128</f>
        <v>Lindera benzoin</v>
      </c>
      <c r="B273" s="27" t="str">
        <f>'Landscape Trees '!C128</f>
        <v>Spice Bush</v>
      </c>
      <c r="C273" s="27" t="str">
        <f>'Landscape Trees '!D128</f>
        <v>#5</v>
      </c>
      <c r="D273" s="28" t="str">
        <f>'Landscape Trees '!E128</f>
        <v>Multi</v>
      </c>
      <c r="E273" s="27" t="str">
        <f>'Landscape Trees '!F128</f>
        <v>1-2'</v>
      </c>
      <c r="F273" s="29">
        <f>'Landscape Trees '!G128</f>
        <v>0</v>
      </c>
      <c r="G273" s="27">
        <f>'Landscape Trees '!H128</f>
        <v>300</v>
      </c>
      <c r="H273" s="30">
        <f>'Landscape Trees '!I128</f>
        <v>35</v>
      </c>
      <c r="I273" s="27" t="str">
        <f t="shared" si="3"/>
        <v>Spice Bush #5-2020</v>
      </c>
      <c r="J273" s="11"/>
      <c r="K273" s="30">
        <f t="shared" si="4"/>
        <v>0</v>
      </c>
    </row>
    <row r="274">
      <c r="A274" s="27" t="str">
        <f>'Landscape Trees '!A129</f>
        <v>Liquidambar styraciflua</v>
      </c>
      <c r="B274" s="27" t="str">
        <f>'Landscape Trees '!C129</f>
        <v>Sweet Gum</v>
      </c>
      <c r="C274" s="27" t="str">
        <f>'Landscape Trees '!D129</f>
        <v>#5</v>
      </c>
      <c r="D274" s="28" t="str">
        <f>'Landscape Trees '!E129</f>
        <v>0.25-1"</v>
      </c>
      <c r="E274" s="27" t="str">
        <f>'Landscape Trees '!F129</f>
        <v>2-6.5'</v>
      </c>
      <c r="F274" s="29">
        <f>'Landscape Trees '!G129</f>
        <v>46</v>
      </c>
      <c r="G274" s="27">
        <f>'Landscape Trees '!H129</f>
        <v>0</v>
      </c>
      <c r="H274" s="30">
        <f>'Landscape Trees '!I129</f>
        <v>40</v>
      </c>
      <c r="I274" s="27" t="str">
        <f t="shared" si="3"/>
        <v>Sweet Gum #5-2020</v>
      </c>
      <c r="J274" s="11"/>
      <c r="K274" s="30">
        <f t="shared" si="4"/>
        <v>0</v>
      </c>
    </row>
    <row r="275">
      <c r="A275" s="27" t="str">
        <f>'Landscape Trees '!A130</f>
        <v>Liquidambar styraciflua</v>
      </c>
      <c r="B275" s="27" t="str">
        <f>'Landscape Trees '!C130</f>
        <v>Sweet Gum</v>
      </c>
      <c r="C275" s="27" t="str">
        <f>'Landscape Trees '!D130</f>
        <v>#7</v>
      </c>
      <c r="D275" s="28" t="str">
        <f>'Landscape Trees '!E130</f>
        <v>0.5-0.5"</v>
      </c>
      <c r="E275" s="27" t="str">
        <f>'Landscape Trees '!F130</f>
        <v>3-4'</v>
      </c>
      <c r="F275" s="29">
        <f>'Landscape Trees '!G130</f>
        <v>8</v>
      </c>
      <c r="G275" s="27">
        <f>'Landscape Trees '!H130</f>
        <v>0</v>
      </c>
      <c r="H275" s="30">
        <f>'Landscape Trees '!I130</f>
        <v>45</v>
      </c>
      <c r="I275" s="27" t="str">
        <f t="shared" si="3"/>
        <v>Sweet Gum #7-2020</v>
      </c>
      <c r="J275" s="11"/>
      <c r="K275" s="30">
        <f t="shared" si="4"/>
        <v>0</v>
      </c>
    </row>
    <row r="276">
      <c r="A276" s="27" t="str">
        <f>'Landscape Trees '!A131</f>
        <v>Liquidambar styraciflua</v>
      </c>
      <c r="B276" s="27" t="str">
        <f>'Landscape Trees '!C131</f>
        <v>Sweet Gum</v>
      </c>
      <c r="C276" s="27" t="str">
        <f>'Landscape Trees '!D131</f>
        <v>#15</v>
      </c>
      <c r="D276" s="28" t="str">
        <f>'Landscape Trees '!E131</f>
        <v>0-0"</v>
      </c>
      <c r="E276" s="27" t="str">
        <f>'Landscape Trees '!F131</f>
        <v>0-0'</v>
      </c>
      <c r="F276" s="29">
        <f>'Landscape Trees '!G131</f>
        <v>0</v>
      </c>
      <c r="G276" s="27">
        <f>'Landscape Trees '!H131</f>
        <v>1</v>
      </c>
      <c r="H276" s="30">
        <f>'Landscape Trees '!I131</f>
        <v>105</v>
      </c>
      <c r="I276" s="27" t="str">
        <f t="shared" si="3"/>
        <v>Sweet Gum #15-2020</v>
      </c>
      <c r="J276" s="11"/>
      <c r="K276" s="30">
        <f t="shared" si="4"/>
        <v>0</v>
      </c>
    </row>
    <row r="277">
      <c r="A277" s="27" t="str">
        <f>'Landscape Trees '!A132</f>
        <v>Liquidambar styraciflua 'Rotundaloba'</v>
      </c>
      <c r="B277" s="27" t="str">
        <f>'Landscape Trees '!C132</f>
        <v>Rotundaloba Sweet Gum</v>
      </c>
      <c r="C277" s="27" t="str">
        <f>'Landscape Trees '!D132</f>
        <v>#7</v>
      </c>
      <c r="D277" s="28" t="str">
        <f>'Landscape Trees '!E132</f>
        <v>1-1.25"</v>
      </c>
      <c r="E277" s="27" t="str">
        <f>'Landscape Trees '!F132</f>
        <v>6-8'</v>
      </c>
      <c r="F277" s="29">
        <f>'Landscape Trees '!G132</f>
        <v>16</v>
      </c>
      <c r="G277" s="27">
        <f>'Landscape Trees '!H132</f>
        <v>0</v>
      </c>
      <c r="H277" s="30">
        <f>'Landscape Trees '!I132</f>
        <v>60</v>
      </c>
      <c r="I277" s="27" t="str">
        <f t="shared" si="3"/>
        <v>Rotundaloba Sweet Gum #7-2020</v>
      </c>
      <c r="J277" s="11"/>
      <c r="K277" s="30">
        <f t="shared" si="4"/>
        <v>0</v>
      </c>
    </row>
    <row r="278">
      <c r="A278" s="27" t="str">
        <f>'Landscape Trees '!A133</f>
        <v>Liriodendron tulipifera</v>
      </c>
      <c r="B278" s="27" t="str">
        <f>'Landscape Trees '!C133</f>
        <v>Tulip Poplar</v>
      </c>
      <c r="C278" s="27" t="str">
        <f>'Landscape Trees '!D133</f>
        <v>#5</v>
      </c>
      <c r="D278" s="28" t="str">
        <f>'Landscape Trees '!E133</f>
        <v>0.5-1.25"</v>
      </c>
      <c r="E278" s="27" t="str">
        <f>'Landscape Trees '!F133</f>
        <v>5-10'</v>
      </c>
      <c r="F278" s="31">
        <f>'Landscape Trees '!G133</f>
        <v>23</v>
      </c>
      <c r="G278" s="27">
        <f>'Landscape Trees '!H133</f>
        <v>50</v>
      </c>
      <c r="H278" s="30">
        <f>'Landscape Trees '!I133</f>
        <v>40</v>
      </c>
      <c r="I278" s="27" t="str">
        <f t="shared" si="3"/>
        <v>Tulip Poplar #5-2020</v>
      </c>
      <c r="J278" s="11"/>
      <c r="K278" s="30">
        <f t="shared" si="4"/>
        <v>0</v>
      </c>
    </row>
    <row r="279">
      <c r="A279" s="27" t="str">
        <f>'Landscape Trees '!A134</f>
        <v>Maackia amurensis</v>
      </c>
      <c r="B279" s="27" t="str">
        <f>'Landscape Trees '!C134</f>
        <v>Amur Maackia</v>
      </c>
      <c r="C279" s="27" t="str">
        <f>'Landscape Trees '!D134</f>
        <v>#5</v>
      </c>
      <c r="D279" s="28" t="str">
        <f>'Landscape Trees '!E134</f>
        <v>0.25-1"</v>
      </c>
      <c r="E279" s="27" t="str">
        <f>'Landscape Trees '!F134</f>
        <v>2-9'</v>
      </c>
      <c r="F279" s="29">
        <f>'Landscape Trees '!G134</f>
        <v>70</v>
      </c>
      <c r="G279" s="27">
        <f>'Landscape Trees '!H134</f>
        <v>0</v>
      </c>
      <c r="H279" s="30">
        <f>'Landscape Trees '!I134</f>
        <v>40</v>
      </c>
      <c r="I279" s="27" t="str">
        <f t="shared" si="3"/>
        <v>Amur Maackia #5-2020</v>
      </c>
      <c r="J279" s="11"/>
      <c r="K279" s="30">
        <f t="shared" si="4"/>
        <v>0</v>
      </c>
    </row>
    <row r="280">
      <c r="A280" s="27" t="str">
        <f>'Landscape Trees '!A135</f>
        <v>Maackia amurensis</v>
      </c>
      <c r="B280" s="27" t="str">
        <f>'Landscape Trees '!C135</f>
        <v>Amur Maackia</v>
      </c>
      <c r="C280" s="27" t="str">
        <f>'Landscape Trees '!D135</f>
        <v>#15</v>
      </c>
      <c r="D280" s="28" t="str">
        <f>'Landscape Trees '!E135</f>
        <v>1.25-1.25"</v>
      </c>
      <c r="E280" s="27" t="str">
        <f>'Landscape Trees '!F135</f>
        <v>11-11'</v>
      </c>
      <c r="F280" s="29">
        <f>'Landscape Trees '!G135</f>
        <v>2</v>
      </c>
      <c r="G280" s="27">
        <f>'Landscape Trees '!H135</f>
        <v>0</v>
      </c>
      <c r="H280" s="30">
        <f>'Landscape Trees '!I135</f>
        <v>115</v>
      </c>
      <c r="I280" s="27" t="str">
        <f t="shared" si="3"/>
        <v>Amur Maackia #15-2020</v>
      </c>
      <c r="J280" s="11"/>
      <c r="K280" s="30">
        <f t="shared" si="4"/>
        <v>0</v>
      </c>
    </row>
    <row r="281">
      <c r="A281" s="27" t="str">
        <f>'Landscape Trees '!A136</f>
        <v>Magnolia 'Black Tulip'</v>
      </c>
      <c r="B281" s="27" t="str">
        <f>'Landscape Trees '!C136</f>
        <v>Black Tulip Magnolia</v>
      </c>
      <c r="C281" s="27" t="str">
        <f>'Landscape Trees '!D136</f>
        <v>#5</v>
      </c>
      <c r="D281" s="28" t="str">
        <f>'Landscape Trees '!E136</f>
        <v>0.5-0.75"</v>
      </c>
      <c r="E281" s="27" t="str">
        <f>'Landscape Trees '!F136</f>
        <v>3-4.5'</v>
      </c>
      <c r="F281" s="29">
        <f>'Landscape Trees '!G136</f>
        <v>4</v>
      </c>
      <c r="G281" s="27">
        <f>'Landscape Trees '!H136</f>
        <v>0</v>
      </c>
      <c r="H281" s="30">
        <f>'Landscape Trees '!I136</f>
        <v>55</v>
      </c>
      <c r="I281" s="27" t="str">
        <f t="shared" si="3"/>
        <v>Black Tulip Magnolia #5-2020</v>
      </c>
      <c r="J281" s="11"/>
      <c r="K281" s="30">
        <f t="shared" si="4"/>
        <v>0</v>
      </c>
    </row>
    <row r="282">
      <c r="A282" s="27" t="str">
        <f>'Landscape Trees '!A137</f>
        <v>Magnolia 'Galaxy'</v>
      </c>
      <c r="B282" s="27" t="str">
        <f>'Landscape Trees '!C137</f>
        <v>Galaxy Magnolia</v>
      </c>
      <c r="C282" s="27" t="str">
        <f>'Landscape Trees '!D137</f>
        <v>#5</v>
      </c>
      <c r="D282" s="32" t="str">
        <f>'Landscape Trees '!E137</f>
        <v>Multi</v>
      </c>
      <c r="E282" s="27" t="str">
        <f>'Landscape Trees '!F137</f>
        <v>4-5'</v>
      </c>
      <c r="F282" s="29">
        <f>'Landscape Trees '!G137</f>
        <v>6</v>
      </c>
      <c r="G282" s="27">
        <f>'Landscape Trees '!H137</f>
        <v>20</v>
      </c>
      <c r="H282" s="30">
        <f>'Landscape Trees '!I137</f>
        <v>55</v>
      </c>
      <c r="I282" s="27" t="str">
        <f t="shared" si="3"/>
        <v>Galaxy Magnolia #5-2020</v>
      </c>
      <c r="J282" s="11"/>
      <c r="K282" s="30">
        <f t="shared" si="4"/>
        <v>0</v>
      </c>
    </row>
    <row r="283">
      <c r="A283" s="27" t="str">
        <f>'Landscape Trees '!A138</f>
        <v>Magnolia 'Northern Belle'</v>
      </c>
      <c r="B283" s="27" t="str">
        <f>'Landscape Trees '!C138</f>
        <v>Northern Belle Magnolia</v>
      </c>
      <c r="C283" s="27" t="str">
        <f>'Landscape Trees '!D138</f>
        <v>#5</v>
      </c>
      <c r="D283" s="28" t="str">
        <f>'Landscape Trees '!E138</f>
        <v>0.25-0.5"</v>
      </c>
      <c r="E283" s="27" t="str">
        <f>'Landscape Trees '!F138</f>
        <v>3-4'</v>
      </c>
      <c r="F283" s="29">
        <f>'Landscape Trees '!G138</f>
        <v>10</v>
      </c>
      <c r="G283" s="27">
        <f>'Landscape Trees '!H138</f>
        <v>0</v>
      </c>
      <c r="H283" s="30">
        <f>'Landscape Trees '!I138</f>
        <v>55</v>
      </c>
      <c r="I283" s="27" t="str">
        <f t="shared" si="3"/>
        <v>Northern Belle Magnolia #5-2020</v>
      </c>
      <c r="J283" s="11"/>
      <c r="K283" s="30">
        <f t="shared" si="4"/>
        <v>0</v>
      </c>
    </row>
    <row r="284">
      <c r="A284" s="27" t="str">
        <f>'Landscape Trees '!A139</f>
        <v>Magnolia 'Sunsation'</v>
      </c>
      <c r="B284" s="27" t="str">
        <f>'Landscape Trees '!C139</f>
        <v>Sunsation Magnolia</v>
      </c>
      <c r="C284" s="27" t="str">
        <f>'Landscape Trees '!D139</f>
        <v>#5</v>
      </c>
      <c r="D284" s="28" t="str">
        <f>'Landscape Trees '!E139</f>
        <v>Multi</v>
      </c>
      <c r="E284" s="27" t="str">
        <f>'Landscape Trees '!F139</f>
        <v>3-4.5'</v>
      </c>
      <c r="F284" s="29">
        <f>'Landscape Trees '!G139</f>
        <v>5</v>
      </c>
      <c r="G284" s="27">
        <f>'Landscape Trees '!H139</f>
        <v>0</v>
      </c>
      <c r="H284" s="30">
        <f>'Landscape Trees '!I139</f>
        <v>50</v>
      </c>
      <c r="I284" s="27" t="str">
        <f t="shared" si="3"/>
        <v>Sunsation Magnolia #5-2020</v>
      </c>
      <c r="J284" s="11"/>
      <c r="K284" s="30">
        <f t="shared" si="4"/>
        <v>0</v>
      </c>
    </row>
    <row r="285">
      <c r="A285" s="27" t="str">
        <f>'Landscape Trees '!A140</f>
        <v>Magnolia 'Yellow Bird'</v>
      </c>
      <c r="B285" s="27" t="str">
        <f>'Landscape Trees '!C140</f>
        <v>Yellow Bird Magnolia</v>
      </c>
      <c r="C285" s="27" t="str">
        <f>'Landscape Trees '!D140</f>
        <v>#5</v>
      </c>
      <c r="D285" s="32" t="str">
        <f>'Landscape Trees '!E140</f>
        <v>Multi</v>
      </c>
      <c r="E285" s="27" t="str">
        <f>'Landscape Trees '!F140</f>
        <v>4-5'</v>
      </c>
      <c r="F285" s="29">
        <f>'Landscape Trees '!G140</f>
        <v>2</v>
      </c>
      <c r="G285" s="27">
        <f>'Landscape Trees '!H140</f>
        <v>0</v>
      </c>
      <c r="H285" s="30">
        <f>'Landscape Trees '!I140</f>
        <v>55</v>
      </c>
      <c r="I285" s="27" t="str">
        <f t="shared" si="3"/>
        <v>Yellow Bird Magnolia #5-2020</v>
      </c>
      <c r="J285" s="11"/>
      <c r="K285" s="30">
        <f t="shared" si="4"/>
        <v>0</v>
      </c>
    </row>
    <row r="286">
      <c r="A286" s="27" t="str">
        <f>'Landscape Trees '!A141</f>
        <v>Magnolia ashei</v>
      </c>
      <c r="B286" s="27" t="str">
        <f>'Landscape Trees '!C141</f>
        <v>Ashe's Magnolia</v>
      </c>
      <c r="C286" s="27" t="str">
        <f>'Landscape Trees '!D141</f>
        <v>#5</v>
      </c>
      <c r="D286" s="28" t="str">
        <f>'Landscape Trees '!E141</f>
        <v>0.25-0.5"</v>
      </c>
      <c r="E286" s="27" t="str">
        <f>'Landscape Trees '!F141</f>
        <v>2-3'</v>
      </c>
      <c r="F286" s="29">
        <f>'Landscape Trees '!G141</f>
        <v>108</v>
      </c>
      <c r="G286" s="27">
        <f>'Landscape Trees '!H141</f>
        <v>100</v>
      </c>
      <c r="H286" s="30">
        <f>'Landscape Trees '!I141</f>
        <v>40</v>
      </c>
      <c r="I286" s="27" t="str">
        <f t="shared" si="3"/>
        <v>Ashe's Magnolia #5-2020</v>
      </c>
      <c r="J286" s="11"/>
      <c r="K286" s="30">
        <f t="shared" si="4"/>
        <v>0</v>
      </c>
    </row>
    <row r="287">
      <c r="A287" s="27" t="str">
        <f>'Landscape Trees '!A142</f>
        <v>Magnolia virginiana</v>
      </c>
      <c r="B287" s="27" t="str">
        <f>'Landscape Trees '!C142</f>
        <v>Sweet Bay Magnolia</v>
      </c>
      <c r="C287" s="27" t="str">
        <f>'Landscape Trees '!D142</f>
        <v>#5</v>
      </c>
      <c r="D287" s="28" t="str">
        <f>'Landscape Trees '!E142</f>
        <v>0.25-0.5"</v>
      </c>
      <c r="E287" s="27" t="str">
        <f>'Landscape Trees '!F142</f>
        <v>2-3'</v>
      </c>
      <c r="F287" s="29">
        <f>'Landscape Trees '!G142</f>
        <v>122</v>
      </c>
      <c r="G287" s="27">
        <f>'Landscape Trees '!H142</f>
        <v>200</v>
      </c>
      <c r="H287" s="30">
        <f>'Landscape Trees '!I142</f>
        <v>35</v>
      </c>
      <c r="I287" s="27" t="str">
        <f t="shared" si="3"/>
        <v>Sweet Bay Magnolia #5-2020</v>
      </c>
      <c r="J287" s="11"/>
      <c r="K287" s="30">
        <f t="shared" si="4"/>
        <v>0</v>
      </c>
    </row>
    <row r="288">
      <c r="A288" s="27" t="str">
        <f>'Landscape Trees '!A143</f>
        <v>Magnolia virginiana</v>
      </c>
      <c r="B288" s="27" t="str">
        <f>'Landscape Trees '!C143</f>
        <v>Sweet Bay Magnolia</v>
      </c>
      <c r="C288" s="27" t="str">
        <f>'Landscape Trees '!D143</f>
        <v>#15</v>
      </c>
      <c r="D288" s="28" t="str">
        <f>'Landscape Trees '!E143</f>
        <v>Multi</v>
      </c>
      <c r="E288" s="27" t="str">
        <f>'Landscape Trees '!F143</f>
        <v>3-7'</v>
      </c>
      <c r="F288" s="29">
        <f>'Landscape Trees '!G143</f>
        <v>2</v>
      </c>
      <c r="G288" s="27">
        <f>'Landscape Trees '!H143</f>
        <v>0</v>
      </c>
      <c r="H288" s="30">
        <f>'Landscape Trees '!I143</f>
        <v>120</v>
      </c>
      <c r="I288" s="27" t="str">
        <f t="shared" si="3"/>
        <v>Sweet Bay Magnolia #15-2020</v>
      </c>
      <c r="J288" s="11"/>
      <c r="K288" s="30">
        <f t="shared" si="4"/>
        <v>0</v>
      </c>
    </row>
    <row r="289">
      <c r="A289" s="27" t="str">
        <f>'Landscape Trees '!A144</f>
        <v>Magnolia virginiana 'Moonglow'</v>
      </c>
      <c r="B289" s="27" t="str">
        <f>'Landscape Trees '!C144</f>
        <v>Moonglow Magnolia</v>
      </c>
      <c r="C289" s="27" t="str">
        <f>'Landscape Trees '!D144</f>
        <v>#5</v>
      </c>
      <c r="D289" s="28" t="str">
        <f>'Landscape Trees '!E144</f>
        <v>0.25-0.5"</v>
      </c>
      <c r="E289" s="27" t="str">
        <f>'Landscape Trees '!F144</f>
        <v>3-4'</v>
      </c>
      <c r="F289" s="29">
        <f>'Landscape Trees '!G144</f>
        <v>4</v>
      </c>
      <c r="G289" s="27">
        <f>'Landscape Trees '!H144</f>
        <v>100</v>
      </c>
      <c r="H289" s="30">
        <f>'Landscape Trees '!I144</f>
        <v>40</v>
      </c>
      <c r="I289" s="27" t="str">
        <f t="shared" si="3"/>
        <v>Moonglow Magnolia #5-2020</v>
      </c>
      <c r="J289" s="11"/>
      <c r="K289" s="30">
        <f t="shared" si="4"/>
        <v>0</v>
      </c>
    </row>
    <row r="290">
      <c r="A290" s="27" t="str">
        <f>'Landscape Trees '!A145</f>
        <v>Magnolia x 'Ann'</v>
      </c>
      <c r="B290" s="27" t="str">
        <f>'Landscape Trees '!C145</f>
        <v>Ann Magnolia</v>
      </c>
      <c r="C290" s="27" t="str">
        <f>'Landscape Trees '!D145</f>
        <v>#5</v>
      </c>
      <c r="D290" s="32" t="str">
        <f>'Landscape Trees '!E145</f>
        <v>Multi</v>
      </c>
      <c r="E290" s="27" t="str">
        <f>'Landscape Trees '!F145</f>
        <v>2-3'</v>
      </c>
      <c r="F290" s="29">
        <f>'Landscape Trees '!G145</f>
        <v>24</v>
      </c>
      <c r="G290" s="27">
        <f>'Landscape Trees '!H145</f>
        <v>0</v>
      </c>
      <c r="H290" s="30">
        <f>'Landscape Trees '!I145</f>
        <v>45</v>
      </c>
      <c r="I290" s="27" t="str">
        <f t="shared" si="3"/>
        <v>Ann Magnolia #5-2020</v>
      </c>
      <c r="J290" s="11"/>
      <c r="K290" s="30">
        <f t="shared" si="4"/>
        <v>0</v>
      </c>
    </row>
    <row r="291">
      <c r="A291" s="27" t="str">
        <f>'Landscape Trees '!A146</f>
        <v>Magnolia x 'Jane'</v>
      </c>
      <c r="B291" s="27" t="str">
        <f>'Landscape Trees '!C146</f>
        <v>Jane Magnolia</v>
      </c>
      <c r="C291" s="27" t="str">
        <f>'Landscape Trees '!D146</f>
        <v>#5</v>
      </c>
      <c r="D291" s="28" t="str">
        <f>'Landscape Trees '!E146</f>
        <v>0.25-0.5"</v>
      </c>
      <c r="E291" s="27" t="str">
        <f>'Landscape Trees '!F146</f>
        <v>2-3.5'</v>
      </c>
      <c r="F291" s="29">
        <f>'Landscape Trees '!G146</f>
        <v>13</v>
      </c>
      <c r="G291" s="27">
        <f>'Landscape Trees '!H146</f>
        <v>0</v>
      </c>
      <c r="H291" s="30">
        <f>'Landscape Trees '!I146</f>
        <v>50</v>
      </c>
      <c r="I291" s="27" t="str">
        <f t="shared" si="3"/>
        <v>Jane Magnolia #5-2020</v>
      </c>
      <c r="J291" s="11"/>
      <c r="K291" s="30">
        <f t="shared" si="4"/>
        <v>0</v>
      </c>
    </row>
    <row r="292">
      <c r="A292" s="27" t="str">
        <f>'Landscape Trees '!A147</f>
        <v>Malus 'Prariefire'</v>
      </c>
      <c r="B292" s="27" t="str">
        <f>'Landscape Trees '!C147</f>
        <v>Prairifire Crabapple</v>
      </c>
      <c r="C292" s="27" t="str">
        <f>'Landscape Trees '!D147</f>
        <v>#7</v>
      </c>
      <c r="D292" s="28" t="str">
        <f>'Landscape Trees '!E147</f>
        <v>0.5-0.75"</v>
      </c>
      <c r="E292" s="27" t="str">
        <f>'Landscape Trees '!F147</f>
        <v>5-6'</v>
      </c>
      <c r="F292" s="29">
        <f>'Landscape Trees '!G147</f>
        <v>30</v>
      </c>
      <c r="G292" s="27">
        <f>'Landscape Trees '!H147</f>
        <v>0</v>
      </c>
      <c r="H292" s="30">
        <f>'Landscape Trees '!I147</f>
        <v>60</v>
      </c>
      <c r="I292" s="27" t="str">
        <f t="shared" si="3"/>
        <v>Prairifire Crabapple #7-2020</v>
      </c>
      <c r="J292" s="11"/>
      <c r="K292" s="30">
        <f t="shared" si="4"/>
        <v>0</v>
      </c>
    </row>
    <row r="293">
      <c r="A293" s="27" t="str">
        <f>'Landscape Trees '!A148</f>
        <v>Malus 'Prariefire'</v>
      </c>
      <c r="B293" s="27" t="str">
        <f>'Landscape Trees '!C148</f>
        <v>Prairifire Crabapple</v>
      </c>
      <c r="C293" s="27" t="str">
        <f>'Landscape Trees '!D148</f>
        <v>#15</v>
      </c>
      <c r="D293" s="28" t="str">
        <f>'Landscape Trees '!E148</f>
        <v>0-1"</v>
      </c>
      <c r="E293" s="27" t="str">
        <f>'Landscape Trees '!F148</f>
        <v>0-10'</v>
      </c>
      <c r="F293" s="29">
        <f>'Landscape Trees '!G148</f>
        <v>0</v>
      </c>
      <c r="G293" s="27">
        <f>'Landscape Trees '!H148</f>
        <v>30</v>
      </c>
      <c r="H293" s="30">
        <f>'Landscape Trees '!I148</f>
        <v>115</v>
      </c>
      <c r="I293" s="27" t="str">
        <f t="shared" si="3"/>
        <v>Prairifire Crabapple #15-2020</v>
      </c>
      <c r="J293" s="11"/>
      <c r="K293" s="30">
        <f t="shared" si="4"/>
        <v>0</v>
      </c>
    </row>
    <row r="294">
      <c r="A294" s="27" t="str">
        <f>'Landscape Trees '!A149</f>
        <v>Malus 'Snowdrift'</v>
      </c>
      <c r="B294" s="27" t="str">
        <f>'Landscape Trees '!C149</f>
        <v>Snowdrift Crabapple</v>
      </c>
      <c r="C294" s="27" t="str">
        <f>'Landscape Trees '!D149</f>
        <v>#5</v>
      </c>
      <c r="D294" s="28" t="str">
        <f>'Landscape Trees '!E149</f>
        <v>0.75-1"</v>
      </c>
      <c r="E294" s="27" t="str">
        <f>'Landscape Trees '!F149</f>
        <v>5-6'</v>
      </c>
      <c r="F294" s="29">
        <f>'Landscape Trees '!G149</f>
        <v>4</v>
      </c>
      <c r="G294" s="27">
        <f>'Landscape Trees '!H149</f>
        <v>0</v>
      </c>
      <c r="H294" s="30">
        <f>'Landscape Trees '!I149</f>
        <v>40</v>
      </c>
      <c r="I294" s="27" t="str">
        <f t="shared" si="3"/>
        <v>Snowdrift Crabapple #5-2020</v>
      </c>
      <c r="J294" s="11"/>
      <c r="K294" s="30">
        <f t="shared" si="4"/>
        <v>0</v>
      </c>
    </row>
    <row r="295">
      <c r="A295" s="27" t="str">
        <f>'Landscape Trees '!A150</f>
        <v>Malus dolgo</v>
      </c>
      <c r="B295" s="27" t="str">
        <f>'Landscape Trees '!C150</f>
        <v>Dolgo Crabapple</v>
      </c>
      <c r="C295" s="27" t="str">
        <f>'Landscape Trees '!D150</f>
        <v>#5</v>
      </c>
      <c r="D295" s="32" t="str">
        <f>'Landscape Trees '!E150</f>
        <v>Multi</v>
      </c>
      <c r="E295" s="27" t="str">
        <f>'Landscape Trees '!F150</f>
        <v>4-5'</v>
      </c>
      <c r="F295" s="29">
        <f>'Landscape Trees '!G150</f>
        <v>3</v>
      </c>
      <c r="G295" s="27">
        <f>'Landscape Trees '!H150</f>
        <v>0</v>
      </c>
      <c r="H295" s="30">
        <f>'Landscape Trees '!I150</f>
        <v>40</v>
      </c>
      <c r="I295" s="27" t="str">
        <f t="shared" si="3"/>
        <v>Dolgo Crabapple #5-2020</v>
      </c>
      <c r="J295" s="11"/>
      <c r="K295" s="30">
        <f t="shared" si="4"/>
        <v>0</v>
      </c>
    </row>
    <row r="296">
      <c r="A296" s="27" t="str">
        <f>'Landscape Trees '!A151</f>
        <v>Malus domestica</v>
      </c>
      <c r="B296" s="27" t="str">
        <f>'Landscape Trees '!C151</f>
        <v>Common Apple</v>
      </c>
      <c r="C296" s="27" t="str">
        <f>'Landscape Trees '!D151</f>
        <v>#5</v>
      </c>
      <c r="D296" s="28" t="str">
        <f>'Landscape Trees '!E151</f>
        <v>0.75-0.5"</v>
      </c>
      <c r="E296" s="27" t="str">
        <f>'Landscape Trees '!F151</f>
        <v>4-5'</v>
      </c>
      <c r="F296" s="29">
        <f>'Landscape Trees '!G151</f>
        <v>33</v>
      </c>
      <c r="G296" s="27">
        <f>'Landscape Trees '!H151</f>
        <v>0</v>
      </c>
      <c r="H296" s="30">
        <f>'Landscape Trees '!I151</f>
        <v>30</v>
      </c>
      <c r="I296" s="27" t="str">
        <f t="shared" si="3"/>
        <v>Common Apple #5-2020</v>
      </c>
      <c r="J296" s="11"/>
      <c r="K296" s="30">
        <f t="shared" si="4"/>
        <v>0</v>
      </c>
    </row>
    <row r="297">
      <c r="A297" s="27" t="str">
        <f>'Landscape Trees '!A152</f>
        <v>Metasequoia glyptostroboides</v>
      </c>
      <c r="B297" s="27" t="str">
        <f>'Landscape Trees '!C152</f>
        <v>Dawn Redwood</v>
      </c>
      <c r="C297" s="27" t="str">
        <f>'Landscape Trees '!D152</f>
        <v>#5</v>
      </c>
      <c r="D297" s="28" t="str">
        <f>'Landscape Trees '!E152</f>
        <v>0.5-1.5"</v>
      </c>
      <c r="E297" s="27" t="str">
        <f>'Landscape Trees '!F152</f>
        <v>4-10'</v>
      </c>
      <c r="F297" s="29">
        <f>'Landscape Trees '!G152</f>
        <v>5</v>
      </c>
      <c r="G297" s="27">
        <f>'Landscape Trees '!H152</f>
        <v>50</v>
      </c>
      <c r="H297" s="30">
        <f>'Landscape Trees '!I152</f>
        <v>40</v>
      </c>
      <c r="I297" s="27" t="str">
        <f t="shared" si="3"/>
        <v>Dawn Redwood #5-2020</v>
      </c>
      <c r="J297" s="11"/>
      <c r="K297" s="30">
        <f t="shared" si="4"/>
        <v>0</v>
      </c>
    </row>
    <row r="298">
      <c r="A298" s="27" t="str">
        <f>'Landscape Trees '!A153</f>
        <v>Nandina domestica</v>
      </c>
      <c r="B298" s="27" t="str">
        <f>'Landscape Trees '!C153</f>
        <v>Nandina</v>
      </c>
      <c r="C298" s="27" t="str">
        <f>'Landscape Trees '!D153</f>
        <v>#5</v>
      </c>
      <c r="D298" s="28" t="str">
        <f>'Landscape Trees '!E153</f>
        <v>Multi</v>
      </c>
      <c r="E298" s="27" t="str">
        <f>'Landscape Trees '!F153</f>
        <v>0.25-1'</v>
      </c>
      <c r="F298" s="29">
        <f>'Landscape Trees '!G153</f>
        <v>14</v>
      </c>
      <c r="G298" s="27">
        <f>'Landscape Trees '!H153</f>
        <v>0</v>
      </c>
      <c r="H298" s="30">
        <f>'Landscape Trees '!I153</f>
        <v>30</v>
      </c>
      <c r="I298" s="27" t="str">
        <f t="shared" si="3"/>
        <v>Nandina #5-2020</v>
      </c>
      <c r="J298" s="11"/>
      <c r="K298" s="30">
        <f t="shared" si="4"/>
        <v>0</v>
      </c>
    </row>
    <row r="299">
      <c r="A299" s="27" t="str">
        <f>'Landscape Trees '!A154</f>
        <v>Nyssa sylvatica</v>
      </c>
      <c r="B299" s="27" t="str">
        <f>'Landscape Trees '!C154</f>
        <v>Black Gum</v>
      </c>
      <c r="C299" s="27" t="str">
        <f>'Landscape Trees '!D154</f>
        <v>#5</v>
      </c>
      <c r="D299" s="28" t="str">
        <f>'Landscape Trees '!E154</f>
        <v>0.5-1"</v>
      </c>
      <c r="E299" s="27" t="str">
        <f>'Landscape Trees '!F154</f>
        <v>4-7'</v>
      </c>
      <c r="F299" s="29">
        <f>'Landscape Trees '!G154</f>
        <v>60</v>
      </c>
      <c r="G299" s="27">
        <f>'Landscape Trees '!H154</f>
        <v>300</v>
      </c>
      <c r="H299" s="30">
        <f>'Landscape Trees '!I154</f>
        <v>40</v>
      </c>
      <c r="I299" s="27" t="str">
        <f t="shared" si="3"/>
        <v>Black Gum #5-2020</v>
      </c>
      <c r="J299" s="11"/>
      <c r="K299" s="30">
        <f t="shared" si="4"/>
        <v>0</v>
      </c>
    </row>
    <row r="300">
      <c r="A300" s="27" t="str">
        <f>'Landscape Trees '!A155</f>
        <v>Nyssa sylvatica</v>
      </c>
      <c r="B300" s="27" t="str">
        <f>'Landscape Trees '!C155</f>
        <v>Black Gum</v>
      </c>
      <c r="C300" s="27" t="str">
        <f>'Landscape Trees '!D155</f>
        <v>#7</v>
      </c>
      <c r="D300" s="28" t="str">
        <f>'Landscape Trees '!E155</f>
        <v>0.5-0.75"</v>
      </c>
      <c r="E300" s="27" t="str">
        <f>'Landscape Trees '!F155</f>
        <v>4-5'</v>
      </c>
      <c r="F300" s="29">
        <f>'Landscape Trees '!G155</f>
        <v>52</v>
      </c>
      <c r="G300" s="27">
        <f>'Landscape Trees '!H155</f>
        <v>0</v>
      </c>
      <c r="H300" s="30">
        <f>'Landscape Trees '!I155</f>
        <v>45</v>
      </c>
      <c r="I300" s="27" t="str">
        <f t="shared" si="3"/>
        <v>Black Gum #7-2020</v>
      </c>
      <c r="J300" s="11"/>
      <c r="K300" s="30">
        <f t="shared" si="4"/>
        <v>0</v>
      </c>
    </row>
    <row r="301">
      <c r="A301" s="27" t="str">
        <f>'Landscape Trees '!A156</f>
        <v>Nyssa sylvatica 'Green Gable'</v>
      </c>
      <c r="B301" s="27" t="str">
        <f>'Landscape Trees '!C156</f>
        <v>Green Gable Black Gum</v>
      </c>
      <c r="C301" s="27" t="str">
        <f>'Landscape Trees '!D156</f>
        <v>#5</v>
      </c>
      <c r="D301" s="28" t="str">
        <f>'Landscape Trees '!E156</f>
        <v>0.5-0.5"</v>
      </c>
      <c r="E301" s="27" t="str">
        <f>'Landscape Trees '!F156</f>
        <v>3-5'</v>
      </c>
      <c r="F301" s="29">
        <f>'Landscape Trees '!G156</f>
        <v>7</v>
      </c>
      <c r="G301" s="27">
        <f>'Landscape Trees '!H156</f>
        <v>10</v>
      </c>
      <c r="H301" s="30">
        <f>'Landscape Trees '!I156</f>
        <v>50</v>
      </c>
      <c r="I301" s="27" t="str">
        <f t="shared" si="3"/>
        <v>Green Gable Black Gum #5-2020</v>
      </c>
      <c r="J301" s="11"/>
      <c r="K301" s="30">
        <f t="shared" si="4"/>
        <v>0</v>
      </c>
    </row>
    <row r="302">
      <c r="A302" s="27" t="str">
        <f>'Landscape Trees '!A157</f>
        <v>Nyssa sylvatica 'Tupelo Tower'</v>
      </c>
      <c r="B302" s="27" t="str">
        <f>'Landscape Trees '!C157</f>
        <v>Tupelo Tower Black Gum</v>
      </c>
      <c r="C302" s="27" t="str">
        <f>'Landscape Trees '!D157</f>
        <v>#5</v>
      </c>
      <c r="D302" s="28" t="str">
        <f>'Landscape Trees '!E157</f>
        <v>0.5-0.5"</v>
      </c>
      <c r="E302" s="27" t="str">
        <f>'Landscape Trees '!F157</f>
        <v>3-5'</v>
      </c>
      <c r="F302" s="29">
        <f>'Landscape Trees '!G157</f>
        <v>5</v>
      </c>
      <c r="G302" s="27">
        <f>'Landscape Trees '!H157</f>
        <v>0</v>
      </c>
      <c r="H302" s="30">
        <f>'Landscape Trees '!I157</f>
        <v>50</v>
      </c>
      <c r="I302" s="27" t="str">
        <f t="shared" si="3"/>
        <v>Tupelo Tower Black Gum #5-2020</v>
      </c>
      <c r="J302" s="11"/>
      <c r="K302" s="30">
        <f t="shared" si="4"/>
        <v>0</v>
      </c>
    </row>
    <row r="303">
      <c r="A303" s="27" t="str">
        <f>'Landscape Trees '!A158</f>
        <v>Nyssa sylvatica 'Wildfire'</v>
      </c>
      <c r="B303" s="27" t="str">
        <f>'Landscape Trees '!C158</f>
        <v>Wildfire Black Gum</v>
      </c>
      <c r="C303" s="27" t="str">
        <f>'Landscape Trees '!D158</f>
        <v>#5</v>
      </c>
      <c r="D303" s="28" t="str">
        <f>'Landscape Trees '!E158</f>
        <v>0.5-0.5"</v>
      </c>
      <c r="E303" s="27" t="str">
        <f>'Landscape Trees '!F158</f>
        <v>4.5-4.5'</v>
      </c>
      <c r="F303" s="29">
        <f>'Landscape Trees '!G158</f>
        <v>1</v>
      </c>
      <c r="G303" s="27">
        <f>'Landscape Trees '!H158</f>
        <v>0</v>
      </c>
      <c r="H303" s="30">
        <f>'Landscape Trees '!I158</f>
        <v>55</v>
      </c>
      <c r="I303" s="27" t="str">
        <f t="shared" si="3"/>
        <v>Wildfire Black Gum #5-2020</v>
      </c>
      <c r="J303" s="11"/>
      <c r="K303" s="30">
        <f t="shared" si="4"/>
        <v>0</v>
      </c>
    </row>
    <row r="304">
      <c r="A304" s="27" t="str">
        <f>'Landscape Trees '!A159</f>
        <v>Ostrya virginiana</v>
      </c>
      <c r="B304" s="27" t="str">
        <f>'Landscape Trees '!C159</f>
        <v>American Hophornbeam</v>
      </c>
      <c r="C304" s="27" t="str">
        <f>'Landscape Trees '!D159</f>
        <v>#5</v>
      </c>
      <c r="D304" s="28" t="str">
        <f>'Landscape Trees '!E159</f>
        <v>0.125-1"</v>
      </c>
      <c r="E304" s="27" t="str">
        <f>'Landscape Trees '!F159</f>
        <v>2-8'</v>
      </c>
      <c r="F304" s="29">
        <f>'Landscape Trees '!G159</f>
        <v>47</v>
      </c>
      <c r="G304" s="27">
        <f>'Landscape Trees '!H159</f>
        <v>100</v>
      </c>
      <c r="H304" s="30">
        <f>'Landscape Trees '!I159</f>
        <v>40</v>
      </c>
      <c r="I304" s="27" t="str">
        <f t="shared" si="3"/>
        <v>American Hophornbeam #5-2020</v>
      </c>
      <c r="J304" s="11"/>
      <c r="K304" s="30">
        <f t="shared" si="4"/>
        <v>0</v>
      </c>
    </row>
    <row r="305">
      <c r="A305" s="27" t="str">
        <f>'Landscape Trees '!A160</f>
        <v>Ostrya virginiana</v>
      </c>
      <c r="B305" s="27" t="str">
        <f>'Landscape Trees '!C160</f>
        <v>American Hophornbeam</v>
      </c>
      <c r="C305" s="27" t="str">
        <f>'Landscape Trees '!D160</f>
        <v>#15</v>
      </c>
      <c r="D305" s="28" t="str">
        <f>'Landscape Trees '!E160</f>
        <v>1-1"</v>
      </c>
      <c r="E305" s="27" t="str">
        <f>'Landscape Trees '!F160</f>
        <v>10-12'</v>
      </c>
      <c r="F305" s="29">
        <f>'Landscape Trees '!G160</f>
        <v>1</v>
      </c>
      <c r="G305" s="27">
        <f>'Landscape Trees '!H160</f>
        <v>15</v>
      </c>
      <c r="H305" s="30">
        <f>'Landscape Trees '!I160</f>
        <v>115</v>
      </c>
      <c r="I305" s="27" t="str">
        <f t="shared" si="3"/>
        <v>American Hophornbeam #15-2020</v>
      </c>
      <c r="J305" s="11"/>
      <c r="K305" s="30">
        <f t="shared" si="4"/>
        <v>0</v>
      </c>
    </row>
    <row r="306">
      <c r="A306" s="27" t="str">
        <f>'Landscape Trees '!A161</f>
        <v>Oxydendrum arboreum</v>
      </c>
      <c r="B306" s="27" t="str">
        <f>'Landscape Trees '!C161</f>
        <v>Sourwood</v>
      </c>
      <c r="C306" s="27" t="str">
        <f>'Landscape Trees '!D161</f>
        <v>#5</v>
      </c>
      <c r="D306" s="28" t="str">
        <f>'Landscape Trees '!E161</f>
        <v>Multi</v>
      </c>
      <c r="E306" s="27" t="str">
        <f>'Landscape Trees '!F161</f>
        <v>1-3.5'</v>
      </c>
      <c r="F306" s="31">
        <f>'Landscape Trees '!G161</f>
        <v>36</v>
      </c>
      <c r="G306" s="27">
        <f>'Landscape Trees '!H161</f>
        <v>200</v>
      </c>
      <c r="H306" s="30">
        <f>'Landscape Trees '!I161</f>
        <v>40</v>
      </c>
      <c r="I306" s="27" t="str">
        <f t="shared" si="3"/>
        <v>Sourwood #5-2020</v>
      </c>
      <c r="J306" s="11"/>
      <c r="K306" s="30">
        <f t="shared" si="4"/>
        <v>0</v>
      </c>
    </row>
    <row r="307">
      <c r="A307" s="27" t="str">
        <f>'Landscape Trees '!A162</f>
        <v>Oxydendrum arboreum</v>
      </c>
      <c r="B307" s="27" t="str">
        <f>'Landscape Trees '!C162</f>
        <v>Sourwood</v>
      </c>
      <c r="C307" s="27" t="str">
        <f>'Landscape Trees '!D162</f>
        <v>#7</v>
      </c>
      <c r="D307" s="28" t="str">
        <f>'Landscape Trees '!E162</f>
        <v>Multi</v>
      </c>
      <c r="E307" s="27" t="str">
        <f>'Landscape Trees '!F162</f>
        <v>1-2'</v>
      </c>
      <c r="F307" s="29">
        <f>'Landscape Trees '!G162</f>
        <v>0</v>
      </c>
      <c r="G307" s="27">
        <f>'Landscape Trees '!H162</f>
        <v>20</v>
      </c>
      <c r="H307" s="30">
        <f>'Landscape Trees '!I162</f>
        <v>50</v>
      </c>
      <c r="I307" s="27" t="str">
        <f t="shared" si="3"/>
        <v>Sourwood #7-2020</v>
      </c>
      <c r="J307" s="11"/>
      <c r="K307" s="30">
        <f t="shared" si="4"/>
        <v>0</v>
      </c>
    </row>
    <row r="308">
      <c r="A308" s="27" t="str">
        <f>'Landscape Trees '!A163</f>
        <v>Parrotia persica</v>
      </c>
      <c r="B308" s="27" t="str">
        <f>'Landscape Trees '!C163</f>
        <v>Persian Parrotia</v>
      </c>
      <c r="C308" s="27" t="str">
        <f>'Landscape Trees '!D163</f>
        <v>#5</v>
      </c>
      <c r="D308" s="28" t="str">
        <f>'Landscape Trees '!E163</f>
        <v>0.25-0.5"</v>
      </c>
      <c r="E308" s="27" t="str">
        <f>'Landscape Trees '!F163</f>
        <v>1-4'</v>
      </c>
      <c r="F308" s="29">
        <f>'Landscape Trees '!G163</f>
        <v>29</v>
      </c>
      <c r="G308" s="27">
        <f>'Landscape Trees '!H163</f>
        <v>0</v>
      </c>
      <c r="H308" s="30">
        <f>'Landscape Trees '!I163</f>
        <v>40</v>
      </c>
      <c r="I308" s="27" t="str">
        <f t="shared" si="3"/>
        <v>Persian Parrotia #5-2020</v>
      </c>
      <c r="J308" s="11"/>
      <c r="K308" s="30">
        <f t="shared" si="4"/>
        <v>0</v>
      </c>
    </row>
    <row r="309">
      <c r="A309" s="27" t="str">
        <f>'Landscape Trees '!A164</f>
        <v>Parrotia persica</v>
      </c>
      <c r="B309" s="27" t="str">
        <f>'Landscape Trees '!C164</f>
        <v>Persian Parrotia</v>
      </c>
      <c r="C309" s="27" t="str">
        <f>'Landscape Trees '!D164</f>
        <v>#15</v>
      </c>
      <c r="D309" s="28" t="str">
        <f>'Landscape Trees '!E164</f>
        <v>0.75-1"</v>
      </c>
      <c r="E309" s="27" t="str">
        <f>'Landscape Trees '!F164</f>
        <v>5-7'</v>
      </c>
      <c r="F309" s="29">
        <f>'Landscape Trees '!G164</f>
        <v>5</v>
      </c>
      <c r="G309" s="27">
        <f>'Landscape Trees '!H164</f>
        <v>0</v>
      </c>
      <c r="H309" s="30">
        <f>'Landscape Trees '!I164</f>
        <v>115</v>
      </c>
      <c r="I309" s="27" t="str">
        <f t="shared" si="3"/>
        <v>Persian Parrotia #15-2020</v>
      </c>
      <c r="J309" s="11"/>
      <c r="K309" s="30">
        <f t="shared" si="4"/>
        <v>0</v>
      </c>
    </row>
    <row r="310">
      <c r="A310" s="27" t="str">
        <f>'Landscape Trees '!A165</f>
        <v>Parrotia persica</v>
      </c>
      <c r="B310" s="27" t="str">
        <f>'Landscape Trees '!C165</f>
        <v>Persian Parrotia</v>
      </c>
      <c r="C310" s="27" t="str">
        <f>'Landscape Trees '!D165</f>
        <v>#25</v>
      </c>
      <c r="D310" s="28" t="str">
        <f>'Landscape Trees '!E165</f>
        <v>0.75-1"</v>
      </c>
      <c r="E310" s="27" t="str">
        <f>'Landscape Trees '!F165</f>
        <v>7-8'</v>
      </c>
      <c r="F310" s="29">
        <f>'Landscape Trees '!G165</f>
        <v>2</v>
      </c>
      <c r="G310" s="27">
        <f>'Landscape Trees '!H165</f>
        <v>0</v>
      </c>
      <c r="H310" s="30">
        <f>'Landscape Trees '!I165</f>
        <v>140</v>
      </c>
      <c r="I310" s="27" t="str">
        <f t="shared" si="3"/>
        <v>Persian Parrotia #25-2020</v>
      </c>
      <c r="J310" s="11"/>
      <c r="K310" s="30">
        <f t="shared" si="4"/>
        <v>0</v>
      </c>
    </row>
    <row r="311">
      <c r="A311" s="27" t="str">
        <f>'Landscape Trees '!A166</f>
        <v>Physocarpus opulifolius</v>
      </c>
      <c r="B311" s="27" t="str">
        <f>'Landscape Trees '!C166</f>
        <v>Eastern Ninebark</v>
      </c>
      <c r="C311" s="27" t="str">
        <f>'Landscape Trees '!D166</f>
        <v>#5</v>
      </c>
      <c r="D311" s="32" t="str">
        <f>'Landscape Trees '!E166</f>
        <v>Multi</v>
      </c>
      <c r="E311" s="27" t="str">
        <f>'Landscape Trees '!F166</f>
        <v>4-5'</v>
      </c>
      <c r="F311" s="29">
        <f>'Landscape Trees '!G166</f>
        <v>11</v>
      </c>
      <c r="G311" s="27">
        <f>'Landscape Trees '!H166</f>
        <v>25</v>
      </c>
      <c r="H311" s="30">
        <f>'Landscape Trees '!I166</f>
        <v>30</v>
      </c>
      <c r="I311" s="27" t="str">
        <f t="shared" si="3"/>
        <v>Eastern Ninebark #5-2020</v>
      </c>
      <c r="J311" s="11"/>
      <c r="K311" s="30">
        <f t="shared" si="4"/>
        <v>0</v>
      </c>
    </row>
    <row r="312">
      <c r="A312" s="27" t="str">
        <f>'Landscape Trees '!A167</f>
        <v>Picea abies</v>
      </c>
      <c r="B312" s="27" t="str">
        <f>'Landscape Trees '!C167</f>
        <v>Norway Spruce</v>
      </c>
      <c r="C312" s="27" t="str">
        <f>'Landscape Trees '!D167</f>
        <v>#5</v>
      </c>
      <c r="D312" s="28" t="str">
        <f>'Landscape Trees '!E167</f>
        <v>0.5-0.75"</v>
      </c>
      <c r="E312" s="27" t="str">
        <f>'Landscape Trees '!F167</f>
        <v>1-3'</v>
      </c>
      <c r="F312" s="29">
        <f>'Landscape Trees '!G167</f>
        <v>50</v>
      </c>
      <c r="G312" s="27">
        <f>'Landscape Trees '!H167</f>
        <v>0</v>
      </c>
      <c r="H312" s="30">
        <f>'Landscape Trees '!I167</f>
        <v>40</v>
      </c>
      <c r="I312" s="27" t="str">
        <f t="shared" si="3"/>
        <v>Norway Spruce #5-2020</v>
      </c>
      <c r="J312" s="11"/>
      <c r="K312" s="30">
        <f t="shared" si="4"/>
        <v>0</v>
      </c>
    </row>
    <row r="313">
      <c r="A313" s="27" t="str">
        <f>'Landscape Trees '!A168</f>
        <v>Picea omorika</v>
      </c>
      <c r="B313" s="27" t="str">
        <f>'Landscape Trees '!C168</f>
        <v>Serbian Spruce</v>
      </c>
      <c r="C313" s="27" t="str">
        <f>'Landscape Trees '!D168</f>
        <v>#5</v>
      </c>
      <c r="D313" s="28" t="str">
        <f>'Landscape Trees '!E168</f>
        <v>0.5-0.75"</v>
      </c>
      <c r="E313" s="27" t="str">
        <f>'Landscape Trees '!F168</f>
        <v>3-4'</v>
      </c>
      <c r="F313" s="29">
        <f>'Landscape Trees '!G168</f>
        <v>11</v>
      </c>
      <c r="G313" s="27">
        <f>'Landscape Trees '!H168</f>
        <v>0</v>
      </c>
      <c r="H313" s="30">
        <f>'Landscape Trees '!I168</f>
        <v>40</v>
      </c>
      <c r="I313" s="27" t="str">
        <f t="shared" si="3"/>
        <v>Serbian Spruce #5-2020</v>
      </c>
      <c r="J313" s="11"/>
      <c r="K313" s="30">
        <f t="shared" si="4"/>
        <v>0</v>
      </c>
    </row>
    <row r="314">
      <c r="A314" s="27" t="str">
        <f>'Landscape Trees '!A169</f>
        <v>Pinus virginiana </v>
      </c>
      <c r="B314" s="27" t="str">
        <f>'Landscape Trees '!C169</f>
        <v>Virginia Pine</v>
      </c>
      <c r="C314" s="27" t="str">
        <f>'Landscape Trees '!D169</f>
        <v>#5</v>
      </c>
      <c r="D314" s="28" t="str">
        <f>'Landscape Trees '!E169</f>
        <v>0-0"</v>
      </c>
      <c r="E314" s="27" t="str">
        <f>'Landscape Trees '!F169</f>
        <v>0-0'</v>
      </c>
      <c r="F314" s="31">
        <f>'Landscape Trees '!G169</f>
        <v>28</v>
      </c>
      <c r="G314" s="27">
        <f>'Landscape Trees '!H169</f>
        <v>12.5</v>
      </c>
      <c r="H314" s="30">
        <f>'Landscape Trees '!I169</f>
        <v>40</v>
      </c>
      <c r="I314" s="27" t="str">
        <f t="shared" si="3"/>
        <v>Virginia Pine #5-2020</v>
      </c>
      <c r="J314" s="11"/>
      <c r="K314" s="30">
        <f t="shared" si="4"/>
        <v>0</v>
      </c>
    </row>
    <row r="315">
      <c r="A315" s="27" t="str">
        <f>'Landscape Trees '!A170</f>
        <v>Pinus virginiana </v>
      </c>
      <c r="B315" s="27" t="str">
        <f>'Landscape Trees '!C170</f>
        <v>Virginia Pine</v>
      </c>
      <c r="C315" s="27" t="str">
        <f>'Landscape Trees '!D170</f>
        <v>#5</v>
      </c>
      <c r="D315" s="28" t="str">
        <f>'Landscape Trees '!E170</f>
        <v>0.25-0.5"</v>
      </c>
      <c r="E315" s="27" t="str">
        <f>'Landscape Trees '!F170</f>
        <v>1-2'</v>
      </c>
      <c r="F315" s="29">
        <f>'Landscape Trees '!G170</f>
        <v>0</v>
      </c>
      <c r="G315" s="27">
        <f>'Landscape Trees '!H170</f>
        <v>12.5</v>
      </c>
      <c r="H315" s="30">
        <f>'Landscape Trees '!I170</f>
        <v>40</v>
      </c>
      <c r="I315" s="27" t="str">
        <f t="shared" si="3"/>
        <v>Virginia Pine #5-2020</v>
      </c>
      <c r="J315" s="11"/>
      <c r="K315" s="30">
        <f t="shared" si="4"/>
        <v>0</v>
      </c>
    </row>
    <row r="316">
      <c r="A316" s="27" t="str">
        <f>'Landscape Trees '!A171</f>
        <v>Plantus occidentalis</v>
      </c>
      <c r="B316" s="27" t="str">
        <f>'Landscape Trees '!C171</f>
        <v>American Sycamore</v>
      </c>
      <c r="C316" s="27" t="str">
        <f>'Landscape Trees '!D171</f>
        <v>#15</v>
      </c>
      <c r="D316" s="28" t="str">
        <f>'Landscape Trees '!E171</f>
        <v>0-1.5"</v>
      </c>
      <c r="E316" s="27" t="str">
        <f>'Landscape Trees '!F171</f>
        <v>0-1'</v>
      </c>
      <c r="F316" s="29">
        <f>'Landscape Trees '!G171</f>
        <v>0</v>
      </c>
      <c r="G316" s="27">
        <f>'Landscape Trees '!H171</f>
        <v>3</v>
      </c>
      <c r="H316" s="30">
        <f>'Landscape Trees '!I171</f>
        <v>120</v>
      </c>
      <c r="I316" s="27" t="str">
        <f t="shared" si="3"/>
        <v>American Sycamore #15-2020</v>
      </c>
      <c r="J316" s="11"/>
      <c r="K316" s="30">
        <f t="shared" si="4"/>
        <v>0</v>
      </c>
    </row>
    <row r="317">
      <c r="A317" s="27" t="str">
        <f>'Landscape Trees '!A172</f>
        <v>Platanus occidentalis</v>
      </c>
      <c r="B317" s="27" t="str">
        <f>'Landscape Trees '!C172</f>
        <v>American Sycamore</v>
      </c>
      <c r="C317" s="27" t="str">
        <f>'Landscape Trees '!D172</f>
        <v>#5</v>
      </c>
      <c r="D317" s="28" t="str">
        <f>'Landscape Trees '!E172</f>
        <v>0-1.25"</v>
      </c>
      <c r="E317" s="27" t="str">
        <f>'Landscape Trees '!F172</f>
        <v>0-9'</v>
      </c>
      <c r="F317" s="29">
        <f>'Landscape Trees '!G172</f>
        <v>0</v>
      </c>
      <c r="G317" s="27">
        <f>'Landscape Trees '!H172</f>
        <v>320</v>
      </c>
      <c r="H317" s="30">
        <f>'Landscape Trees '!I172</f>
        <v>45</v>
      </c>
      <c r="I317" s="27" t="str">
        <f t="shared" si="3"/>
        <v>American Sycamore #5-2020</v>
      </c>
      <c r="J317" s="11"/>
      <c r="K317" s="30">
        <f t="shared" si="4"/>
        <v>0</v>
      </c>
    </row>
    <row r="318">
      <c r="A318" s="27" t="str">
        <f>'Landscape Trees '!A173</f>
        <v>Platanus occidentalis</v>
      </c>
      <c r="B318" s="27" t="str">
        <f>'Landscape Trees '!C173</f>
        <v>American Sycamore</v>
      </c>
      <c r="C318" s="27" t="str">
        <f>'Landscape Trees '!D173</f>
        <v>#10</v>
      </c>
      <c r="D318" s="28" t="str">
        <f>'Landscape Trees '!E173</f>
        <v>1-1"</v>
      </c>
      <c r="E318" s="27" t="str">
        <f>'Landscape Trees '!F173</f>
        <v>5-6'</v>
      </c>
      <c r="F318" s="29">
        <f>'Landscape Trees '!G173</f>
        <v>0</v>
      </c>
      <c r="G318" s="27">
        <f>'Landscape Trees '!H173</f>
        <v>20</v>
      </c>
      <c r="H318" s="30">
        <f>'Landscape Trees '!I173</f>
        <v>90</v>
      </c>
      <c r="I318" s="27" t="str">
        <f t="shared" si="3"/>
        <v>American Sycamore #10-2020</v>
      </c>
      <c r="J318" s="11"/>
      <c r="K318" s="30">
        <f t="shared" si="4"/>
        <v>0</v>
      </c>
    </row>
    <row r="319">
      <c r="A319" s="27" t="str">
        <f>'Landscape Trees '!A174</f>
        <v>Platanus occidentalis</v>
      </c>
      <c r="B319" s="27" t="str">
        <f>'Landscape Trees '!C174</f>
        <v>American Sycamore</v>
      </c>
      <c r="C319" s="27" t="str">
        <f>'Landscape Trees '!D174</f>
        <v>#25</v>
      </c>
      <c r="D319" s="28" t="str">
        <f>'Landscape Trees '!E174</f>
        <v>0-1.5"</v>
      </c>
      <c r="E319" s="27" t="str">
        <f>'Landscape Trees '!F174</f>
        <v>0-1'</v>
      </c>
      <c r="F319" s="29">
        <f>'Landscape Trees '!G174</f>
        <v>0</v>
      </c>
      <c r="G319" s="27">
        <f>'Landscape Trees '!H174</f>
        <v>3</v>
      </c>
      <c r="H319" s="30">
        <f>'Landscape Trees '!I174</f>
        <v>120</v>
      </c>
      <c r="I319" s="27" t="str">
        <f t="shared" si="3"/>
        <v>American Sycamore #25-2020</v>
      </c>
      <c r="J319" s="11"/>
      <c r="K319" s="30">
        <f t="shared" si="4"/>
        <v>0</v>
      </c>
    </row>
    <row r="320">
      <c r="A320" s="27" t="str">
        <f>'Landscape Trees '!A175</f>
        <v>Platanus x acerifolia 'Bloodgood'</v>
      </c>
      <c r="B320" s="27" t="str">
        <f>'Landscape Trees '!C175</f>
        <v>Bloodgood London Plane Tree</v>
      </c>
      <c r="C320" s="27" t="str">
        <f>'Landscape Trees '!D175</f>
        <v>#5</v>
      </c>
      <c r="D320" s="28" t="str">
        <f>'Landscape Trees '!E175</f>
        <v>0.75-1"</v>
      </c>
      <c r="E320" s="27" t="str">
        <f>'Landscape Trees '!F175</f>
        <v>8-10'</v>
      </c>
      <c r="F320" s="29">
        <f>'Landscape Trees '!G175</f>
        <v>74</v>
      </c>
      <c r="G320" s="27">
        <f>'Landscape Trees '!H175</f>
        <v>0</v>
      </c>
      <c r="H320" s="30">
        <f>'Landscape Trees '!I175</f>
        <v>45</v>
      </c>
      <c r="I320" s="27" t="str">
        <f t="shared" si="3"/>
        <v>Bloodgood London Plane Tree #5-2020</v>
      </c>
      <c r="J320" s="11"/>
      <c r="K320" s="30">
        <f t="shared" si="4"/>
        <v>0</v>
      </c>
    </row>
    <row r="321">
      <c r="A321" s="27" t="str">
        <f>'Landscape Trees '!A176</f>
        <v>Platanus x acerifolia 'Exclamation'</v>
      </c>
      <c r="B321" s="27" t="str">
        <f>'Landscape Trees '!C176</f>
        <v>Exclamation London Plane Tree</v>
      </c>
      <c r="C321" s="27" t="str">
        <f>'Landscape Trees '!D176</f>
        <v>#5</v>
      </c>
      <c r="D321" s="28" t="str">
        <f>'Landscape Trees '!E176</f>
        <v>0.25-0.5"</v>
      </c>
      <c r="E321" s="27" t="str">
        <f>'Landscape Trees '!F176</f>
        <v>3-4'</v>
      </c>
      <c r="F321" s="29">
        <f>'Landscape Trees '!G176</f>
        <v>0</v>
      </c>
      <c r="G321" s="27">
        <f>'Landscape Trees '!H176</f>
        <v>45</v>
      </c>
      <c r="H321" s="30">
        <f>'Landscape Trees '!I176</f>
        <v>40</v>
      </c>
      <c r="I321" s="27" t="str">
        <f t="shared" si="3"/>
        <v>Exclamation London Plane Tree #5-2020</v>
      </c>
      <c r="J321" s="11"/>
      <c r="K321" s="30">
        <f t="shared" si="4"/>
        <v>0</v>
      </c>
    </row>
    <row r="322">
      <c r="A322" s="27" t="str">
        <f>'Landscape Trees '!A177</f>
        <v>Platanus x acerifolia 'Exclamation'</v>
      </c>
      <c r="B322" s="27" t="str">
        <f>'Landscape Trees '!C177</f>
        <v>Exclamation London Plane Tree</v>
      </c>
      <c r="C322" s="27" t="str">
        <f>'Landscape Trees '!D177</f>
        <v>#15</v>
      </c>
      <c r="D322" s="28" t="str">
        <f>'Landscape Trees '!E177</f>
        <v>1-1.25"</v>
      </c>
      <c r="E322" s="27" t="str">
        <f>'Landscape Trees '!F177</f>
        <v>9-12'</v>
      </c>
      <c r="F322" s="29">
        <f>'Landscape Trees '!G177</f>
        <v>2</v>
      </c>
      <c r="G322" s="27">
        <f>'Landscape Trees '!H177</f>
        <v>20</v>
      </c>
      <c r="H322" s="30">
        <f>'Landscape Trees '!I177</f>
        <v>115</v>
      </c>
      <c r="I322" s="27" t="str">
        <f t="shared" si="3"/>
        <v>Exclamation London Plane Tree #15-2020</v>
      </c>
      <c r="J322" s="11"/>
      <c r="K322" s="30">
        <f t="shared" si="4"/>
        <v>0</v>
      </c>
    </row>
    <row r="323">
      <c r="A323" s="27" t="str">
        <f>'Landscape Trees '!A178</f>
        <v>Populus tremuloides</v>
      </c>
      <c r="B323" s="27" t="str">
        <f>'Landscape Trees '!C178</f>
        <v>Quaking Aspen</v>
      </c>
      <c r="C323" s="27" t="str">
        <f>'Landscape Trees '!D178</f>
        <v>#15</v>
      </c>
      <c r="D323" s="28" t="str">
        <f>'Landscape Trees '!E178</f>
        <v>1-1'</v>
      </c>
      <c r="E323" s="27" t="str">
        <f>'Landscape Trees '!F178</f>
        <v>7-8'</v>
      </c>
      <c r="F323" s="29">
        <f>'Landscape Trees '!G178</f>
        <v>0</v>
      </c>
      <c r="G323" s="27">
        <f>'Landscape Trees '!H178</f>
        <v>10</v>
      </c>
      <c r="H323" s="30">
        <f>'Landscape Trees '!I178</f>
        <v>115</v>
      </c>
      <c r="I323" s="27" t="str">
        <f t="shared" si="3"/>
        <v>Quaking Aspen #15-2020</v>
      </c>
      <c r="J323" s="11"/>
      <c r="K323" s="30">
        <f t="shared" si="4"/>
        <v>0</v>
      </c>
    </row>
    <row r="324">
      <c r="A324" s="27" t="str">
        <f>'Landscape Trees '!A179</f>
        <v>Prunus 'Autumnalis'</v>
      </c>
      <c r="B324" s="27" t="str">
        <f>'Landscape Trees '!C179</f>
        <v>Autumnalis cherry</v>
      </c>
      <c r="C324" s="27" t="str">
        <f>'Landscape Trees '!D179</f>
        <v>#5</v>
      </c>
      <c r="D324" s="28" t="str">
        <f>'Landscape Trees '!E179</f>
        <v>1-1.25"</v>
      </c>
      <c r="E324" s="27" t="str">
        <f>'Landscape Trees '!F179</f>
        <v>11-12'</v>
      </c>
      <c r="F324" s="29">
        <f>'Landscape Trees '!G179</f>
        <v>3</v>
      </c>
      <c r="G324" s="27">
        <f>'Landscape Trees '!H179</f>
        <v>0</v>
      </c>
      <c r="H324" s="30">
        <f>'Landscape Trees '!I179</f>
        <v>40</v>
      </c>
      <c r="I324" s="27" t="str">
        <f t="shared" si="3"/>
        <v>Autumnalis cherry #5-2020</v>
      </c>
      <c r="J324" s="11"/>
      <c r="K324" s="30">
        <f t="shared" si="4"/>
        <v>0</v>
      </c>
    </row>
    <row r="325">
      <c r="A325" s="27" t="str">
        <f>'Landscape Trees '!A180</f>
        <v>Prunus 'Autumnalis'</v>
      </c>
      <c r="B325" s="27" t="str">
        <f>'Landscape Trees '!C180</f>
        <v>Autumnalis Cherry</v>
      </c>
      <c r="C325" s="27" t="str">
        <f>'Landscape Trees '!D180</f>
        <v>#7</v>
      </c>
      <c r="D325" s="28" t="str">
        <f>'Landscape Trees '!E180</f>
        <v>0.75-1"</v>
      </c>
      <c r="E325" s="27" t="str">
        <f>'Landscape Trees '!F180</f>
        <v>5-6'</v>
      </c>
      <c r="F325" s="29">
        <f>'Landscape Trees '!G180</f>
        <v>0</v>
      </c>
      <c r="G325" s="27">
        <f>'Landscape Trees '!H180</f>
        <v>20</v>
      </c>
      <c r="H325" s="30">
        <f>'Landscape Trees '!I180</f>
        <v>60</v>
      </c>
      <c r="I325" s="27" t="str">
        <f t="shared" si="3"/>
        <v>Autumnalis Cherry #7-2020</v>
      </c>
      <c r="J325" s="11"/>
      <c r="K325" s="30">
        <f t="shared" si="4"/>
        <v>0</v>
      </c>
    </row>
    <row r="326">
      <c r="A326" s="27" t="str">
        <f>'Landscape Trees '!A181</f>
        <v>Prunus 'Autumnalis'</v>
      </c>
      <c r="B326" s="27" t="str">
        <f>'Landscape Trees '!C181</f>
        <v>Autumnalis cherry</v>
      </c>
      <c r="C326" s="27" t="str">
        <f>'Landscape Trees '!D181</f>
        <v>#15</v>
      </c>
      <c r="D326" s="28" t="str">
        <f>'Landscape Trees '!E181</f>
        <v>0-1.5"</v>
      </c>
      <c r="E326" s="27" t="str">
        <f>'Landscape Trees '!F181</f>
        <v>0-11'</v>
      </c>
      <c r="F326" s="29">
        <f>'Landscape Trees '!G181</f>
        <v>0</v>
      </c>
      <c r="G326" s="27">
        <f>'Landscape Trees '!H181</f>
        <v>5</v>
      </c>
      <c r="H326" s="30">
        <f>'Landscape Trees '!I181</f>
        <v>115</v>
      </c>
      <c r="I326" s="27" t="str">
        <f t="shared" si="3"/>
        <v>Autumnalis cherry #15-2020</v>
      </c>
      <c r="J326" s="11"/>
      <c r="K326" s="30">
        <f t="shared" si="4"/>
        <v>0</v>
      </c>
    </row>
    <row r="327">
      <c r="A327" s="27" t="str">
        <f>'Landscape Trees '!A182</f>
        <v>Prunus 'Okame'</v>
      </c>
      <c r="B327" s="27" t="str">
        <f>'Landscape Trees '!C182</f>
        <v>Okame Cherry</v>
      </c>
      <c r="C327" s="27" t="str">
        <f>'Landscape Trees '!D182</f>
        <v>#5</v>
      </c>
      <c r="D327" s="28" t="str">
        <f>'Landscape Trees '!E182</f>
        <v>0.75-1"</v>
      </c>
      <c r="E327" s="27" t="str">
        <f>'Landscape Trees '!F182</f>
        <v>7-9'</v>
      </c>
      <c r="F327" s="29">
        <f>'Landscape Trees '!G182</f>
        <v>1</v>
      </c>
      <c r="G327" s="27">
        <f>'Landscape Trees '!H182</f>
        <v>0</v>
      </c>
      <c r="H327" s="30">
        <f>'Landscape Trees '!I182</f>
        <v>40</v>
      </c>
      <c r="I327" s="27" t="str">
        <f t="shared" si="3"/>
        <v>Okame Cherry #5-2020</v>
      </c>
      <c r="J327" s="11"/>
      <c r="K327" s="30">
        <f t="shared" si="4"/>
        <v>0</v>
      </c>
    </row>
    <row r="328">
      <c r="A328" s="27" t="str">
        <f>'Landscape Trees '!A183</f>
        <v>Prunus 'Okame'</v>
      </c>
      <c r="B328" s="27" t="str">
        <f>'Landscape Trees '!C183</f>
        <v>Okame Cherry</v>
      </c>
      <c r="C328" s="27" t="str">
        <f>'Landscape Trees '!D183</f>
        <v>#7</v>
      </c>
      <c r="D328" s="28" t="str">
        <f>'Landscape Trees '!E183</f>
        <v>0.75-1"</v>
      </c>
      <c r="E328" s="27" t="str">
        <f>'Landscape Trees '!F183</f>
        <v>6-7'</v>
      </c>
      <c r="F328" s="29">
        <f>'Landscape Trees '!G183</f>
        <v>0</v>
      </c>
      <c r="G328" s="27">
        <f>'Landscape Trees '!H183</f>
        <v>30</v>
      </c>
      <c r="H328" s="30">
        <f>'Landscape Trees '!I183</f>
        <v>60</v>
      </c>
      <c r="I328" s="27" t="str">
        <f t="shared" si="3"/>
        <v>Okame Cherry #7-2020</v>
      </c>
      <c r="J328" s="11"/>
      <c r="K328" s="30">
        <f t="shared" si="4"/>
        <v>0</v>
      </c>
    </row>
    <row r="329">
      <c r="A329" s="27" t="str">
        <f>'Landscape Trees '!A184</f>
        <v>Prunus 'Okame'</v>
      </c>
      <c r="B329" s="27" t="str">
        <f>'Landscape Trees '!C184</f>
        <v>Okame Cherry</v>
      </c>
      <c r="C329" s="27" t="str">
        <f>'Landscape Trees '!D184</f>
        <v>#15</v>
      </c>
      <c r="D329" s="28" t="str">
        <f>'Landscape Trees '!E184</f>
        <v>0-1"</v>
      </c>
      <c r="E329" s="27" t="str">
        <f>'Landscape Trees '!F184</f>
        <v>0-11'</v>
      </c>
      <c r="F329" s="29">
        <f>'Landscape Trees '!G184</f>
        <v>0</v>
      </c>
      <c r="G329" s="27">
        <f>'Landscape Trees '!H184</f>
        <v>10</v>
      </c>
      <c r="H329" s="30">
        <f>'Landscape Trees '!I184</f>
        <v>115</v>
      </c>
      <c r="I329" s="27" t="str">
        <f t="shared" si="3"/>
        <v>Okame Cherry #15-2020</v>
      </c>
      <c r="J329" s="11"/>
      <c r="K329" s="30">
        <f t="shared" si="4"/>
        <v>0</v>
      </c>
    </row>
    <row r="330">
      <c r="A330" s="27" t="str">
        <f>'Landscape Trees '!A185</f>
        <v>Prunus × yedoensis</v>
      </c>
      <c r="B330" s="27" t="str">
        <f>'Landscape Trees '!C185</f>
        <v>Yoshino Cherry</v>
      </c>
      <c r="C330" s="27" t="str">
        <f>'Landscape Trees '!D185</f>
        <v>#15</v>
      </c>
      <c r="D330" s="28" t="str">
        <f>'Landscape Trees '!E185</f>
        <v>0-1.25"</v>
      </c>
      <c r="E330" s="27" t="str">
        <f>'Landscape Trees '!F185</f>
        <v>0-10'</v>
      </c>
      <c r="F330" s="29">
        <f>'Landscape Trees '!G185</f>
        <v>0</v>
      </c>
      <c r="G330" s="27">
        <f>'Landscape Trees '!H185</f>
        <v>10</v>
      </c>
      <c r="H330" s="30">
        <f>'Landscape Trees '!I185</f>
        <v>115</v>
      </c>
      <c r="I330" s="27" t="str">
        <f t="shared" si="3"/>
        <v>Yoshino Cherry #15-2020</v>
      </c>
      <c r="J330" s="11"/>
      <c r="K330" s="30">
        <f t="shared" si="4"/>
        <v>0</v>
      </c>
    </row>
    <row r="331">
      <c r="A331" s="27" t="str">
        <f>'Landscape Trees '!A186</f>
        <v>Prunus americana</v>
      </c>
      <c r="B331" s="27" t="str">
        <f>'Landscape Trees '!C186</f>
        <v>American Plum</v>
      </c>
      <c r="C331" s="27" t="str">
        <f>'Landscape Trees '!D186</f>
        <v>#5</v>
      </c>
      <c r="D331" s="28" t="str">
        <f>'Landscape Trees '!E186</f>
        <v>0.25-0.75"</v>
      </c>
      <c r="E331" s="27" t="str">
        <f>'Landscape Trees '!F186</f>
        <v>4-7'</v>
      </c>
      <c r="F331" s="29">
        <f>'Landscape Trees '!G186</f>
        <v>16</v>
      </c>
      <c r="G331" s="27">
        <f>'Landscape Trees '!H186</f>
        <v>50</v>
      </c>
      <c r="H331" s="30">
        <f>'Landscape Trees '!I186</f>
        <v>40</v>
      </c>
      <c r="I331" s="27" t="str">
        <f t="shared" si="3"/>
        <v>American Plum #5-2020</v>
      </c>
      <c r="J331" s="11"/>
      <c r="K331" s="30">
        <f t="shared" si="4"/>
        <v>0</v>
      </c>
    </row>
    <row r="332">
      <c r="A332" s="27" t="str">
        <f>'Landscape Trees '!A187</f>
        <v>Prunus cerasifera 'Thundercloud'</v>
      </c>
      <c r="B332" s="27" t="str">
        <f>'Landscape Trees '!C187</f>
        <v>Thundercloud Plum</v>
      </c>
      <c r="C332" s="27" t="str">
        <f>'Landscape Trees '!D187</f>
        <v>#15</v>
      </c>
      <c r="D332" s="28" t="str">
        <f>'Landscape Trees '!E187</f>
        <v>0-1.5"</v>
      </c>
      <c r="E332" s="27" t="str">
        <f>'Landscape Trees '!F187</f>
        <v>0-11'</v>
      </c>
      <c r="F332" s="29">
        <f>'Landscape Trees '!G187</f>
        <v>0</v>
      </c>
      <c r="G332" s="27">
        <f>'Landscape Trees '!H187</f>
        <v>10</v>
      </c>
      <c r="H332" s="30">
        <f>'Landscape Trees '!I187</f>
        <v>115</v>
      </c>
      <c r="I332" s="27" t="str">
        <f t="shared" si="3"/>
        <v>Thundercloud Plum #15-2020</v>
      </c>
      <c r="J332" s="11"/>
      <c r="K332" s="30">
        <f t="shared" si="4"/>
        <v>0</v>
      </c>
    </row>
    <row r="333">
      <c r="A333" s="27" t="str">
        <f>'Landscape Trees '!A188</f>
        <v>Prunus serotina</v>
      </c>
      <c r="B333" s="27" t="str">
        <f>'Landscape Trees '!C188</f>
        <v>Black Cherry</v>
      </c>
      <c r="C333" s="27" t="str">
        <f>'Landscape Trees '!D188</f>
        <v>#5</v>
      </c>
      <c r="D333" s="28" t="str">
        <f>'Landscape Trees '!E188</f>
        <v>0.5-0.5"</v>
      </c>
      <c r="E333" s="27" t="str">
        <f>'Landscape Trees '!F188</f>
        <v>5-7'</v>
      </c>
      <c r="F333" s="31">
        <f>'Landscape Trees '!G188</f>
        <v>2</v>
      </c>
      <c r="G333" s="27">
        <f>'Landscape Trees '!H188</f>
        <v>25</v>
      </c>
      <c r="H333" s="30">
        <f>'Landscape Trees '!I188</f>
        <v>40</v>
      </c>
      <c r="I333" s="27" t="str">
        <f t="shared" si="3"/>
        <v>Black Cherry #5-2020</v>
      </c>
      <c r="J333" s="11"/>
      <c r="K333" s="30">
        <f t="shared" si="4"/>
        <v>0</v>
      </c>
    </row>
    <row r="334">
      <c r="A334" s="27" t="str">
        <f>'Landscape Trees '!A189</f>
        <v>Prunus serrulata 'Kwanzan'</v>
      </c>
      <c r="B334" s="27" t="str">
        <f>'Landscape Trees '!C189</f>
        <v>Kwanzan Cherry</v>
      </c>
      <c r="C334" s="27" t="str">
        <f>'Landscape Trees '!D189</f>
        <v>#5</v>
      </c>
      <c r="D334" s="28" t="str">
        <f>'Landscape Trees '!E189</f>
        <v>0.5-1"</v>
      </c>
      <c r="E334" s="27" t="str">
        <f>'Landscape Trees '!F189</f>
        <v>5-7'</v>
      </c>
      <c r="F334" s="29">
        <f>'Landscape Trees '!G189</f>
        <v>5</v>
      </c>
      <c r="G334" s="27">
        <f>'Landscape Trees '!H189</f>
        <v>25</v>
      </c>
      <c r="H334" s="30">
        <f>'Landscape Trees '!I189</f>
        <v>40</v>
      </c>
      <c r="I334" s="27" t="str">
        <f t="shared" si="3"/>
        <v>Kwanzan Cherry #5-2020</v>
      </c>
      <c r="J334" s="11"/>
      <c r="K334" s="30">
        <f t="shared" si="4"/>
        <v>0</v>
      </c>
    </row>
    <row r="335">
      <c r="A335" s="27" t="str">
        <f>'Landscape Trees '!A190</f>
        <v>Prunus serrulata 'Kwanzan'</v>
      </c>
      <c r="B335" s="27" t="str">
        <f>'Landscape Trees '!C190</f>
        <v>Kwanzan Cherry</v>
      </c>
      <c r="C335" s="27" t="str">
        <f>'Landscape Trees '!D190</f>
        <v>#10</v>
      </c>
      <c r="D335" s="28" t="str">
        <f>'Landscape Trees '!E190</f>
        <v>0-1.5"</v>
      </c>
      <c r="E335" s="27" t="str">
        <f>'Landscape Trees '!F190</f>
        <v>0-10'</v>
      </c>
      <c r="F335" s="29">
        <f>'Landscape Trees '!G190</f>
        <v>0</v>
      </c>
      <c r="G335" s="27">
        <f>'Landscape Trees '!H190</f>
        <v>30</v>
      </c>
      <c r="H335" s="30">
        <f>'Landscape Trees '!I190</f>
        <v>100</v>
      </c>
      <c r="I335" s="27" t="str">
        <f t="shared" si="3"/>
        <v>Kwanzan Cherry #10-2020</v>
      </c>
      <c r="J335" s="11"/>
      <c r="K335" s="30">
        <f t="shared" si="4"/>
        <v>0</v>
      </c>
    </row>
    <row r="336">
      <c r="A336" s="27" t="str">
        <f>'Landscape Trees '!A191</f>
        <v>Prunus serrulata 'Kwanzan'</v>
      </c>
      <c r="B336" s="27" t="str">
        <f>'Landscape Trees '!C191</f>
        <v>Kwanzan Cherry</v>
      </c>
      <c r="C336" s="27" t="str">
        <f>'Landscape Trees '!D191</f>
        <v>#15</v>
      </c>
      <c r="D336" s="28" t="str">
        <f>'Landscape Trees '!E191</f>
        <v>1-1"</v>
      </c>
      <c r="E336" s="27" t="str">
        <f>'Landscape Trees '!F191</f>
        <v>8-9'</v>
      </c>
      <c r="F336" s="29">
        <f>'Landscape Trees '!G191</f>
        <v>0</v>
      </c>
      <c r="G336" s="27">
        <f>'Landscape Trees '!H191</f>
        <v>20</v>
      </c>
      <c r="H336" s="30">
        <f>'Landscape Trees '!I191</f>
        <v>115</v>
      </c>
      <c r="I336" s="27" t="str">
        <f t="shared" si="3"/>
        <v>Kwanzan Cherry #15-2020</v>
      </c>
      <c r="J336" s="11"/>
      <c r="K336" s="30">
        <f t="shared" si="4"/>
        <v>0</v>
      </c>
    </row>
    <row r="337">
      <c r="A337" s="27" t="str">
        <f>'Landscape Trees '!A192</f>
        <v>Prunus subhirtella 'Snow Fountains'</v>
      </c>
      <c r="B337" s="27" t="str">
        <f>'Landscape Trees '!C192</f>
        <v>Snow Fountains Cherry</v>
      </c>
      <c r="C337" s="27" t="str">
        <f>'Landscape Trees '!D192</f>
        <v>#15</v>
      </c>
      <c r="D337" s="28" t="str">
        <f>'Landscape Trees '!E192</f>
        <v>1.25-1.25"</v>
      </c>
      <c r="E337" s="27" t="str">
        <f>'Landscape Trees '!F192</f>
        <v>6.5-6.5'</v>
      </c>
      <c r="F337" s="29">
        <f>'Landscape Trees '!G192</f>
        <v>2</v>
      </c>
      <c r="G337" s="27">
        <f>'Landscape Trees '!H192</f>
        <v>15</v>
      </c>
      <c r="H337" s="30">
        <f>'Landscape Trees '!I192</f>
        <v>120</v>
      </c>
      <c r="I337" s="27" t="str">
        <f t="shared" si="3"/>
        <v>Snow Fountains Cherry #15-2020</v>
      </c>
      <c r="J337" s="11"/>
      <c r="K337" s="30">
        <f t="shared" si="4"/>
        <v>0</v>
      </c>
    </row>
    <row r="338">
      <c r="A338" s="27" t="str">
        <f>'Landscape Trees '!A193</f>
        <v>Prunus subhirtella 'Snow Goose'</v>
      </c>
      <c r="B338" s="27" t="str">
        <f>'Landscape Trees '!C193</f>
        <v>Snow Goose Cherry</v>
      </c>
      <c r="C338" s="27" t="str">
        <f>'Landscape Trees '!D193</f>
        <v>#25</v>
      </c>
      <c r="D338" s="28" t="str">
        <f>'Landscape Trees '!E193</f>
        <v>1.25-1.25"</v>
      </c>
      <c r="E338" s="27" t="str">
        <f>'Landscape Trees '!F193</f>
        <v>9-10'</v>
      </c>
      <c r="F338" s="29">
        <f>'Landscape Trees '!G193</f>
        <v>1</v>
      </c>
      <c r="G338" s="27">
        <f>'Landscape Trees '!H193</f>
        <v>0</v>
      </c>
      <c r="H338" s="30">
        <f>'Landscape Trees '!I193</f>
        <v>140</v>
      </c>
      <c r="I338" s="27" t="str">
        <f t="shared" si="3"/>
        <v>Snow Goose Cherry #25-2020</v>
      </c>
      <c r="J338" s="11"/>
      <c r="K338" s="30">
        <f t="shared" si="4"/>
        <v>0</v>
      </c>
    </row>
    <row r="339">
      <c r="A339" s="27" t="str">
        <f>'Landscape Trees '!A194</f>
        <v>Prunus subhirtella "Pendula plena rosea"</v>
      </c>
      <c r="B339" s="27" t="str">
        <f>'Landscape Trees '!C194</f>
        <v>Double Pink Weeping Cherry</v>
      </c>
      <c r="C339" s="27" t="str">
        <f>'Landscape Trees '!D194</f>
        <v>#15</v>
      </c>
      <c r="D339" s="28" t="str">
        <f>'Landscape Trees '!E194</f>
        <v>0-1.5"</v>
      </c>
      <c r="E339" s="27" t="str">
        <f>'Landscape Trees '!F194</f>
        <v>0-6.5'</v>
      </c>
      <c r="F339" s="29">
        <f>'Landscape Trees '!G194</f>
        <v>0</v>
      </c>
      <c r="G339" s="27">
        <f>'Landscape Trees '!H194</f>
        <v>15</v>
      </c>
      <c r="H339" s="30">
        <f>'Landscape Trees '!I194</f>
        <v>120</v>
      </c>
      <c r="I339" s="27" t="str">
        <f t="shared" si="3"/>
        <v>Double Pink Weeping Cherry #15-2020</v>
      </c>
      <c r="J339" s="11"/>
      <c r="K339" s="30">
        <f t="shared" si="4"/>
        <v>0</v>
      </c>
    </row>
    <row r="340">
      <c r="A340" s="27" t="str">
        <f>'Landscape Trees '!A195</f>
        <v>Prunus virginiana</v>
      </c>
      <c r="B340" s="27" t="str">
        <f>'Landscape Trees '!C195</f>
        <v>Chokecherry</v>
      </c>
      <c r="C340" s="27" t="str">
        <f>'Landscape Trees '!D195</f>
        <v>#5</v>
      </c>
      <c r="D340" s="32" t="str">
        <f>'Landscape Trees '!E195</f>
        <v>Multi</v>
      </c>
      <c r="E340" s="27" t="str">
        <f>'Landscape Trees '!F195</f>
        <v>1-6.5'</v>
      </c>
      <c r="F340" s="29">
        <f>'Landscape Trees '!G195</f>
        <v>11</v>
      </c>
      <c r="G340" s="27">
        <f>'Landscape Trees '!H195</f>
        <v>5</v>
      </c>
      <c r="H340" s="30">
        <f>'Landscape Trees '!I195</f>
        <v>32</v>
      </c>
      <c r="I340" s="27" t="str">
        <f t="shared" si="3"/>
        <v>Chokecherry #5-2020</v>
      </c>
      <c r="J340" s="11"/>
      <c r="K340" s="30">
        <f t="shared" si="4"/>
        <v>0</v>
      </c>
    </row>
    <row r="341">
      <c r="A341" s="27" t="str">
        <f>'Landscape Trees '!A196</f>
        <v>Prunus x cistena</v>
      </c>
      <c r="B341" s="27" t="str">
        <f>'Landscape Trees '!C196</f>
        <v>Purple Sand Cherry</v>
      </c>
      <c r="C341" s="27" t="str">
        <f>'Landscape Trees '!D196</f>
        <v>#5</v>
      </c>
      <c r="D341" s="32" t="str">
        <f>'Landscape Trees '!E196</f>
        <v>Multi</v>
      </c>
      <c r="E341" s="27" t="str">
        <f>'Landscape Trees '!F196</f>
        <v>4-5'</v>
      </c>
      <c r="F341" s="29">
        <f>'Landscape Trees '!G196</f>
        <v>2</v>
      </c>
      <c r="G341" s="27">
        <f>'Landscape Trees '!H196</f>
        <v>0</v>
      </c>
      <c r="H341" s="30">
        <f>'Landscape Trees '!I196</f>
        <v>40</v>
      </c>
      <c r="I341" s="27" t="str">
        <f t="shared" si="3"/>
        <v>Purple Sand Cherry #5-2020</v>
      </c>
      <c r="J341" s="11"/>
      <c r="K341" s="30">
        <f t="shared" si="4"/>
        <v>0</v>
      </c>
    </row>
    <row r="342">
      <c r="A342" s="27" t="str">
        <f>'Landscape Trees '!A197</f>
        <v>Quercus 'Kindred Spirit'</v>
      </c>
      <c r="B342" s="27" t="str">
        <f>'Landscape Trees '!C197</f>
        <v>Kindred Spirit Oak</v>
      </c>
      <c r="C342" s="27" t="str">
        <f>'Landscape Trees '!D197</f>
        <v>#7</v>
      </c>
      <c r="D342" s="28" t="str">
        <f>'Landscape Trees '!E197</f>
        <v>0.75-0.5"</v>
      </c>
      <c r="E342" s="27" t="str">
        <f>'Landscape Trees '!F197</f>
        <v>4-5'</v>
      </c>
      <c r="F342" s="29">
        <f>'Landscape Trees '!G197</f>
        <v>8</v>
      </c>
      <c r="G342" s="27">
        <f>'Landscape Trees '!H197</f>
        <v>10</v>
      </c>
      <c r="H342" s="30">
        <f>'Landscape Trees '!I197</f>
        <v>50</v>
      </c>
      <c r="I342" s="27" t="str">
        <f t="shared" si="3"/>
        <v>Kindred Spirit Oak #7-2020</v>
      </c>
      <c r="J342" s="11"/>
      <c r="K342" s="30">
        <f t="shared" si="4"/>
        <v>0</v>
      </c>
    </row>
    <row r="343">
      <c r="A343" s="27" t="str">
        <f>'Landscape Trees '!A198</f>
        <v>Quercus alba</v>
      </c>
      <c r="B343" s="27" t="str">
        <f>'Landscape Trees '!C198</f>
        <v>White Oak</v>
      </c>
      <c r="C343" s="27" t="str">
        <f>'Landscape Trees '!D198</f>
        <v>#7</v>
      </c>
      <c r="D343" s="28" t="str">
        <f>'Landscape Trees '!E198</f>
        <v>0.5-0.75"</v>
      </c>
      <c r="E343" s="27" t="str">
        <f>'Landscape Trees '!F198</f>
        <v>3-4'</v>
      </c>
      <c r="F343" s="29">
        <f>'Landscape Trees '!G198</f>
        <v>36</v>
      </c>
      <c r="G343" s="27">
        <f>'Landscape Trees '!H198</f>
        <v>150</v>
      </c>
      <c r="H343" s="30">
        <f>'Landscape Trees '!I198</f>
        <v>55</v>
      </c>
      <c r="I343" s="27" t="str">
        <f t="shared" si="3"/>
        <v>White Oak #7-2020</v>
      </c>
      <c r="J343" s="11"/>
      <c r="K343" s="30">
        <f t="shared" si="4"/>
        <v>0</v>
      </c>
    </row>
    <row r="344">
      <c r="A344" s="27" t="str">
        <f>'Landscape Trees '!A199</f>
        <v>Quercus alba</v>
      </c>
      <c r="B344" s="27" t="str">
        <f>'Landscape Trees '!C199</f>
        <v>White Oak</v>
      </c>
      <c r="C344" s="27" t="str">
        <f>'Landscape Trees '!D199</f>
        <v>#10</v>
      </c>
      <c r="D344" s="28" t="str">
        <f>'Landscape Trees '!E199</f>
        <v>0.25-0.75"</v>
      </c>
      <c r="E344" s="27" t="str">
        <f>'Landscape Trees '!F199</f>
        <v>3-4'</v>
      </c>
      <c r="F344" s="29">
        <f>'Landscape Trees '!G199</f>
        <v>0</v>
      </c>
      <c r="G344" s="27">
        <f>'Landscape Trees '!H199</f>
        <v>30</v>
      </c>
      <c r="H344" s="30">
        <f>'Landscape Trees '!I199</f>
        <v>85</v>
      </c>
      <c r="I344" s="27" t="str">
        <f t="shared" si="3"/>
        <v>White Oak #10-2020</v>
      </c>
      <c r="J344" s="11"/>
      <c r="K344" s="30">
        <f t="shared" si="4"/>
        <v>0</v>
      </c>
    </row>
    <row r="345">
      <c r="A345" s="27" t="str">
        <f>'Landscape Trees '!A200</f>
        <v>Quercus alba</v>
      </c>
      <c r="B345" s="27" t="str">
        <f>'Landscape Trees '!C200</f>
        <v>White Oak</v>
      </c>
      <c r="C345" s="27" t="str">
        <f>'Landscape Trees '!D200</f>
        <v>#15</v>
      </c>
      <c r="D345" s="28" t="str">
        <f>'Landscape Trees '!E200</f>
        <v>1-2"</v>
      </c>
      <c r="E345" s="27" t="str">
        <f>'Landscape Trees '!F200</f>
        <v>7-9'</v>
      </c>
      <c r="F345" s="29">
        <f>'Landscape Trees '!G200</f>
        <v>8</v>
      </c>
      <c r="G345" s="27">
        <f>'Landscape Trees '!H200</f>
        <v>15</v>
      </c>
      <c r="H345" s="30">
        <f>'Landscape Trees '!I200</f>
        <v>140</v>
      </c>
      <c r="I345" s="27" t="str">
        <f t="shared" si="3"/>
        <v>White Oak #15-2020</v>
      </c>
      <c r="J345" s="11"/>
      <c r="K345" s="30">
        <f t="shared" si="4"/>
        <v>0</v>
      </c>
    </row>
    <row r="346">
      <c r="A346" s="27" t="str">
        <f>'Landscape Trees '!A201</f>
        <v>Quercus bicolor</v>
      </c>
      <c r="B346" s="27" t="str">
        <f>'Landscape Trees '!C201</f>
        <v>Swamp White Oak</v>
      </c>
      <c r="C346" s="27" t="str">
        <f>'Landscape Trees '!D201</f>
        <v>#5</v>
      </c>
      <c r="D346" s="28" t="str">
        <f>'Landscape Trees '!E201</f>
        <v>0.25-1"</v>
      </c>
      <c r="E346" s="27" t="str">
        <f>'Landscape Trees '!F201</f>
        <v>2-6'</v>
      </c>
      <c r="F346" s="31">
        <f>'Landscape Trees '!G201</f>
        <v>94</v>
      </c>
      <c r="G346" s="27">
        <f>'Landscape Trees '!H201</f>
        <v>200</v>
      </c>
      <c r="H346" s="30">
        <f>'Landscape Trees '!I201</f>
        <v>40</v>
      </c>
      <c r="I346" s="27" t="str">
        <f t="shared" si="3"/>
        <v>Swamp White Oak #5-2020</v>
      </c>
      <c r="J346" s="11"/>
      <c r="K346" s="30">
        <f t="shared" si="4"/>
        <v>0</v>
      </c>
    </row>
    <row r="347">
      <c r="A347" s="27" t="str">
        <f>'Landscape Trees '!A202</f>
        <v>Quercus bicolor</v>
      </c>
      <c r="B347" s="27" t="str">
        <f>'Landscape Trees '!C202</f>
        <v>Swamp White Oak</v>
      </c>
      <c r="C347" s="27" t="str">
        <f>'Landscape Trees '!D202</f>
        <v>#15</v>
      </c>
      <c r="D347" s="28" t="str">
        <f>'Landscape Trees '!E202</f>
        <v>0-1.25"</v>
      </c>
      <c r="E347" s="27" t="str">
        <f>'Landscape Trees '!F202</f>
        <v>0-9'</v>
      </c>
      <c r="F347" s="29">
        <f>'Landscape Trees '!G202</f>
        <v>0</v>
      </c>
      <c r="G347" s="27">
        <f>'Landscape Trees '!H202</f>
        <v>20</v>
      </c>
      <c r="H347" s="30">
        <f>'Landscape Trees '!I202</f>
        <v>115</v>
      </c>
      <c r="I347" s="27" t="str">
        <f t="shared" si="3"/>
        <v>Swamp White Oak #15-2020</v>
      </c>
      <c r="J347" s="11"/>
      <c r="K347" s="30">
        <f t="shared" si="4"/>
        <v>0</v>
      </c>
    </row>
    <row r="348">
      <c r="A348" s="27" t="str">
        <f>'Landscape Trees '!A203</f>
        <v>Quercus bicolor</v>
      </c>
      <c r="B348" s="27" t="str">
        <f>'Landscape Trees '!C203</f>
        <v>Swamp White Oak</v>
      </c>
      <c r="C348" s="27" t="str">
        <f>'Landscape Trees '!D203</f>
        <v>#15</v>
      </c>
      <c r="D348" s="28" t="str">
        <f>'Landscape Trees '!E203</f>
        <v>1-1"</v>
      </c>
      <c r="E348" s="27" t="str">
        <f>'Landscape Trees '!F203</f>
        <v>8-9'</v>
      </c>
      <c r="F348" s="29">
        <f>'Landscape Trees '!G203</f>
        <v>0</v>
      </c>
      <c r="G348" s="27">
        <f>'Landscape Trees '!H203</f>
        <v>20</v>
      </c>
      <c r="H348" s="30">
        <f>'Landscape Trees '!I203</f>
        <v>115</v>
      </c>
      <c r="I348" s="27" t="str">
        <f t="shared" si="3"/>
        <v>Swamp White Oak #15-2020</v>
      </c>
      <c r="J348" s="11"/>
      <c r="K348" s="30">
        <f t="shared" si="4"/>
        <v>0</v>
      </c>
    </row>
    <row r="349">
      <c r="A349" s="27" t="str">
        <f>'Landscape Trees '!A204</f>
        <v>Quercus bicolor</v>
      </c>
      <c r="B349" s="27" t="str">
        <f>'Landscape Trees '!C204</f>
        <v>Swamp White Oak</v>
      </c>
      <c r="C349" s="27" t="str">
        <f>'Landscape Trees '!D204</f>
        <v>#25</v>
      </c>
      <c r="D349" s="28" t="str">
        <f>'Landscape Trees '!E204</f>
        <v>0-1.25"</v>
      </c>
      <c r="E349" s="27" t="str">
        <f>'Landscape Trees '!F204</f>
        <v>0-9'</v>
      </c>
      <c r="F349" s="29">
        <f>'Landscape Trees '!G204</f>
        <v>0</v>
      </c>
      <c r="G349" s="27">
        <f>'Landscape Trees '!H204</f>
        <v>5</v>
      </c>
      <c r="H349" s="30">
        <f>'Landscape Trees '!I204</f>
        <v>140</v>
      </c>
      <c r="I349" s="27" t="str">
        <f t="shared" si="3"/>
        <v>Swamp White Oak #25-2020</v>
      </c>
      <c r="J349" s="11"/>
      <c r="K349" s="30">
        <f t="shared" si="4"/>
        <v>0</v>
      </c>
    </row>
    <row r="350">
      <c r="A350" s="27" t="str">
        <f>'Landscape Trees '!A205</f>
        <v>Quercus coccinea</v>
      </c>
      <c r="B350" s="27" t="str">
        <f>'Landscape Trees '!C205</f>
        <v>Scarlet Oak</v>
      </c>
      <c r="C350" s="27" t="str">
        <f>'Landscape Trees '!D205</f>
        <v>#5</v>
      </c>
      <c r="D350" s="28" t="str">
        <f>'Landscape Trees '!E205</f>
        <v>0-0.75"</v>
      </c>
      <c r="E350" s="27" t="str">
        <f>'Landscape Trees '!F205</f>
        <v>0-6'</v>
      </c>
      <c r="F350" s="29">
        <f>'Landscape Trees '!G205</f>
        <v>0</v>
      </c>
      <c r="G350" s="27">
        <f>'Landscape Trees '!H205</f>
        <v>50</v>
      </c>
      <c r="H350" s="30">
        <f>'Landscape Trees '!I205</f>
        <v>40</v>
      </c>
      <c r="I350" s="27" t="str">
        <f t="shared" si="3"/>
        <v>Scarlet Oak #5-2020</v>
      </c>
      <c r="J350" s="11"/>
      <c r="K350" s="30">
        <f t="shared" si="4"/>
        <v>0</v>
      </c>
    </row>
    <row r="351">
      <c r="A351" s="27" t="str">
        <f>'Landscape Trees '!A206</f>
        <v>Quercus coccinea</v>
      </c>
      <c r="B351" s="27" t="str">
        <f>'Landscape Trees '!C206</f>
        <v>Scarlet Oak</v>
      </c>
      <c r="C351" s="27" t="str">
        <f>'Landscape Trees '!D206</f>
        <v>#7</v>
      </c>
      <c r="D351" s="28" t="str">
        <f>'Landscape Trees '!E206</f>
        <v>0.5-0.75"</v>
      </c>
      <c r="E351" s="27" t="str">
        <f>'Landscape Trees '!F206</f>
        <v>4-4'</v>
      </c>
      <c r="F351" s="29">
        <f>'Landscape Trees '!G206</f>
        <v>4</v>
      </c>
      <c r="G351" s="27">
        <f>'Landscape Trees '!H206</f>
        <v>0</v>
      </c>
      <c r="H351" s="30">
        <f>'Landscape Trees '!I206</f>
        <v>55</v>
      </c>
      <c r="I351" s="27" t="str">
        <f t="shared" si="3"/>
        <v>Scarlet Oak #7-2020</v>
      </c>
      <c r="J351" s="11"/>
      <c r="K351" s="30">
        <f t="shared" si="4"/>
        <v>0</v>
      </c>
    </row>
    <row r="352">
      <c r="A352" s="27" t="str">
        <f>'Landscape Trees '!A207</f>
        <v>Quercus coccinea</v>
      </c>
      <c r="B352" s="27" t="str">
        <f>'Landscape Trees '!C207</f>
        <v>Scarlet Oak</v>
      </c>
      <c r="C352" s="27" t="str">
        <f>'Landscape Trees '!D207</f>
        <v>#15</v>
      </c>
      <c r="D352" s="28" t="str">
        <f>'Landscape Trees '!E207</f>
        <v>1.25-1.25"</v>
      </c>
      <c r="E352" s="27" t="str">
        <f>'Landscape Trees '!F207</f>
        <v>10-12'</v>
      </c>
      <c r="F352" s="29">
        <f>'Landscape Trees '!G207</f>
        <v>1</v>
      </c>
      <c r="G352" s="27">
        <f>'Landscape Trees '!H207</f>
        <v>10</v>
      </c>
      <c r="H352" s="30">
        <f>'Landscape Trees '!I207</f>
        <v>115</v>
      </c>
      <c r="I352" s="27" t="str">
        <f t="shared" si="3"/>
        <v>Scarlet Oak #15-2020</v>
      </c>
      <c r="J352" s="11"/>
      <c r="K352" s="30">
        <f t="shared" si="4"/>
        <v>0</v>
      </c>
    </row>
    <row r="353">
      <c r="A353" s="27" t="str">
        <f>'Landscape Trees '!A208</f>
        <v>Quercus imbricaria</v>
      </c>
      <c r="B353" s="27" t="str">
        <f>'Landscape Trees '!C208</f>
        <v>Shingle Oak</v>
      </c>
      <c r="C353" s="27" t="str">
        <f>'Landscape Trees '!D208</f>
        <v>#5</v>
      </c>
      <c r="D353" s="28" t="str">
        <f>'Landscape Trees '!E208</f>
        <v>0.25-0.5"</v>
      </c>
      <c r="E353" s="27" t="str">
        <f>'Landscape Trees '!F208</f>
        <v>2-4'</v>
      </c>
      <c r="F353" s="29">
        <f>'Landscape Trees '!G208</f>
        <v>3</v>
      </c>
      <c r="G353" s="27">
        <f>'Landscape Trees '!H208</f>
        <v>25</v>
      </c>
      <c r="H353" s="30">
        <f>'Landscape Trees '!I208</f>
        <v>40</v>
      </c>
      <c r="I353" s="27" t="str">
        <f t="shared" si="3"/>
        <v>Shingle Oak #5-2020</v>
      </c>
      <c r="J353" s="11"/>
      <c r="K353" s="30">
        <f t="shared" si="4"/>
        <v>0</v>
      </c>
    </row>
    <row r="354">
      <c r="A354" s="27" t="str">
        <f>'Landscape Trees '!A209</f>
        <v>Quercus lyrata</v>
      </c>
      <c r="B354" s="27" t="str">
        <f>'Landscape Trees '!C209</f>
        <v>Overcup Oak</v>
      </c>
      <c r="C354" s="27" t="str">
        <f>'Landscape Trees '!D209</f>
        <v>#5</v>
      </c>
      <c r="D354" s="28" t="str">
        <f>'Landscape Trees '!E209</f>
        <v>0.25-0.5"</v>
      </c>
      <c r="E354" s="27" t="str">
        <f>'Landscape Trees '!F209</f>
        <v>2-4'</v>
      </c>
      <c r="F354" s="29">
        <f>'Landscape Trees '!G209</f>
        <v>17</v>
      </c>
      <c r="G354" s="27">
        <f>'Landscape Trees '!H209</f>
        <v>0</v>
      </c>
      <c r="H354" s="30">
        <f>'Landscape Trees '!I209</f>
        <v>40</v>
      </c>
      <c r="I354" s="27" t="str">
        <f t="shared" si="3"/>
        <v>Overcup Oak #5-2020</v>
      </c>
      <c r="J354" s="11"/>
      <c r="K354" s="30">
        <f t="shared" si="4"/>
        <v>0</v>
      </c>
    </row>
    <row r="355">
      <c r="A355" s="27" t="str">
        <f>'Landscape Trees '!A210</f>
        <v>Quercus macrocarpa</v>
      </c>
      <c r="B355" s="27" t="str">
        <f>'Landscape Trees '!C210</f>
        <v>Bur Oak</v>
      </c>
      <c r="C355" s="27" t="str">
        <f>'Landscape Trees '!D210</f>
        <v>#5</v>
      </c>
      <c r="D355" s="28" t="str">
        <f>'Landscape Trees '!E210</f>
        <v>0.25-0.5"</v>
      </c>
      <c r="E355" s="27" t="str">
        <f>'Landscape Trees '!F210</f>
        <v>2-4'</v>
      </c>
      <c r="F355" s="29">
        <f>'Landscape Trees '!G210</f>
        <v>155</v>
      </c>
      <c r="G355" s="27">
        <f>'Landscape Trees '!H210</f>
        <v>0</v>
      </c>
      <c r="H355" s="30">
        <f>'Landscape Trees '!I210</f>
        <v>35</v>
      </c>
      <c r="I355" s="27" t="str">
        <f t="shared" si="3"/>
        <v>Bur Oak #5-2020</v>
      </c>
      <c r="J355" s="11"/>
      <c r="K355" s="30">
        <f t="shared" si="4"/>
        <v>0</v>
      </c>
    </row>
    <row r="356">
      <c r="A356" s="27" t="str">
        <f>'Landscape Trees '!A211</f>
        <v>Quercus macrocarpa</v>
      </c>
      <c r="B356" s="27" t="str">
        <f>'Landscape Trees '!C211</f>
        <v>Bur Oak</v>
      </c>
      <c r="C356" s="27" t="str">
        <f>'Landscape Trees '!D211</f>
        <v>#15</v>
      </c>
      <c r="D356" s="28" t="str">
        <f>'Landscape Trees '!E211</f>
        <v>0.75-1"</v>
      </c>
      <c r="E356" s="27" t="str">
        <f>'Landscape Trees '!F211</f>
        <v>8-10'</v>
      </c>
      <c r="F356" s="29">
        <f>'Landscape Trees '!G211</f>
        <v>1</v>
      </c>
      <c r="G356" s="27">
        <f>'Landscape Trees '!H211</f>
        <v>25</v>
      </c>
      <c r="H356" s="30">
        <f>'Landscape Trees '!I211</f>
        <v>115</v>
      </c>
      <c r="I356" s="27" t="str">
        <f t="shared" si="3"/>
        <v>Bur Oak #15-2020</v>
      </c>
      <c r="J356" s="11"/>
      <c r="K356" s="30">
        <f t="shared" si="4"/>
        <v>0</v>
      </c>
    </row>
    <row r="357">
      <c r="A357" s="27" t="str">
        <f>'Landscape Trees '!A212</f>
        <v>Quercus muehlenbergii</v>
      </c>
      <c r="B357" s="27" t="str">
        <f>'Landscape Trees '!C212</f>
        <v>Chinkapin Oak</v>
      </c>
      <c r="C357" s="27" t="str">
        <f>'Landscape Trees '!D212</f>
        <v>#15</v>
      </c>
      <c r="D357" s="28" t="str">
        <f>'Landscape Trees '!E212</f>
        <v>1-1"</v>
      </c>
      <c r="E357" s="27" t="str">
        <f>'Landscape Trees '!F212</f>
        <v>7-10'</v>
      </c>
      <c r="F357" s="29">
        <f>'Landscape Trees '!G212</f>
        <v>4</v>
      </c>
      <c r="G357" s="27">
        <f>'Landscape Trees '!H212</f>
        <v>0</v>
      </c>
      <c r="H357" s="30">
        <f>'Landscape Trees '!I212</f>
        <v>115</v>
      </c>
      <c r="I357" s="27" t="str">
        <f t="shared" si="3"/>
        <v>Chinkapin Oak #15-2020</v>
      </c>
      <c r="J357" s="11"/>
      <c r="K357" s="30">
        <f t="shared" si="4"/>
        <v>0</v>
      </c>
    </row>
    <row r="358">
      <c r="A358" s="27" t="str">
        <f>'Landscape Trees '!A213</f>
        <v>Quercus muehlenbergii</v>
      </c>
      <c r="B358" s="27" t="str">
        <f>'Landscape Trees '!C213</f>
        <v>Chinkapin Oak</v>
      </c>
      <c r="C358" s="27" t="str">
        <f>'Landscape Trees '!D213</f>
        <v>#25</v>
      </c>
      <c r="D358" s="28" t="str">
        <f>'Landscape Trees '!E213</f>
        <v>1-1"</v>
      </c>
      <c r="E358" s="27" t="str">
        <f>'Landscape Trees '!F213</f>
        <v>10-10'</v>
      </c>
      <c r="F358" s="29">
        <f>'Landscape Trees '!G213</f>
        <v>1</v>
      </c>
      <c r="G358" s="27">
        <f>'Landscape Trees '!H213</f>
        <v>0</v>
      </c>
      <c r="H358" s="30">
        <f>'Landscape Trees '!I213</f>
        <v>140</v>
      </c>
      <c r="I358" s="27" t="str">
        <f t="shared" si="3"/>
        <v>Chinkapin Oak #25-2020</v>
      </c>
      <c r="J358" s="11"/>
      <c r="K358" s="30">
        <f t="shared" si="4"/>
        <v>0</v>
      </c>
    </row>
    <row r="359">
      <c r="A359" s="27" t="str">
        <f>'Landscape Trees '!A214</f>
        <v>Quercus palustris</v>
      </c>
      <c r="B359" s="27" t="str">
        <f>'Landscape Trees '!C214</f>
        <v>Pin Oak</v>
      </c>
      <c r="C359" s="27" t="str">
        <f>'Landscape Trees '!D214</f>
        <v>#5</v>
      </c>
      <c r="D359" s="28" t="str">
        <f>'Landscape Trees '!E214</f>
        <v>0-1"</v>
      </c>
      <c r="E359" s="27" t="str">
        <f>'Landscape Trees '!F214</f>
        <v>0-6'</v>
      </c>
      <c r="F359" s="29">
        <f>'Landscape Trees '!G214</f>
        <v>0</v>
      </c>
      <c r="G359" s="27">
        <f>'Landscape Trees '!H214</f>
        <v>50</v>
      </c>
      <c r="H359" s="30">
        <f>'Landscape Trees '!I214</f>
        <v>40</v>
      </c>
      <c r="I359" s="27" t="str">
        <f t="shared" si="3"/>
        <v>Pin Oak #5-2020</v>
      </c>
      <c r="J359" s="11"/>
      <c r="K359" s="30">
        <f t="shared" si="4"/>
        <v>0</v>
      </c>
    </row>
    <row r="360">
      <c r="A360" s="27" t="str">
        <f>'Landscape Trees '!A215</f>
        <v>Quercus palustris</v>
      </c>
      <c r="B360" s="27" t="str">
        <f>'Landscape Trees '!C215</f>
        <v>Pin Oak</v>
      </c>
      <c r="C360" s="27" t="str">
        <f>'Landscape Trees '!D215</f>
        <v>#15</v>
      </c>
      <c r="D360" s="28" t="str">
        <f>'Landscape Trees '!E215</f>
        <v>1-1"</v>
      </c>
      <c r="E360" s="27" t="str">
        <f>'Landscape Trees '!F215</f>
        <v>8-9'</v>
      </c>
      <c r="F360" s="29">
        <f>'Landscape Trees '!G215</f>
        <v>0</v>
      </c>
      <c r="G360" s="27">
        <f>'Landscape Trees '!H215</f>
        <v>10</v>
      </c>
      <c r="H360" s="30">
        <f>'Landscape Trees '!I215</f>
        <v>115</v>
      </c>
      <c r="I360" s="27" t="str">
        <f t="shared" si="3"/>
        <v>Pin Oak #15-2020</v>
      </c>
      <c r="J360" s="11"/>
      <c r="K360" s="30">
        <f t="shared" si="4"/>
        <v>0</v>
      </c>
    </row>
    <row r="361">
      <c r="A361" s="27" t="str">
        <f>'Landscape Trees '!A216</f>
        <v>Quercus palustris</v>
      </c>
      <c r="B361" s="27" t="str">
        <f>'Landscape Trees '!C216</f>
        <v>Pin Oak</v>
      </c>
      <c r="C361" s="27" t="str">
        <f>'Landscape Trees '!D216</f>
        <v>#25</v>
      </c>
      <c r="D361" s="28" t="str">
        <f>'Landscape Trees '!E216</f>
        <v>0-1.25"</v>
      </c>
      <c r="E361" s="27" t="str">
        <f>'Landscape Trees '!F216</f>
        <v>0-8'</v>
      </c>
      <c r="F361" s="29">
        <f>'Landscape Trees '!G216</f>
        <v>0</v>
      </c>
      <c r="G361" s="27">
        <f>'Landscape Trees '!H216</f>
        <v>5</v>
      </c>
      <c r="H361" s="30">
        <f>'Landscape Trees '!I216</f>
        <v>140</v>
      </c>
      <c r="I361" s="27" t="str">
        <f t="shared" si="3"/>
        <v>Pin Oak #25-2020</v>
      </c>
      <c r="J361" s="11"/>
      <c r="K361" s="30">
        <f t="shared" si="4"/>
        <v>0</v>
      </c>
    </row>
    <row r="362">
      <c r="A362" s="27" t="str">
        <f>'Landscape Trees '!A217</f>
        <v>Quercus palustris 'Green Pillar'</v>
      </c>
      <c r="B362" s="27" t="str">
        <f>'Landscape Trees '!C217</f>
        <v>Green Pillar Pin Oak</v>
      </c>
      <c r="C362" s="27" t="str">
        <f>'Landscape Trees '!D217</f>
        <v>#25</v>
      </c>
      <c r="D362" s="28" t="str">
        <f>'Landscape Trees '!E217</f>
        <v>1-1.25"</v>
      </c>
      <c r="E362" s="27" t="str">
        <f>'Landscape Trees '!F217</f>
        <v>7-9'</v>
      </c>
      <c r="F362" s="29">
        <f>'Landscape Trees '!G217</f>
        <v>7</v>
      </c>
      <c r="G362" s="27">
        <f>'Landscape Trees '!H217</f>
        <v>0</v>
      </c>
      <c r="H362" s="30">
        <f>'Landscape Trees '!I217</f>
        <v>140</v>
      </c>
      <c r="I362" s="27" t="str">
        <f t="shared" si="3"/>
        <v>Green Pillar Pin Oak #25-2020</v>
      </c>
      <c r="J362" s="11"/>
      <c r="K362" s="30">
        <f t="shared" si="4"/>
        <v>0</v>
      </c>
    </row>
    <row r="363">
      <c r="A363" s="27" t="str">
        <f>'Landscape Trees '!A218</f>
        <v>Quercus phellos</v>
      </c>
      <c r="B363" s="27" t="str">
        <f>'Landscape Trees '!C218</f>
        <v>Willow Oak</v>
      </c>
      <c r="C363" s="27" t="str">
        <f>'Landscape Trees '!D218</f>
        <v>#5</v>
      </c>
      <c r="D363" s="28" t="str">
        <f>'Landscape Trees '!E218</f>
        <v>0.5-0.75"</v>
      </c>
      <c r="E363" s="27" t="str">
        <f>'Landscape Trees '!F218</f>
        <v>2-5'</v>
      </c>
      <c r="F363" s="29">
        <f>'Landscape Trees '!G218</f>
        <v>83</v>
      </c>
      <c r="G363" s="27">
        <f>'Landscape Trees '!H218</f>
        <v>100</v>
      </c>
      <c r="H363" s="30">
        <f>'Landscape Trees '!I218</f>
        <v>40</v>
      </c>
      <c r="I363" s="27" t="str">
        <f t="shared" si="3"/>
        <v>Willow Oak #5-2020</v>
      </c>
      <c r="J363" s="11"/>
      <c r="K363" s="30">
        <f t="shared" si="4"/>
        <v>0</v>
      </c>
    </row>
    <row r="364">
      <c r="A364" s="27" t="str">
        <f>'Landscape Trees '!A219</f>
        <v>Quercus prinus</v>
      </c>
      <c r="B364" s="27" t="str">
        <f>'Landscape Trees '!C219</f>
        <v>Chestnut Oak</v>
      </c>
      <c r="C364" s="27" t="str">
        <f>'Landscape Trees '!D219</f>
        <v>#5</v>
      </c>
      <c r="D364" s="28" t="str">
        <f>'Landscape Trees '!E219</f>
        <v>0.5-1.25"</v>
      </c>
      <c r="E364" s="27" t="str">
        <f>'Landscape Trees '!F219</f>
        <v>3-8'</v>
      </c>
      <c r="F364" s="29">
        <f>'Landscape Trees '!G219</f>
        <v>60</v>
      </c>
      <c r="G364" s="27">
        <f>'Landscape Trees '!H219</f>
        <v>0</v>
      </c>
      <c r="H364" s="30">
        <f>'Landscape Trees '!I219</f>
        <v>40</v>
      </c>
      <c r="I364" s="27" t="str">
        <f t="shared" si="3"/>
        <v>Chestnut Oak #5-2020</v>
      </c>
      <c r="J364" s="11"/>
      <c r="K364" s="30">
        <f t="shared" si="4"/>
        <v>0</v>
      </c>
    </row>
    <row r="365">
      <c r="A365" s="27" t="str">
        <f>'Landscape Trees '!A220</f>
        <v>Quercus rubra</v>
      </c>
      <c r="B365" s="27" t="str">
        <f>'Landscape Trees '!C220</f>
        <v>Red Oak</v>
      </c>
      <c r="C365" s="27" t="str">
        <f>'Landscape Trees '!D220</f>
        <v>#5</v>
      </c>
      <c r="D365" s="28" t="str">
        <f>'Landscape Trees '!E220</f>
        <v>0.5-0.75"</v>
      </c>
      <c r="E365" s="27" t="str">
        <f>'Landscape Trees '!F220</f>
        <v>3-6'</v>
      </c>
      <c r="F365" s="29">
        <f>'Landscape Trees '!G220</f>
        <v>91</v>
      </c>
      <c r="G365" s="27">
        <f>'Landscape Trees '!H220</f>
        <v>50</v>
      </c>
      <c r="H365" s="30">
        <f>'Landscape Trees '!I220</f>
        <v>40</v>
      </c>
      <c r="I365" s="27" t="str">
        <f t="shared" si="3"/>
        <v>Red Oak #5-2020</v>
      </c>
      <c r="J365" s="11"/>
      <c r="K365" s="30">
        <f t="shared" si="4"/>
        <v>0</v>
      </c>
    </row>
    <row r="366">
      <c r="A366" s="27" t="str">
        <f>'Landscape Trees '!A221</f>
        <v>Quercus rubra</v>
      </c>
      <c r="B366" s="27" t="str">
        <f>'Landscape Trees '!C221</f>
        <v>Red Oak</v>
      </c>
      <c r="C366" s="27" t="str">
        <f>'Landscape Trees '!D221</f>
        <v>#7</v>
      </c>
      <c r="D366" s="28" t="str">
        <f>'Landscape Trees '!E221</f>
        <v>0.5-0.5"</v>
      </c>
      <c r="E366" s="27" t="str">
        <f>'Landscape Trees '!F221</f>
        <v>5-5'</v>
      </c>
      <c r="F366" s="29">
        <f>'Landscape Trees '!G221</f>
        <v>3</v>
      </c>
      <c r="G366" s="27">
        <f>'Landscape Trees '!H221</f>
        <v>20</v>
      </c>
      <c r="H366" s="30">
        <f>'Landscape Trees '!I221</f>
        <v>55</v>
      </c>
      <c r="I366" s="27" t="str">
        <f t="shared" si="3"/>
        <v>Red Oak #7-2020</v>
      </c>
      <c r="J366" s="11"/>
      <c r="K366" s="30">
        <f t="shared" si="4"/>
        <v>0</v>
      </c>
    </row>
    <row r="367">
      <c r="A367" s="27" t="str">
        <f>'Landscape Trees '!A222</f>
        <v>Quercus rubra</v>
      </c>
      <c r="B367" s="27" t="str">
        <f>'Landscape Trees '!C222</f>
        <v>Red Oak</v>
      </c>
      <c r="C367" s="27" t="str">
        <f>'Landscape Trees '!D222</f>
        <v>#15</v>
      </c>
      <c r="D367" s="28" t="str">
        <f>'Landscape Trees '!E222</f>
        <v>0-1.25"</v>
      </c>
      <c r="E367" s="27" t="str">
        <f>'Landscape Trees '!F222</f>
        <v>0-11'</v>
      </c>
      <c r="F367" s="29">
        <f>'Landscape Trees '!G222</f>
        <v>0</v>
      </c>
      <c r="G367" s="27">
        <f>'Landscape Trees '!H222</f>
        <v>10</v>
      </c>
      <c r="H367" s="30">
        <f>'Landscape Trees '!I222</f>
        <v>115</v>
      </c>
      <c r="I367" s="27" t="str">
        <f t="shared" si="3"/>
        <v>Red Oak #15-2020</v>
      </c>
      <c r="J367" s="11"/>
      <c r="K367" s="30">
        <f t="shared" si="4"/>
        <v>0</v>
      </c>
    </row>
    <row r="368">
      <c r="A368" s="27" t="str">
        <f>'Landscape Trees '!A223</f>
        <v>Quercus shumardii</v>
      </c>
      <c r="B368" s="27" t="str">
        <f>'Landscape Trees '!C223</f>
        <v>Shumard Oak</v>
      </c>
      <c r="C368" s="27" t="str">
        <f>'Landscape Trees '!D223</f>
        <v>#25</v>
      </c>
      <c r="D368" s="28" t="str">
        <f>'Landscape Trees '!E223</f>
        <v>1-1.75"</v>
      </c>
      <c r="E368" s="27" t="str">
        <f>'Landscape Trees '!F223</f>
        <v>10-12'</v>
      </c>
      <c r="F368" s="29">
        <f>'Landscape Trees '!G223</f>
        <v>6</v>
      </c>
      <c r="G368" s="27">
        <f>'Landscape Trees '!H223</f>
        <v>0</v>
      </c>
      <c r="H368" s="30">
        <f>'Landscape Trees '!I223</f>
        <v>140</v>
      </c>
      <c r="I368" s="27" t="str">
        <f t="shared" si="3"/>
        <v>Shumard Oak #25-2020</v>
      </c>
      <c r="J368" s="11"/>
      <c r="K368" s="30">
        <f t="shared" si="4"/>
        <v>0</v>
      </c>
    </row>
    <row r="369">
      <c r="A369" s="27" t="str">
        <f>'Landscape Trees '!A224</f>
        <v>Quercus velutina</v>
      </c>
      <c r="B369" s="27" t="str">
        <f>'Landscape Trees '!C224</f>
        <v>Black Oak</v>
      </c>
      <c r="C369" s="27" t="str">
        <f>'Landscape Trees '!D224</f>
        <v>#5</v>
      </c>
      <c r="D369" s="28" t="str">
        <f>'Landscape Trees '!E224</f>
        <v>0.5-0.75"</v>
      </c>
      <c r="E369" s="27" t="str">
        <f>'Landscape Trees '!F224</f>
        <v>4-5'</v>
      </c>
      <c r="F369" s="29">
        <f>'Landscape Trees '!G224</f>
        <v>5</v>
      </c>
      <c r="G369" s="27">
        <f>'Landscape Trees '!H224</f>
        <v>40</v>
      </c>
      <c r="H369" s="30">
        <f>'Landscape Trees '!I224</f>
        <v>40</v>
      </c>
      <c r="I369" s="27" t="str">
        <f t="shared" si="3"/>
        <v>Black Oak #5-2020</v>
      </c>
      <c r="J369" s="11"/>
      <c r="K369" s="30">
        <f t="shared" si="4"/>
        <v>0</v>
      </c>
    </row>
    <row r="370">
      <c r="A370" s="27" t="str">
        <f>'Landscape Trees '!A225</f>
        <v>Quercus velutina</v>
      </c>
      <c r="B370" s="27" t="str">
        <f>'Landscape Trees '!C225</f>
        <v>Black Oak</v>
      </c>
      <c r="C370" s="27" t="str">
        <f>'Landscape Trees '!D225</f>
        <v>#7</v>
      </c>
      <c r="D370" s="28" t="str">
        <f>'Landscape Trees '!E225</f>
        <v>0.5-0.75"</v>
      </c>
      <c r="E370" s="27" t="str">
        <f>'Landscape Trees '!F225</f>
        <v>4-5'</v>
      </c>
      <c r="F370" s="29">
        <f>'Landscape Trees '!G225</f>
        <v>1</v>
      </c>
      <c r="G370" s="27">
        <f>'Landscape Trees '!H225</f>
        <v>0</v>
      </c>
      <c r="H370" s="30">
        <f>'Landscape Trees '!I225</f>
        <v>55</v>
      </c>
      <c r="I370" s="27" t="str">
        <f t="shared" si="3"/>
        <v>Black Oak #7-2020</v>
      </c>
      <c r="J370" s="11"/>
      <c r="K370" s="30">
        <f t="shared" si="4"/>
        <v>0</v>
      </c>
    </row>
    <row r="371">
      <c r="A371" s="27" t="str">
        <f>'Landscape Trees '!A226</f>
        <v>Quercus x warei 'Regal Prince'</v>
      </c>
      <c r="B371" s="27" t="str">
        <f>'Landscape Trees '!C226</f>
        <v>Regal Prince Oak</v>
      </c>
      <c r="C371" s="27" t="str">
        <f>'Landscape Trees '!D226</f>
        <v>#5</v>
      </c>
      <c r="D371" s="28" t="str">
        <f>'Landscape Trees '!E226</f>
        <v>0.5-0.75"</v>
      </c>
      <c r="E371" s="27" t="str">
        <f>'Landscape Trees '!F226</f>
        <v>4-5'</v>
      </c>
      <c r="F371" s="29">
        <f>'Landscape Trees '!G226</f>
        <v>27</v>
      </c>
      <c r="G371" s="27">
        <f>'Landscape Trees '!H226</f>
        <v>0</v>
      </c>
      <c r="H371" s="30">
        <f>'Landscape Trees '!I226</f>
        <v>45</v>
      </c>
      <c r="I371" s="27" t="str">
        <f t="shared" si="3"/>
        <v>Regal Prince Oak #5-2020</v>
      </c>
      <c r="J371" s="11"/>
      <c r="K371" s="30">
        <f t="shared" si="4"/>
        <v>0</v>
      </c>
    </row>
    <row r="372">
      <c r="A372" s="27" t="str">
        <f>'Landscape Trees '!A227</f>
        <v>Quercus x warei 'Regal Prince'</v>
      </c>
      <c r="B372" s="27" t="str">
        <f>'Landscape Trees '!C227</f>
        <v>Regal Prince Oak</v>
      </c>
      <c r="C372" s="27" t="str">
        <f>'Landscape Trees '!D227</f>
        <v>#7</v>
      </c>
      <c r="D372" s="28" t="str">
        <f>'Landscape Trees '!E227</f>
        <v>0.25-0.5"</v>
      </c>
      <c r="E372" s="27" t="str">
        <f>'Landscape Trees '!F227</f>
        <v>2-3'</v>
      </c>
      <c r="F372" s="29">
        <f>'Landscape Trees '!G227</f>
        <v>0</v>
      </c>
      <c r="G372" s="27">
        <f>'Landscape Trees '!H227</f>
        <v>10</v>
      </c>
      <c r="H372" s="30">
        <f>'Landscape Trees '!I227</f>
        <v>55</v>
      </c>
      <c r="I372" s="27" t="str">
        <f t="shared" si="3"/>
        <v>Regal Prince Oak #7-2020</v>
      </c>
      <c r="J372" s="11"/>
      <c r="K372" s="30">
        <f t="shared" si="4"/>
        <v>0</v>
      </c>
    </row>
    <row r="373">
      <c r="A373" s="27" t="str">
        <f>'Landscape Trees '!A228</f>
        <v>Quercus x warei 'Regal Prince'</v>
      </c>
      <c r="B373" s="27" t="str">
        <f>'Landscape Trees '!C228</f>
        <v>Regal Prince Oak</v>
      </c>
      <c r="C373" s="27" t="str">
        <f>'Landscape Trees '!D228</f>
        <v>#15</v>
      </c>
      <c r="D373" s="28" t="str">
        <f>'Landscape Trees '!E228</f>
        <v>1-1.5"</v>
      </c>
      <c r="E373" s="27" t="str">
        <f>'Landscape Trees '!F228</f>
        <v>8-11'</v>
      </c>
      <c r="F373" s="29">
        <f>'Landscape Trees '!G228</f>
        <v>1</v>
      </c>
      <c r="G373" s="27">
        <f>'Landscape Trees '!H228</f>
        <v>5</v>
      </c>
      <c r="H373" s="30">
        <f>'Landscape Trees '!I228</f>
        <v>115</v>
      </c>
      <c r="I373" s="27" t="str">
        <f t="shared" si="3"/>
        <v>Regal Prince Oak #15-2020</v>
      </c>
      <c r="J373" s="11"/>
      <c r="K373" s="30">
        <f t="shared" si="4"/>
        <v>0</v>
      </c>
    </row>
    <row r="374">
      <c r="A374" s="27" t="str">
        <f>'Landscape Trees '!A229</f>
        <v>Quercus x warei 'Regal Prince'</v>
      </c>
      <c r="B374" s="27" t="str">
        <f>'Landscape Trees '!C229</f>
        <v>Regal Prince Oak</v>
      </c>
      <c r="C374" s="27" t="str">
        <f>'Landscape Trees '!D229</f>
        <v>#25</v>
      </c>
      <c r="D374" s="28" t="str">
        <f>'Landscape Trees '!E229</f>
        <v>1-1.5"</v>
      </c>
      <c r="E374" s="27" t="str">
        <f>'Landscape Trees '!F229</f>
        <v>8-11'</v>
      </c>
      <c r="F374" s="29">
        <f>'Landscape Trees '!G229</f>
        <v>5</v>
      </c>
      <c r="G374" s="27">
        <f>'Landscape Trees '!H229</f>
        <v>0</v>
      </c>
      <c r="H374" s="30">
        <f>'Landscape Trees '!I229</f>
        <v>140</v>
      </c>
      <c r="I374" s="27" t="str">
        <f t="shared" si="3"/>
        <v>Regal Prince Oak #25-2020</v>
      </c>
      <c r="J374" s="11"/>
      <c r="K374" s="30">
        <f t="shared" si="4"/>
        <v>0</v>
      </c>
    </row>
    <row r="375">
      <c r="A375" s="27" t="str">
        <f>'Landscape Trees '!A230</f>
        <v>Rhus aromatica</v>
      </c>
      <c r="B375" s="27" t="str">
        <f>'Landscape Trees '!C230</f>
        <v>Fragrant Sumac</v>
      </c>
      <c r="C375" s="27" t="str">
        <f>'Landscape Trees '!D230</f>
        <v>#5</v>
      </c>
      <c r="D375" s="32" t="str">
        <f>'Landscape Trees '!E230</f>
        <v>Multi</v>
      </c>
      <c r="E375" s="27" t="str">
        <f>'Landscape Trees '!F230</f>
        <v>2-5'</v>
      </c>
      <c r="F375" s="29">
        <f>'Landscape Trees '!G230</f>
        <v>6</v>
      </c>
      <c r="G375" s="27">
        <f>'Landscape Trees '!H230</f>
        <v>50</v>
      </c>
      <c r="H375" s="30">
        <f>'Landscape Trees '!I230</f>
        <v>32</v>
      </c>
      <c r="I375" s="27" t="str">
        <f t="shared" si="3"/>
        <v>Fragrant Sumac #5-2020</v>
      </c>
      <c r="J375" s="11"/>
      <c r="K375" s="30">
        <f t="shared" si="4"/>
        <v>0</v>
      </c>
    </row>
    <row r="376">
      <c r="A376" s="27" t="str">
        <f>'Landscape Trees '!A231</f>
        <v>Rhus glabra</v>
      </c>
      <c r="B376" s="27" t="str">
        <f>'Landscape Trees '!C231</f>
        <v>Smooth Sumac</v>
      </c>
      <c r="C376" s="27" t="str">
        <f>'Landscape Trees '!D231</f>
        <v>#5</v>
      </c>
      <c r="D376" s="28" t="str">
        <f>'Landscape Trees '!E231</f>
        <v>0-1"</v>
      </c>
      <c r="E376" s="27" t="str">
        <f>'Landscape Trees '!F231</f>
        <v>0-8'</v>
      </c>
      <c r="F376" s="29">
        <f>'Landscape Trees '!G231</f>
        <v>0</v>
      </c>
      <c r="G376" s="27">
        <f>'Landscape Trees '!H231</f>
        <v>50</v>
      </c>
      <c r="H376" s="30">
        <f>'Landscape Trees '!I231</f>
        <v>35</v>
      </c>
      <c r="I376" s="27" t="str">
        <f t="shared" si="3"/>
        <v>Smooth Sumac #5-2020</v>
      </c>
      <c r="J376" s="11"/>
      <c r="K376" s="30">
        <f t="shared" si="4"/>
        <v>0</v>
      </c>
    </row>
    <row r="377">
      <c r="A377" s="27" t="str">
        <f>'Landscape Trees '!A232</f>
        <v>Rhus typhina</v>
      </c>
      <c r="B377" s="27" t="str">
        <f>'Landscape Trees '!C232</f>
        <v>Staghorn Sumac</v>
      </c>
      <c r="C377" s="27" t="str">
        <f>'Landscape Trees '!D232</f>
        <v>#5</v>
      </c>
      <c r="D377" s="28" t="str">
        <f>'Landscape Trees '!E232</f>
        <v>1-1.25"</v>
      </c>
      <c r="E377" s="27" t="str">
        <f>'Landscape Trees '!F232</f>
        <v>3-4.5'</v>
      </c>
      <c r="F377" s="29">
        <f>'Landscape Trees '!G232</f>
        <v>1</v>
      </c>
      <c r="G377" s="27">
        <f>'Landscape Trees '!H232</f>
        <v>50</v>
      </c>
      <c r="H377" s="30">
        <f>'Landscape Trees '!I232</f>
        <v>35</v>
      </c>
      <c r="I377" s="27" t="str">
        <f t="shared" si="3"/>
        <v>Staghorn Sumac #5-2020</v>
      </c>
      <c r="J377" s="11"/>
      <c r="K377" s="30">
        <f t="shared" si="4"/>
        <v>0</v>
      </c>
    </row>
    <row r="378">
      <c r="A378" s="27" t="str">
        <f>'Landscape Trees '!A233</f>
        <v>Ribies </v>
      </c>
      <c r="B378" s="27" t="str">
        <f>'Landscape Trees '!C233</f>
        <v>King Edward Flowering Currant</v>
      </c>
      <c r="C378" s="27" t="str">
        <f>'Landscape Trees '!D233</f>
        <v>#5</v>
      </c>
      <c r="D378" s="28" t="str">
        <f>'Landscape Trees '!E233</f>
        <v>Multi</v>
      </c>
      <c r="E378" s="27" t="str">
        <f>'Landscape Trees '!F233</f>
        <v>1-2.5'</v>
      </c>
      <c r="F378" s="29">
        <f>'Landscape Trees '!G233</f>
        <v>17</v>
      </c>
      <c r="G378" s="27">
        <f>'Landscape Trees '!H233</f>
        <v>0</v>
      </c>
      <c r="H378" s="30">
        <f>'Landscape Trees '!I233</f>
        <v>35</v>
      </c>
      <c r="I378" s="27" t="str">
        <f t="shared" si="3"/>
        <v>King Edward Flowering Currant #5-2020</v>
      </c>
      <c r="J378" s="11"/>
      <c r="K378" s="30">
        <f t="shared" si="4"/>
        <v>0</v>
      </c>
    </row>
    <row r="379">
      <c r="A379" s="27" t="str">
        <f>'Landscape Trees '!A234</f>
        <v>Robinia pseudoacacia</v>
      </c>
      <c r="B379" s="27" t="str">
        <f>'Landscape Trees '!C234</f>
        <v>Black Locust</v>
      </c>
      <c r="C379" s="27" t="str">
        <f>'Landscape Trees '!D234</f>
        <v>#5</v>
      </c>
      <c r="D379" s="28" t="str">
        <f>'Landscape Trees '!E234</f>
        <v>0.5-1"</v>
      </c>
      <c r="E379" s="27" t="str">
        <f>'Landscape Trees '!F234</f>
        <v>5-8'</v>
      </c>
      <c r="F379" s="29">
        <f>'Landscape Trees '!G234</f>
        <v>12</v>
      </c>
      <c r="G379" s="27">
        <f>'Landscape Trees '!H234</f>
        <v>0</v>
      </c>
      <c r="H379" s="30">
        <f>'Landscape Trees '!I234</f>
        <v>35</v>
      </c>
      <c r="I379" s="27" t="str">
        <f t="shared" si="3"/>
        <v>Black Locust #5-2020</v>
      </c>
      <c r="J379" s="11"/>
      <c r="K379" s="30">
        <f t="shared" si="4"/>
        <v>0</v>
      </c>
    </row>
    <row r="380">
      <c r="A380" s="27" t="str">
        <f>'Landscape Trees '!A235</f>
        <v>Salix babylonica</v>
      </c>
      <c r="B380" s="27" t="str">
        <f>'Landscape Trees '!C235</f>
        <v>Weeping Willow</v>
      </c>
      <c r="C380" s="27" t="str">
        <f>'Landscape Trees '!D235</f>
        <v>#5</v>
      </c>
      <c r="D380" s="28" t="str">
        <f>'Landscape Trees '!E235</f>
        <v>0.25-0.5"</v>
      </c>
      <c r="E380" s="27" t="str">
        <f>'Landscape Trees '!F235</f>
        <v>1-2'</v>
      </c>
      <c r="F380" s="29">
        <f>'Landscape Trees '!G235</f>
        <v>0</v>
      </c>
      <c r="G380" s="27">
        <f>'Landscape Trees '!H235</f>
        <v>100</v>
      </c>
      <c r="H380" s="30">
        <f>'Landscape Trees '!I235</f>
        <v>40</v>
      </c>
      <c r="I380" s="27" t="str">
        <f t="shared" si="3"/>
        <v>Weeping Willow #5-2020</v>
      </c>
      <c r="J380" s="11"/>
      <c r="K380" s="30">
        <f t="shared" si="4"/>
        <v>0</v>
      </c>
    </row>
    <row r="381">
      <c r="A381" s="27" t="str">
        <f>'Landscape Trees '!A236</f>
        <v>Salix babylonica</v>
      </c>
      <c r="B381" s="27" t="str">
        <f>'Landscape Trees '!C236</f>
        <v>Weeping Willow</v>
      </c>
      <c r="C381" s="27" t="str">
        <f>'Landscape Trees '!D236</f>
        <v>#7</v>
      </c>
      <c r="D381" s="28" t="str">
        <f>'Landscape Trees '!E236</f>
        <v>0-1"</v>
      </c>
      <c r="E381" s="27" t="str">
        <f>'Landscape Trees '!F236</f>
        <v>0-9'</v>
      </c>
      <c r="F381" s="29">
        <f>'Landscape Trees '!G236</f>
        <v>0</v>
      </c>
      <c r="G381" s="27">
        <f>'Landscape Trees '!H236</f>
        <v>100</v>
      </c>
      <c r="H381" s="30">
        <f>'Landscape Trees '!I236</f>
        <v>55</v>
      </c>
      <c r="I381" s="27" t="str">
        <f t="shared" si="3"/>
        <v>Weeping Willow #7-2020</v>
      </c>
      <c r="J381" s="11"/>
      <c r="K381" s="30">
        <f t="shared" si="4"/>
        <v>0</v>
      </c>
    </row>
    <row r="382">
      <c r="A382" s="27" t="str">
        <f>'Landscape Trees '!A237</f>
        <v>Stewartia pseudocamellia</v>
      </c>
      <c r="B382" s="27" t="str">
        <f>'Landscape Trees '!C237</f>
        <v>Stewartia</v>
      </c>
      <c r="C382" s="27" t="str">
        <f>'Landscape Trees '!D237</f>
        <v>#5</v>
      </c>
      <c r="D382" s="32" t="str">
        <f>'Landscape Trees '!E237</f>
        <v>Multi</v>
      </c>
      <c r="E382" s="27" t="str">
        <f>'Landscape Trees '!F237</f>
        <v>5-7'</v>
      </c>
      <c r="F382" s="29">
        <f>'Landscape Trees '!G237</f>
        <v>18</v>
      </c>
      <c r="G382" s="27">
        <f>'Landscape Trees '!H237</f>
        <v>0</v>
      </c>
      <c r="H382" s="30">
        <f>'Landscape Trees '!I237</f>
        <v>50</v>
      </c>
      <c r="I382" s="27" t="str">
        <f t="shared" si="3"/>
        <v>Stewartia #5-2020</v>
      </c>
      <c r="J382" s="11"/>
      <c r="K382" s="30">
        <f t="shared" si="4"/>
        <v>0</v>
      </c>
    </row>
    <row r="383">
      <c r="A383" s="27" t="str">
        <f>'Landscape Trees '!A238</f>
        <v>Styrax japonicus</v>
      </c>
      <c r="B383" s="27" t="str">
        <f>'Landscape Trees '!C238</f>
        <v>Japanese Snowbell</v>
      </c>
      <c r="C383" s="27" t="str">
        <f>'Landscape Trees '!D238</f>
        <v>#5</v>
      </c>
      <c r="D383" s="32" t="str">
        <f>'Landscape Trees '!E238</f>
        <v>Multi</v>
      </c>
      <c r="E383" s="27" t="str">
        <f>'Landscape Trees '!F238</f>
        <v>5-6'</v>
      </c>
      <c r="F383" s="29">
        <f>'Landscape Trees '!G238</f>
        <v>30</v>
      </c>
      <c r="G383" s="27">
        <f>'Landscape Trees '!H238</f>
        <v>0</v>
      </c>
      <c r="H383" s="30">
        <f>'Landscape Trees '!I238</f>
        <v>40</v>
      </c>
      <c r="I383" s="27" t="str">
        <f t="shared" si="3"/>
        <v>Japanese Snowbell #5-2020</v>
      </c>
      <c r="J383" s="11"/>
      <c r="K383" s="30">
        <f t="shared" si="4"/>
        <v>0</v>
      </c>
    </row>
    <row r="384">
      <c r="A384" s="27" t="str">
        <f>'Landscape Trees '!A239</f>
        <v>Styrax obassia</v>
      </c>
      <c r="B384" s="27" t="str">
        <f>'Landscape Trees '!C239</f>
        <v>Fragrant Snowbell</v>
      </c>
      <c r="C384" s="27" t="str">
        <f>'Landscape Trees '!D239</f>
        <v>#5</v>
      </c>
      <c r="D384" s="28" t="str">
        <f>'Landscape Trees '!E239</f>
        <v>0.375-0.5"</v>
      </c>
      <c r="E384" s="27" t="str">
        <f>'Landscape Trees '!F239</f>
        <v>2-5'</v>
      </c>
      <c r="F384" s="29">
        <f>'Landscape Trees '!G239</f>
        <v>41</v>
      </c>
      <c r="G384" s="27">
        <f>'Landscape Trees '!H239</f>
        <v>0</v>
      </c>
      <c r="H384" s="30">
        <f>'Landscape Trees '!I239</f>
        <v>45</v>
      </c>
      <c r="I384" s="27" t="str">
        <f t="shared" si="3"/>
        <v>Fragrant Snowbell #5-2020</v>
      </c>
      <c r="J384" s="11"/>
      <c r="K384" s="30">
        <f t="shared" si="4"/>
        <v>0</v>
      </c>
    </row>
    <row r="385">
      <c r="A385" s="27" t="str">
        <f>'Landscape Trees '!A240</f>
        <v>Syringa reticulata 'Ivory Silk'</v>
      </c>
      <c r="B385" s="27" t="str">
        <f>'Landscape Trees '!C240</f>
        <v>Ivory Silk Japanese Tree Lilac</v>
      </c>
      <c r="C385" s="27" t="str">
        <f>'Landscape Trees '!D240</f>
        <v>#5</v>
      </c>
      <c r="D385" s="28" t="str">
        <f>'Landscape Trees '!E240</f>
        <v>0.25-0.5"</v>
      </c>
      <c r="E385" s="27" t="str">
        <f>'Landscape Trees '!F240</f>
        <v>2-4'</v>
      </c>
      <c r="F385" s="29">
        <f>'Landscape Trees '!G240</f>
        <v>12</v>
      </c>
      <c r="G385" s="27">
        <f>'Landscape Trees '!H240</f>
        <v>0</v>
      </c>
      <c r="H385" s="30">
        <f>'Landscape Trees '!I240</f>
        <v>40</v>
      </c>
      <c r="I385" s="27" t="str">
        <f t="shared" si="3"/>
        <v>Ivory Silk Japanese Tree Lilac #5-2020</v>
      </c>
      <c r="J385" s="11"/>
      <c r="K385" s="30">
        <f t="shared" si="4"/>
        <v>0</v>
      </c>
    </row>
    <row r="386">
      <c r="A386" s="27" t="str">
        <f>'Landscape Trees '!A241</f>
        <v>Syringa reticulata 'Ivory Silk'</v>
      </c>
      <c r="B386" s="27" t="str">
        <f>'Landscape Trees '!C241</f>
        <v>Ivory Silk Japanese Tree Lilac</v>
      </c>
      <c r="C386" s="27" t="str">
        <f>'Landscape Trees '!D241</f>
        <v>#10</v>
      </c>
      <c r="D386" s="28" t="str">
        <f>'Landscape Trees '!E241</f>
        <v>1-1"</v>
      </c>
      <c r="E386" s="27" t="str">
        <f>'Landscape Trees '!F241</f>
        <v>10-10'</v>
      </c>
      <c r="F386" s="29">
        <f>'Landscape Trees '!G241</f>
        <v>5</v>
      </c>
      <c r="G386" s="27">
        <f>'Landscape Trees '!H241</f>
        <v>0</v>
      </c>
      <c r="H386" s="30">
        <f>'Landscape Trees '!I241</f>
        <v>85</v>
      </c>
      <c r="I386" s="27" t="str">
        <f t="shared" si="3"/>
        <v>Ivory Silk Japanese Tree Lilac #10-2020</v>
      </c>
      <c r="J386" s="11"/>
      <c r="K386" s="30">
        <f t="shared" si="4"/>
        <v>0</v>
      </c>
    </row>
    <row r="387">
      <c r="A387" s="27" t="str">
        <f>'Landscape Trees '!A242</f>
        <v>Syringa reticulata 'Ivory Silk'</v>
      </c>
      <c r="B387" s="27" t="str">
        <f>'Landscape Trees '!C242</f>
        <v>Ivory Silk Japanese Tree Lilac</v>
      </c>
      <c r="C387" s="27" t="str">
        <f>'Landscape Trees '!D242</f>
        <v>#15</v>
      </c>
      <c r="D387" s="28" t="str">
        <f>'Landscape Trees '!E242</f>
        <v>1-1.25"</v>
      </c>
      <c r="E387" s="27" t="str">
        <f>'Landscape Trees '!F242</f>
        <v>6-10'</v>
      </c>
      <c r="F387" s="29">
        <f>'Landscape Trees '!G242</f>
        <v>11</v>
      </c>
      <c r="G387" s="27">
        <f>'Landscape Trees '!H242</f>
        <v>10</v>
      </c>
      <c r="H387" s="30">
        <f>'Landscape Trees '!I242</f>
        <v>115</v>
      </c>
      <c r="I387" s="27" t="str">
        <f t="shared" si="3"/>
        <v>Ivory Silk Japanese Tree Lilac #15-2020</v>
      </c>
      <c r="J387" s="11"/>
      <c r="K387" s="30">
        <f t="shared" si="4"/>
        <v>0</v>
      </c>
    </row>
    <row r="388">
      <c r="A388" s="27" t="str">
        <f>'Landscape Trees '!A243</f>
        <v>Taxodium distichum</v>
      </c>
      <c r="B388" s="27" t="str">
        <f>'Landscape Trees '!C243</f>
        <v>Bald Cypress</v>
      </c>
      <c r="C388" s="27" t="str">
        <f>'Landscape Trees '!D243</f>
        <v>#5</v>
      </c>
      <c r="D388" s="28" t="str">
        <f>'Landscape Trees '!E243</f>
        <v>0.75-1.5"</v>
      </c>
      <c r="E388" s="27" t="str">
        <f>'Landscape Trees '!F243</f>
        <v>4-7'</v>
      </c>
      <c r="F388" s="29">
        <f>'Landscape Trees '!G243</f>
        <v>89</v>
      </c>
      <c r="G388" s="27">
        <f>'Landscape Trees '!H243</f>
        <v>200</v>
      </c>
      <c r="H388" s="30">
        <f>'Landscape Trees '!I243</f>
        <v>40</v>
      </c>
      <c r="I388" s="27" t="str">
        <f t="shared" si="3"/>
        <v>Bald Cypress #5-2020</v>
      </c>
      <c r="J388" s="11"/>
      <c r="K388" s="30">
        <f t="shared" si="4"/>
        <v>0</v>
      </c>
    </row>
    <row r="389">
      <c r="A389" s="27" t="str">
        <f>'Landscape Trees '!A244</f>
        <v>Taxodium distichum</v>
      </c>
      <c r="B389" s="27" t="str">
        <f>'Landscape Trees '!C244</f>
        <v>Bald Cypress</v>
      </c>
      <c r="C389" s="27" t="str">
        <f>'Landscape Trees '!D244</f>
        <v>#15</v>
      </c>
      <c r="D389" s="28" t="str">
        <f>'Landscape Trees '!E244</f>
        <v>1.25-1.5"</v>
      </c>
      <c r="E389" s="27" t="str">
        <f>'Landscape Trees '!F244</f>
        <v>4-6'</v>
      </c>
      <c r="F389" s="29">
        <f>'Landscape Trees '!G244</f>
        <v>1</v>
      </c>
      <c r="G389" s="27">
        <f>'Landscape Trees '!H244</f>
        <v>0</v>
      </c>
      <c r="H389" s="30">
        <f>'Landscape Trees '!I244</f>
        <v>115</v>
      </c>
      <c r="I389" s="27" t="str">
        <f t="shared" si="3"/>
        <v>Bald Cypress #15-2020</v>
      </c>
      <c r="J389" s="11"/>
      <c r="K389" s="30">
        <f t="shared" si="4"/>
        <v>0</v>
      </c>
    </row>
    <row r="390">
      <c r="A390" s="27" t="str">
        <f>'Landscape Trees '!A245</f>
        <v>Taxodium distichum 'Falling Waters'</v>
      </c>
      <c r="B390" s="27" t="str">
        <f>'Landscape Trees '!C245</f>
        <v>Falling Waters Bald Cypress</v>
      </c>
      <c r="C390" s="27" t="str">
        <f>'Landscape Trees '!D245</f>
        <v>#7</v>
      </c>
      <c r="D390" s="28" t="str">
        <f>'Landscape Trees '!E245</f>
        <v>0.75-1"</v>
      </c>
      <c r="E390" s="27" t="str">
        <f>'Landscape Trees '!F245</f>
        <v>4-5'</v>
      </c>
      <c r="F390" s="29">
        <f>'Landscape Trees '!G245</f>
        <v>6</v>
      </c>
      <c r="G390" s="27">
        <f>'Landscape Trees '!H245</f>
        <v>0</v>
      </c>
      <c r="H390" s="30">
        <f>'Landscape Trees '!I245</f>
        <v>65</v>
      </c>
      <c r="I390" s="27" t="str">
        <f t="shared" si="3"/>
        <v>Falling Waters Bald Cypress #7-2020</v>
      </c>
      <c r="J390" s="11"/>
      <c r="K390" s="30">
        <f t="shared" si="4"/>
        <v>0</v>
      </c>
    </row>
    <row r="391">
      <c r="A391" s="27" t="str">
        <f>'Landscape Trees '!A246</f>
        <v>Taxus × media 'Everlow'</v>
      </c>
      <c r="B391" s="27" t="str">
        <f>'Landscape Trees '!C246</f>
        <v>Everlow Yew</v>
      </c>
      <c r="C391" s="27" t="str">
        <f>'Landscape Trees '!D246</f>
        <v>#5</v>
      </c>
      <c r="D391" s="28" t="str">
        <f>'Landscape Trees '!E246</f>
        <v>Multi</v>
      </c>
      <c r="E391" s="27" t="str">
        <f>'Landscape Trees '!F246</f>
        <v>1-2'</v>
      </c>
      <c r="F391" s="29">
        <f>'Landscape Trees '!G246</f>
        <v>8</v>
      </c>
      <c r="G391" s="27">
        <f>'Landscape Trees '!H246</f>
        <v>0</v>
      </c>
      <c r="H391" s="30">
        <f>'Landscape Trees '!I246</f>
        <v>32</v>
      </c>
      <c r="I391" s="27" t="str">
        <f t="shared" si="3"/>
        <v>Everlow Yew #5-2020</v>
      </c>
      <c r="J391" s="11"/>
      <c r="K391" s="30">
        <f t="shared" si="4"/>
        <v>0</v>
      </c>
    </row>
    <row r="392">
      <c r="A392" s="27" t="str">
        <f>'Landscape Trees '!A247</f>
        <v>Thuja plicata x standishii 'Green Giant'</v>
      </c>
      <c r="B392" s="27" t="str">
        <f>'Landscape Trees '!C247</f>
        <v>Green Giant Arborvitae</v>
      </c>
      <c r="C392" s="27" t="str">
        <f>'Landscape Trees '!D247</f>
        <v>#5</v>
      </c>
      <c r="D392" s="32" t="str">
        <f>'Landscape Trees '!E247</f>
        <v>Multi</v>
      </c>
      <c r="E392" s="27" t="str">
        <f>'Landscape Trees '!F247</f>
        <v>2-4'</v>
      </c>
      <c r="F392" s="29">
        <f>'Landscape Trees '!G247</f>
        <v>80</v>
      </c>
      <c r="G392" s="27">
        <f>'Landscape Trees '!H247</f>
        <v>0</v>
      </c>
      <c r="H392" s="30">
        <f>'Landscape Trees '!I247</f>
        <v>25</v>
      </c>
      <c r="I392" s="27" t="str">
        <f t="shared" si="3"/>
        <v>Green Giant Arborvitae #5-2020</v>
      </c>
      <c r="J392" s="11"/>
      <c r="K392" s="30">
        <f t="shared" si="4"/>
        <v>0</v>
      </c>
    </row>
    <row r="393">
      <c r="A393" s="27" t="str">
        <f>'Landscape Trees '!A248</f>
        <v>Tilia cordata</v>
      </c>
      <c r="B393" s="27" t="str">
        <f>'Landscape Trees '!C248</f>
        <v>Littleleaf Linden</v>
      </c>
      <c r="C393" s="27" t="str">
        <f>'Landscape Trees '!D248</f>
        <v>#5</v>
      </c>
      <c r="D393" s="28" t="str">
        <f>'Landscape Trees '!E248</f>
        <v>0.125-0.75"</v>
      </c>
      <c r="E393" s="27" t="str">
        <f>'Landscape Trees '!F248</f>
        <v>1-5'</v>
      </c>
      <c r="F393" s="29">
        <f>'Landscape Trees '!G248</f>
        <v>4</v>
      </c>
      <c r="G393" s="27">
        <f>'Landscape Trees '!H248</f>
        <v>25</v>
      </c>
      <c r="H393" s="30">
        <f>'Landscape Trees '!I248</f>
        <v>40</v>
      </c>
      <c r="I393" s="27" t="str">
        <f t="shared" si="3"/>
        <v>Littleleaf Linden #5-2020</v>
      </c>
      <c r="J393" s="11"/>
      <c r="K393" s="30">
        <f t="shared" si="4"/>
        <v>0</v>
      </c>
    </row>
    <row r="394">
      <c r="A394" s="27" t="str">
        <f>'Landscape Trees '!A249</f>
        <v>Tilia cordata</v>
      </c>
      <c r="B394" s="27" t="str">
        <f>'Landscape Trees '!C249</f>
        <v>Littleleaf Linden</v>
      </c>
      <c r="C394" s="27" t="str">
        <f>'Landscape Trees '!D249</f>
        <v>#15</v>
      </c>
      <c r="D394" s="28" t="str">
        <f>'Landscape Trees '!E249</f>
        <v>1.5-1.75"</v>
      </c>
      <c r="E394" s="27" t="str">
        <f>'Landscape Trees '!F249</f>
        <v>10-12'</v>
      </c>
      <c r="F394" s="29">
        <f>'Landscape Trees '!G249</f>
        <v>2</v>
      </c>
      <c r="G394" s="27">
        <f>'Landscape Trees '!H249</f>
        <v>0</v>
      </c>
      <c r="H394" s="30">
        <f>'Landscape Trees '!I249</f>
        <v>115</v>
      </c>
      <c r="I394" s="27" t="str">
        <f t="shared" si="3"/>
        <v>Littleleaf Linden #15-2020</v>
      </c>
      <c r="J394" s="11"/>
      <c r="K394" s="30">
        <f t="shared" si="4"/>
        <v>0</v>
      </c>
    </row>
    <row r="395">
      <c r="A395" s="27" t="str">
        <f>'Landscape Trees '!A250</f>
        <v>Tilia tomentosa</v>
      </c>
      <c r="B395" s="27" t="str">
        <f>'Landscape Trees '!C250</f>
        <v>Silver Linden</v>
      </c>
      <c r="C395" s="27" t="str">
        <f>'Landscape Trees '!D250</f>
        <v>#5</v>
      </c>
      <c r="D395" s="28" t="str">
        <f>'Landscape Trees '!E250</f>
        <v>0.25-0.5"</v>
      </c>
      <c r="E395" s="27" t="str">
        <f>'Landscape Trees '!F250</f>
        <v>3-6'</v>
      </c>
      <c r="F395" s="29">
        <f>'Landscape Trees '!G250</f>
        <v>15</v>
      </c>
      <c r="G395" s="27">
        <f>'Landscape Trees '!H250</f>
        <v>0</v>
      </c>
      <c r="H395" s="30">
        <f>'Landscape Trees '!I250</f>
        <v>40</v>
      </c>
      <c r="I395" s="27" t="str">
        <f t="shared" si="3"/>
        <v>Silver Linden #5-2020</v>
      </c>
      <c r="J395" s="11"/>
      <c r="K395" s="30">
        <f t="shared" si="4"/>
        <v>0</v>
      </c>
    </row>
    <row r="396">
      <c r="A396" s="27" t="str">
        <f>'Landscape Trees '!A251</f>
        <v>Ulmus 'New Horizon'</v>
      </c>
      <c r="B396" s="27" t="str">
        <f>'Landscape Trees '!C251</f>
        <v>New Horizon Elm</v>
      </c>
      <c r="C396" s="27" t="str">
        <f>'Landscape Trees '!D251</f>
        <v>#15</v>
      </c>
      <c r="D396" s="28" t="str">
        <f>'Landscape Trees '!E251</f>
        <v>1.5-1.5"</v>
      </c>
      <c r="E396" s="27" t="str">
        <f>'Landscape Trees '!F251</f>
        <v>12-12'</v>
      </c>
      <c r="F396" s="29">
        <f>'Landscape Trees '!G251</f>
        <v>2</v>
      </c>
      <c r="G396" s="27">
        <f>'Landscape Trees '!H251</f>
        <v>0</v>
      </c>
      <c r="H396" s="30">
        <f>'Landscape Trees '!I251</f>
        <v>115</v>
      </c>
      <c r="I396" s="27" t="str">
        <f t="shared" si="3"/>
        <v>New Horizon Elm #15-2020</v>
      </c>
      <c r="J396" s="11"/>
      <c r="K396" s="30">
        <f t="shared" si="4"/>
        <v>0</v>
      </c>
    </row>
    <row r="397">
      <c r="A397" s="27" t="str">
        <f>'Landscape Trees '!A252</f>
        <v>Ulmus americana 'Princeton'</v>
      </c>
      <c r="B397" s="27" t="str">
        <f>'Landscape Trees '!C252</f>
        <v>Princeton Elm</v>
      </c>
      <c r="C397" s="27" t="str">
        <f>'Landscape Trees '!D252</f>
        <v>#5</v>
      </c>
      <c r="D397" s="28" t="str">
        <f>'Landscape Trees '!E252</f>
        <v>1-1"</v>
      </c>
      <c r="E397" s="27" t="str">
        <f>'Landscape Trees '!F252</f>
        <v>7-8'</v>
      </c>
      <c r="F397" s="29">
        <f>'Landscape Trees '!G252</f>
        <v>1</v>
      </c>
      <c r="G397" s="27">
        <f>'Landscape Trees '!H252</f>
        <v>125</v>
      </c>
      <c r="H397" s="30">
        <f>'Landscape Trees '!I252</f>
        <v>40</v>
      </c>
      <c r="I397" s="27" t="str">
        <f t="shared" si="3"/>
        <v>Princeton Elm #5-2020</v>
      </c>
      <c r="J397" s="11"/>
      <c r="K397" s="30">
        <f t="shared" si="4"/>
        <v>0</v>
      </c>
    </row>
    <row r="398">
      <c r="A398" s="27" t="str">
        <f>'Landscape Trees '!A253</f>
        <v>Ulmus americana 'Princeton'</v>
      </c>
      <c r="B398" s="27" t="str">
        <f>'Landscape Trees '!C253</f>
        <v>Princeton Elm</v>
      </c>
      <c r="C398" s="27" t="str">
        <f>'Landscape Trees '!D253</f>
        <v>#15</v>
      </c>
      <c r="D398" s="28" t="str">
        <f>'Landscape Trees '!E253</f>
        <v>1-1.25"</v>
      </c>
      <c r="E398" s="27" t="str">
        <f>'Landscape Trees '!F253</f>
        <v>9-10'</v>
      </c>
      <c r="F398" s="29">
        <f>'Landscape Trees '!G253</f>
        <v>4</v>
      </c>
      <c r="G398" s="27">
        <f>'Landscape Trees '!H253</f>
        <v>10</v>
      </c>
      <c r="H398" s="30">
        <f>'Landscape Trees '!I253</f>
        <v>115</v>
      </c>
      <c r="I398" s="27" t="str">
        <f t="shared" si="3"/>
        <v>Princeton Elm #15-2020</v>
      </c>
      <c r="J398" s="11"/>
      <c r="K398" s="30">
        <f t="shared" si="4"/>
        <v>0</v>
      </c>
    </row>
    <row r="399">
      <c r="A399" s="27" t="str">
        <f>'Landscape Trees '!A254</f>
        <v>Ulmus americana 'Valley Forge'</v>
      </c>
      <c r="B399" s="27" t="str">
        <f>'Landscape Trees '!C254</f>
        <v>Valley Forge Elm</v>
      </c>
      <c r="C399" s="27" t="str">
        <f>'Landscape Trees '!D254</f>
        <v>#15</v>
      </c>
      <c r="D399" s="28" t="str">
        <f>'Landscape Trees '!E254</f>
        <v>1.25-1.25"</v>
      </c>
      <c r="E399" s="27" t="str">
        <f>'Landscape Trees '!F254</f>
        <v>13-15'</v>
      </c>
      <c r="F399" s="29">
        <f>'Landscape Trees '!G254</f>
        <v>1</v>
      </c>
      <c r="G399" s="27">
        <f>'Landscape Trees '!H254</f>
        <v>5</v>
      </c>
      <c r="H399" s="30">
        <f>'Landscape Trees '!I254</f>
        <v>115</v>
      </c>
      <c r="I399" s="27" t="str">
        <f t="shared" si="3"/>
        <v>Valley Forge Elm #15-2020</v>
      </c>
      <c r="J399" s="11"/>
      <c r="K399" s="30">
        <f t="shared" si="4"/>
        <v>0</v>
      </c>
    </row>
    <row r="400">
      <c r="A400" s="27" t="str">
        <f>'Landscape Trees '!A255</f>
        <v>Ulmus parvifolia</v>
      </c>
      <c r="B400" s="27" t="str">
        <f>'Landscape Trees '!C255</f>
        <v>Chinese Elm</v>
      </c>
      <c r="C400" s="27" t="str">
        <f>'Landscape Trees '!D255</f>
        <v>#5</v>
      </c>
      <c r="D400" s="28" t="str">
        <f>'Landscape Trees '!E255</f>
        <v>1.25-1.5"</v>
      </c>
      <c r="E400" s="27" t="str">
        <f>'Landscape Trees '!F255</f>
        <v>9-10'</v>
      </c>
      <c r="F400" s="29">
        <f>'Landscape Trees '!G255</f>
        <v>5</v>
      </c>
      <c r="G400" s="27">
        <f>'Landscape Trees '!H255</f>
        <v>0</v>
      </c>
      <c r="H400" s="30">
        <f>'Landscape Trees '!I255</f>
        <v>40</v>
      </c>
      <c r="I400" s="27" t="str">
        <f t="shared" si="3"/>
        <v>Chinese Elm #5-2020</v>
      </c>
      <c r="J400" s="11"/>
      <c r="K400" s="30">
        <f t="shared" si="4"/>
        <v>0</v>
      </c>
    </row>
    <row r="401">
      <c r="A401" s="27" t="str">
        <f>'Landscape Trees '!A256</f>
        <v>Ulmus parvifolia 'Frontier'</v>
      </c>
      <c r="B401" s="27" t="str">
        <f>'Landscape Trees '!C256</f>
        <v>Frontier Chinese Elm</v>
      </c>
      <c r="C401" s="27" t="str">
        <f>'Landscape Trees '!D256</f>
        <v>#5</v>
      </c>
      <c r="D401" s="28" t="str">
        <f>'Landscape Trees '!E256</f>
        <v>0.75-1"</v>
      </c>
      <c r="E401" s="27" t="str">
        <f>'Landscape Trees '!F256</f>
        <v>6-8'</v>
      </c>
      <c r="F401" s="29">
        <f>'Landscape Trees '!G256</f>
        <v>6</v>
      </c>
      <c r="G401" s="27">
        <f>'Landscape Trees '!H256</f>
        <v>0</v>
      </c>
      <c r="H401" s="30">
        <f>'Landscape Trees '!I256</f>
        <v>40</v>
      </c>
      <c r="I401" s="27" t="str">
        <f t="shared" si="3"/>
        <v>Frontier Chinese Elm #5-2020</v>
      </c>
      <c r="J401" s="11"/>
      <c r="K401" s="30">
        <f t="shared" si="4"/>
        <v>0</v>
      </c>
    </row>
    <row r="402">
      <c r="A402" s="27" t="str">
        <f>'Landscape Trees '!A257</f>
        <v>Ulmus wilsoniana 'Prospector'</v>
      </c>
      <c r="B402" s="27" t="str">
        <f>'Landscape Trees '!C257</f>
        <v>Prospector Elm</v>
      </c>
      <c r="C402" s="27" t="str">
        <f>'Landscape Trees '!D257</f>
        <v>#15</v>
      </c>
      <c r="D402" s="28" t="str">
        <f>'Landscape Trees '!E257</f>
        <v>1-1.5"</v>
      </c>
      <c r="E402" s="27" t="str">
        <f>'Landscape Trees '!F257</f>
        <v>9-12'</v>
      </c>
      <c r="F402" s="29">
        <f>'Landscape Trees '!G257</f>
        <v>1</v>
      </c>
      <c r="G402" s="27">
        <f>'Landscape Trees '!H257</f>
        <v>0</v>
      </c>
      <c r="H402" s="30">
        <f>'Landscape Trees '!I257</f>
        <v>115</v>
      </c>
      <c r="I402" s="27" t="str">
        <f t="shared" si="3"/>
        <v>Prospector Elm #15-2020</v>
      </c>
      <c r="J402" s="11"/>
      <c r="K402" s="30">
        <f t="shared" si="4"/>
        <v>0</v>
      </c>
    </row>
    <row r="403">
      <c r="A403" s="27" t="str">
        <f>'Landscape Trees '!A258</f>
        <v>Ulmus wilsoniana 'Prospector'</v>
      </c>
      <c r="B403" s="27" t="str">
        <f>'Landscape Trees '!C258</f>
        <v>Prospector Elm</v>
      </c>
      <c r="C403" s="27" t="str">
        <f>'Landscape Trees '!D258</f>
        <v>#25p</v>
      </c>
      <c r="D403" s="28" t="str">
        <f>'Landscape Trees '!E258</f>
        <v>1.5-1.5"</v>
      </c>
      <c r="E403" s="27" t="str">
        <f>'Landscape Trees '!F258</f>
        <v>13-14'</v>
      </c>
      <c r="F403" s="29">
        <f>'Landscape Trees '!G258</f>
        <v>2</v>
      </c>
      <c r="G403" s="27">
        <f>'Landscape Trees '!H258</f>
        <v>0</v>
      </c>
      <c r="H403" s="30">
        <f>'Landscape Trees '!I258</f>
        <v>140</v>
      </c>
      <c r="I403" s="27" t="str">
        <f t="shared" si="3"/>
        <v>Prospector Elm #25p-2020</v>
      </c>
      <c r="J403" s="11"/>
      <c r="K403" s="30">
        <f t="shared" si="4"/>
        <v>0</v>
      </c>
    </row>
    <row r="404">
      <c r="A404" s="27" t="str">
        <f>'Landscape Trees '!A259</f>
        <v>Viburnum prunifolium</v>
      </c>
      <c r="B404" s="27" t="str">
        <f>'Landscape Trees '!C259</f>
        <v>Blackhaw Vibrunum</v>
      </c>
      <c r="C404" s="27" t="str">
        <f>'Landscape Trees '!D259</f>
        <v>#5</v>
      </c>
      <c r="D404" s="28" t="str">
        <f>'Landscape Trees '!E259</f>
        <v>0.25-0.5"</v>
      </c>
      <c r="E404" s="27" t="str">
        <f>'Landscape Trees '!F259</f>
        <v>2-4'</v>
      </c>
      <c r="F404" s="31">
        <f>'Landscape Trees '!G259</f>
        <v>7</v>
      </c>
      <c r="G404" s="27">
        <f>'Landscape Trees '!H259</f>
        <v>0</v>
      </c>
      <c r="H404" s="30">
        <f>'Landscape Trees '!I259</f>
        <v>40</v>
      </c>
      <c r="I404" s="27" t="str">
        <f t="shared" si="3"/>
        <v>Blackhaw Vibrunum #5-2020</v>
      </c>
      <c r="J404" s="11"/>
      <c r="K404" s="30">
        <f t="shared" si="4"/>
        <v>0</v>
      </c>
    </row>
    <row r="405">
      <c r="A405" s="27" t="str">
        <f>'Landscape Trees '!A260</f>
        <v>Viburnum trilobum</v>
      </c>
      <c r="B405" s="27" t="str">
        <f>'Landscape Trees '!C260</f>
        <v>Cranberry Viburnum</v>
      </c>
      <c r="C405" s="27" t="str">
        <f>'Landscape Trees '!D260</f>
        <v>#3</v>
      </c>
      <c r="D405" s="28" t="str">
        <f>'Landscape Trees '!E260</f>
        <v>0-0"</v>
      </c>
      <c r="E405" s="27" t="str">
        <f>'Landscape Trees '!F260</f>
        <v>1-2'</v>
      </c>
      <c r="F405" s="31">
        <f>'Landscape Trees '!G260</f>
        <v>5</v>
      </c>
      <c r="G405" s="27">
        <f>'Landscape Trees '!H260</f>
        <v>0</v>
      </c>
      <c r="H405" s="30">
        <f>'Landscape Trees '!I260</f>
        <v>35</v>
      </c>
      <c r="I405" s="27" t="str">
        <f t="shared" si="3"/>
        <v>Cranberry Viburnum #3-2020</v>
      </c>
      <c r="J405" s="11"/>
      <c r="K405" s="30">
        <f t="shared" si="4"/>
        <v>0</v>
      </c>
    </row>
    <row r="406">
      <c r="A406" s="27" t="str">
        <f>'Landscape Trees '!A261</f>
        <v>X Gordlinia grandiflora</v>
      </c>
      <c r="B406" s="27" t="str">
        <f>'Landscape Trees '!C261</f>
        <v>Gordlinia</v>
      </c>
      <c r="C406" s="27" t="str">
        <f>'Landscape Trees '!D261</f>
        <v>#5</v>
      </c>
      <c r="D406" s="28" t="str">
        <f>'Landscape Trees '!E261</f>
        <v>0-1"</v>
      </c>
      <c r="E406" s="27" t="str">
        <f>'Landscape Trees '!F261</f>
        <v>0-7'</v>
      </c>
      <c r="F406" s="29">
        <f>'Landscape Trees '!G261</f>
        <v>0</v>
      </c>
      <c r="G406" s="27">
        <f>'Landscape Trees '!H261</f>
        <v>50</v>
      </c>
      <c r="H406" s="30">
        <f>'Landscape Trees '!I261</f>
        <v>45</v>
      </c>
      <c r="I406" s="27" t="str">
        <f t="shared" si="3"/>
        <v>Gordlinia #5-2020</v>
      </c>
      <c r="J406" s="11"/>
      <c r="K406" s="30">
        <f t="shared" si="4"/>
        <v>0</v>
      </c>
    </row>
    <row r="407">
      <c r="A407" s="27" t="str">
        <f>'Landscape Trees '!A262</f>
        <v>Zelkova serrata 'Green Vase'</v>
      </c>
      <c r="B407" s="27" t="str">
        <f>'Landscape Trees '!C262</f>
        <v>Green Vase Zelkova</v>
      </c>
      <c r="C407" s="27" t="str">
        <f>'Landscape Trees '!D262</f>
        <v>#15</v>
      </c>
      <c r="D407" s="28" t="str">
        <f>'Landscape Trees '!E262</f>
        <v>0-1.5"</v>
      </c>
      <c r="E407" s="27" t="str">
        <f>'Landscape Trees '!F262</f>
        <v>0-12'</v>
      </c>
      <c r="F407" s="29">
        <f>'Landscape Trees '!G262</f>
        <v>0</v>
      </c>
      <c r="G407" s="27">
        <f>'Landscape Trees '!H262</f>
        <v>13</v>
      </c>
      <c r="H407" s="30">
        <f>'Landscape Trees '!I262</f>
        <v>115</v>
      </c>
      <c r="I407" s="27" t="str">
        <f t="shared" si="3"/>
        <v>Green Vase Zelkova #15-2020</v>
      </c>
      <c r="J407" s="11"/>
      <c r="K407" s="30">
        <f t="shared" si="4"/>
        <v>0</v>
      </c>
    </row>
    <row r="408">
      <c r="A408" s="27" t="str">
        <f>'Landscape Trees '!A263</f>
        <v>Zelkova serrata 'Musashino'</v>
      </c>
      <c r="B408" s="27" t="str">
        <f>'Landscape Trees '!C263</f>
        <v>Musashino Zelkova</v>
      </c>
      <c r="C408" s="27" t="str">
        <f>'Landscape Trees '!D263</f>
        <v>#15</v>
      </c>
      <c r="D408" s="28" t="str">
        <f>'Landscape Trees '!E263</f>
        <v>1.5-1.5"</v>
      </c>
      <c r="E408" s="27" t="str">
        <f>'Landscape Trees '!F263</f>
        <v>10-11'</v>
      </c>
      <c r="F408" s="29">
        <f>'Landscape Trees '!G263</f>
        <v>1</v>
      </c>
      <c r="G408" s="27">
        <f>'Landscape Trees '!H263</f>
        <v>0</v>
      </c>
      <c r="H408" s="30">
        <f>'Landscape Trees '!I263</f>
        <v>115</v>
      </c>
      <c r="I408" s="27" t="str">
        <f t="shared" si="3"/>
        <v>Musashino Zelkova #15-2020</v>
      </c>
      <c r="J408" s="11"/>
      <c r="K408" s="30">
        <f t="shared" si="4"/>
        <v>0</v>
      </c>
    </row>
    <row r="409">
      <c r="A409" s="27" t="str">
        <f>'Landscape Trees '!A264</f>
        <v/>
      </c>
      <c r="B409" s="27" t="str">
        <f>'Landscape Trees '!C264</f>
        <v/>
      </c>
      <c r="C409" s="27" t="str">
        <f>'Landscape Trees '!D264</f>
        <v/>
      </c>
      <c r="D409" s="27" t="str">
        <f>'Landscape Trees '!E264</f>
        <v/>
      </c>
      <c r="E409" s="27" t="str">
        <f>'Landscape Trees '!F264</f>
        <v/>
      </c>
      <c r="F409" s="31" t="str">
        <f>'Landscape Trees '!G264</f>
        <v/>
      </c>
      <c r="G409" s="27" t="str">
        <f>'Landscape Trees '!H264</f>
        <v/>
      </c>
      <c r="H409" s="27" t="str">
        <f>'Landscape Trees '!I264</f>
        <v/>
      </c>
      <c r="I409" s="27" t="str">
        <f t="shared" si="3"/>
        <v> -2020</v>
      </c>
      <c r="J409" s="11"/>
      <c r="K409" s="27">
        <f t="shared" si="4"/>
        <v>0</v>
      </c>
    </row>
    <row r="410">
      <c r="A410" s="27" t="str">
        <f>'Landscape Trees '!A265</f>
        <v/>
      </c>
      <c r="B410" s="27" t="str">
        <f>'Landscape Trees '!C265</f>
        <v/>
      </c>
      <c r="C410" s="27" t="str">
        <f>'Landscape Trees '!D265</f>
        <v/>
      </c>
      <c r="D410" s="27" t="str">
        <f>'Landscape Trees '!E265</f>
        <v/>
      </c>
      <c r="E410" s="27" t="str">
        <f>'Landscape Trees '!F265</f>
        <v/>
      </c>
      <c r="F410" s="31" t="str">
        <f>'Landscape Trees '!G265</f>
        <v/>
      </c>
      <c r="G410" s="27" t="str">
        <f>'Landscape Trees '!H265</f>
        <v/>
      </c>
      <c r="H410" s="27" t="str">
        <f>'Landscape Trees '!I265</f>
        <v/>
      </c>
      <c r="I410" s="27" t="str">
        <f t="shared" si="3"/>
        <v> -2020</v>
      </c>
      <c r="J410" s="11"/>
      <c r="K410" s="27">
        <f t="shared" si="4"/>
        <v>0</v>
      </c>
    </row>
    <row r="411">
      <c r="A411" s="27" t="str">
        <f>'Landscape Trees '!A266</f>
        <v/>
      </c>
      <c r="B411" s="27" t="str">
        <f>'Landscape Trees '!C266</f>
        <v/>
      </c>
      <c r="C411" s="27" t="str">
        <f>'Landscape Trees '!D266</f>
        <v/>
      </c>
      <c r="D411" s="27" t="str">
        <f>'Landscape Trees '!E266</f>
        <v/>
      </c>
      <c r="E411" s="27" t="str">
        <f>'Landscape Trees '!F266</f>
        <v/>
      </c>
      <c r="F411" s="31" t="str">
        <f>'Landscape Trees '!G266</f>
        <v/>
      </c>
      <c r="G411" s="27" t="str">
        <f>'Landscape Trees '!H266</f>
        <v/>
      </c>
      <c r="H411" s="27" t="str">
        <f>'Landscape Trees '!I266</f>
        <v/>
      </c>
      <c r="I411" s="27" t="str">
        <f t="shared" si="3"/>
        <v> -2020</v>
      </c>
      <c r="J411" s="11"/>
      <c r="K411" s="27">
        <f t="shared" si="4"/>
        <v>0</v>
      </c>
    </row>
    <row r="412">
      <c r="A412" s="27" t="str">
        <f>'Landscape Trees '!A267</f>
        <v/>
      </c>
      <c r="B412" s="27" t="str">
        <f>'Landscape Trees '!C267</f>
        <v/>
      </c>
      <c r="C412" s="27" t="str">
        <f>'Landscape Trees '!D267</f>
        <v/>
      </c>
      <c r="D412" s="27" t="str">
        <f>'Landscape Trees '!E267</f>
        <v/>
      </c>
      <c r="E412" s="27" t="str">
        <f>'Landscape Trees '!F267</f>
        <v/>
      </c>
      <c r="F412" s="31" t="str">
        <f>'Landscape Trees '!G267</f>
        <v/>
      </c>
      <c r="G412" s="27" t="str">
        <f>'Landscape Trees '!H267</f>
        <v/>
      </c>
      <c r="H412" s="27" t="str">
        <f>'Landscape Trees '!I267</f>
        <v/>
      </c>
      <c r="I412" s="27" t="str">
        <f t="shared" si="3"/>
        <v> -2020</v>
      </c>
      <c r="J412" s="11"/>
      <c r="K412" s="27">
        <f t="shared" si="4"/>
        <v>0</v>
      </c>
    </row>
    <row r="413">
      <c r="A413" s="27" t="str">
        <f>'Landscape Trees '!A268</f>
        <v/>
      </c>
      <c r="B413" s="27" t="str">
        <f>'Landscape Trees '!C268</f>
        <v/>
      </c>
      <c r="C413" s="27" t="str">
        <f>'Landscape Trees '!D268</f>
        <v/>
      </c>
      <c r="D413" s="27" t="str">
        <f>'Landscape Trees '!E268</f>
        <v/>
      </c>
      <c r="E413" s="27" t="str">
        <f>'Landscape Trees '!F268</f>
        <v/>
      </c>
      <c r="F413" s="31" t="str">
        <f>'Landscape Trees '!G268</f>
        <v/>
      </c>
      <c r="G413" s="27" t="str">
        <f>'Landscape Trees '!H268</f>
        <v/>
      </c>
      <c r="H413" s="27" t="str">
        <f>'Landscape Trees '!I268</f>
        <v/>
      </c>
      <c r="I413" s="27" t="str">
        <f t="shared" si="3"/>
        <v> -2020</v>
      </c>
      <c r="J413" s="11"/>
      <c r="K413" s="27">
        <f t="shared" si="4"/>
        <v>0</v>
      </c>
    </row>
    <row r="414">
      <c r="A414" s="27" t="str">
        <f>'Landscape Trees '!A269</f>
        <v/>
      </c>
      <c r="B414" s="27" t="str">
        <f>'Landscape Trees '!C269</f>
        <v/>
      </c>
      <c r="C414" s="27" t="str">
        <f>'Landscape Trees '!D269</f>
        <v/>
      </c>
      <c r="D414" s="27" t="str">
        <f>'Landscape Trees '!E269</f>
        <v/>
      </c>
      <c r="E414" s="27" t="str">
        <f>'Landscape Trees '!F269</f>
        <v/>
      </c>
      <c r="F414" s="31" t="str">
        <f>'Landscape Trees '!G269</f>
        <v/>
      </c>
      <c r="G414" s="27" t="str">
        <f>'Landscape Trees '!H269</f>
        <v/>
      </c>
      <c r="H414" s="27" t="str">
        <f>'Landscape Trees '!I269</f>
        <v/>
      </c>
      <c r="I414" s="27" t="str">
        <f t="shared" si="3"/>
        <v> -2020</v>
      </c>
      <c r="J414" s="11"/>
      <c r="K414" s="27">
        <f t="shared" si="4"/>
        <v>0</v>
      </c>
    </row>
    <row r="415">
      <c r="A415" s="27" t="str">
        <f>'Landscape Trees '!A270</f>
        <v/>
      </c>
      <c r="B415" s="27" t="str">
        <f>'Landscape Trees '!C270</f>
        <v/>
      </c>
      <c r="C415" s="27" t="str">
        <f>'Landscape Trees '!D270</f>
        <v/>
      </c>
      <c r="D415" s="27" t="str">
        <f>'Landscape Trees '!E270</f>
        <v/>
      </c>
      <c r="E415" s="27" t="str">
        <f>'Landscape Trees '!F270</f>
        <v/>
      </c>
      <c r="F415" s="31" t="str">
        <f>'Landscape Trees '!G270</f>
        <v/>
      </c>
      <c r="G415" s="27" t="str">
        <f>'Landscape Trees '!H270</f>
        <v/>
      </c>
      <c r="H415" s="27" t="str">
        <f>'Landscape Trees '!I270</f>
        <v/>
      </c>
      <c r="I415" s="27" t="str">
        <f t="shared" si="3"/>
        <v> -2020</v>
      </c>
      <c r="J415" s="11"/>
      <c r="K415" s="27">
        <f t="shared" si="4"/>
        <v>0</v>
      </c>
    </row>
    <row r="416">
      <c r="A416" s="27" t="str">
        <f>'Landscape Trees '!A271</f>
        <v/>
      </c>
      <c r="B416" s="27" t="str">
        <f>'Landscape Trees '!C271</f>
        <v/>
      </c>
      <c r="C416" s="27" t="str">
        <f>'Landscape Trees '!D271</f>
        <v/>
      </c>
      <c r="D416" s="27" t="str">
        <f>'Landscape Trees '!E271</f>
        <v/>
      </c>
      <c r="E416" s="27" t="str">
        <f>'Landscape Trees '!F271</f>
        <v/>
      </c>
      <c r="F416" s="31" t="str">
        <f>'Landscape Trees '!G271</f>
        <v/>
      </c>
      <c r="G416" s="27" t="str">
        <f>'Landscape Trees '!H271</f>
        <v/>
      </c>
      <c r="H416" s="27" t="str">
        <f>'Landscape Trees '!I271</f>
        <v/>
      </c>
      <c r="I416" s="27" t="str">
        <f t="shared" si="3"/>
        <v> -2020</v>
      </c>
      <c r="J416" s="11"/>
      <c r="K416" s="27">
        <f t="shared" si="4"/>
        <v>0</v>
      </c>
    </row>
    <row r="417">
      <c r="A417" s="27" t="str">
        <f>'Landscape Trees '!A272</f>
        <v/>
      </c>
      <c r="B417" s="27" t="str">
        <f>'Landscape Trees '!C272</f>
        <v/>
      </c>
      <c r="C417" s="27" t="str">
        <f>'Landscape Trees '!D272</f>
        <v/>
      </c>
      <c r="D417" s="27" t="str">
        <f>'Landscape Trees '!E272</f>
        <v/>
      </c>
      <c r="E417" s="27" t="str">
        <f>'Landscape Trees '!F272</f>
        <v/>
      </c>
      <c r="F417" s="31" t="str">
        <f>'Landscape Trees '!G272</f>
        <v/>
      </c>
      <c r="G417" s="27" t="str">
        <f>'Landscape Trees '!H272</f>
        <v/>
      </c>
      <c r="H417" s="27" t="str">
        <f>'Landscape Trees '!I272</f>
        <v/>
      </c>
      <c r="I417" s="27" t="str">
        <f t="shared" si="3"/>
        <v> -2020</v>
      </c>
      <c r="J417" s="11"/>
      <c r="K417" s="27">
        <f t="shared" si="4"/>
        <v>0</v>
      </c>
    </row>
    <row r="418">
      <c r="A418" s="27" t="str">
        <f>'Landscape Trees '!A273</f>
        <v/>
      </c>
      <c r="B418" s="27" t="str">
        <f>'Landscape Trees '!C273</f>
        <v/>
      </c>
      <c r="C418" s="27" t="str">
        <f>'Landscape Trees '!D273</f>
        <v/>
      </c>
      <c r="D418" s="27" t="str">
        <f>'Landscape Trees '!E273</f>
        <v/>
      </c>
      <c r="E418" s="27" t="str">
        <f>'Landscape Trees '!F273</f>
        <v/>
      </c>
      <c r="F418" s="31" t="str">
        <f>'Landscape Trees '!G273</f>
        <v/>
      </c>
      <c r="G418" s="27" t="str">
        <f>'Landscape Trees '!H273</f>
        <v/>
      </c>
      <c r="H418" s="27" t="str">
        <f>'Landscape Trees '!I273</f>
        <v/>
      </c>
      <c r="I418" s="27" t="str">
        <f t="shared" si="3"/>
        <v> -2020</v>
      </c>
      <c r="J418" s="11"/>
      <c r="K418" s="27">
        <f t="shared" si="4"/>
        <v>0</v>
      </c>
    </row>
    <row r="419">
      <c r="A419" s="27" t="str">
        <f>'Landscape Trees '!A274</f>
        <v/>
      </c>
      <c r="B419" s="27" t="str">
        <f>'Landscape Trees '!C274</f>
        <v/>
      </c>
      <c r="C419" s="27" t="str">
        <f>'Landscape Trees '!D274</f>
        <v/>
      </c>
      <c r="D419" s="27" t="str">
        <f>'Landscape Trees '!E274</f>
        <v/>
      </c>
      <c r="E419" s="27" t="str">
        <f>'Landscape Trees '!F274</f>
        <v/>
      </c>
      <c r="F419" s="31" t="str">
        <f>'Landscape Trees '!G274</f>
        <v/>
      </c>
      <c r="G419" s="27" t="str">
        <f>'Landscape Trees '!H274</f>
        <v/>
      </c>
      <c r="H419" s="27" t="str">
        <f>'Landscape Trees '!I274</f>
        <v/>
      </c>
      <c r="I419" s="27" t="str">
        <f t="shared" si="3"/>
        <v> -2020</v>
      </c>
      <c r="J419" s="11"/>
      <c r="K419" s="27">
        <f t="shared" si="4"/>
        <v>0</v>
      </c>
    </row>
    <row r="420">
      <c r="A420" s="27" t="str">
        <f>'Landscape Trees '!A275</f>
        <v/>
      </c>
      <c r="B420" s="27" t="str">
        <f>'Landscape Trees '!C275</f>
        <v/>
      </c>
      <c r="C420" s="27" t="str">
        <f>'Landscape Trees '!D275</f>
        <v/>
      </c>
      <c r="D420" s="27" t="str">
        <f>'Landscape Trees '!E275</f>
        <v/>
      </c>
      <c r="E420" s="27" t="str">
        <f>'Landscape Trees '!F275</f>
        <v/>
      </c>
      <c r="F420" s="31" t="str">
        <f>'Landscape Trees '!G275</f>
        <v/>
      </c>
      <c r="G420" s="27" t="str">
        <f>'Landscape Trees '!H275</f>
        <v/>
      </c>
      <c r="H420" s="27" t="str">
        <f>'Landscape Trees '!I275</f>
        <v/>
      </c>
      <c r="I420" s="27" t="str">
        <f t="shared" si="3"/>
        <v> -2020</v>
      </c>
      <c r="J420" s="11"/>
      <c r="K420" s="27">
        <f t="shared" si="4"/>
        <v>0</v>
      </c>
    </row>
    <row r="421">
      <c r="A421" s="27" t="str">
        <f>'Landscape Trees '!A276</f>
        <v/>
      </c>
      <c r="B421" s="27" t="str">
        <f>'Landscape Trees '!C276</f>
        <v/>
      </c>
      <c r="C421" s="27" t="str">
        <f>'Landscape Trees '!D276</f>
        <v/>
      </c>
      <c r="D421" s="27" t="str">
        <f>'Landscape Trees '!E276</f>
        <v/>
      </c>
      <c r="E421" s="27" t="str">
        <f>'Landscape Trees '!F276</f>
        <v/>
      </c>
      <c r="F421" s="31" t="str">
        <f>'Landscape Trees '!G276</f>
        <v/>
      </c>
      <c r="G421" s="27" t="str">
        <f>'Landscape Trees '!H276</f>
        <v/>
      </c>
      <c r="H421" s="27" t="str">
        <f>'Landscape Trees '!I276</f>
        <v/>
      </c>
      <c r="I421" s="27" t="str">
        <f t="shared" si="3"/>
        <v> -2020</v>
      </c>
      <c r="J421" s="11"/>
      <c r="K421" s="27">
        <f t="shared" si="4"/>
        <v>0</v>
      </c>
    </row>
    <row r="422">
      <c r="A422" s="27" t="str">
        <f>'Landscape Trees '!A277</f>
        <v/>
      </c>
      <c r="B422" s="27" t="str">
        <f>'Landscape Trees '!C277</f>
        <v/>
      </c>
      <c r="C422" s="27" t="str">
        <f>'Landscape Trees '!D277</f>
        <v/>
      </c>
      <c r="D422" s="27" t="str">
        <f>'Landscape Trees '!E277</f>
        <v/>
      </c>
      <c r="E422" s="27" t="str">
        <f>'Landscape Trees '!F277</f>
        <v/>
      </c>
      <c r="F422" s="31" t="str">
        <f>'Landscape Trees '!G277</f>
        <v/>
      </c>
      <c r="G422" s="27" t="str">
        <f>'Landscape Trees '!H277</f>
        <v/>
      </c>
      <c r="H422" s="27" t="str">
        <f>'Landscape Trees '!I277</f>
        <v/>
      </c>
      <c r="I422" s="27" t="str">
        <f t="shared" si="3"/>
        <v> -2020</v>
      </c>
      <c r="J422" s="11"/>
      <c r="K422" s="27">
        <f t="shared" si="4"/>
        <v>0</v>
      </c>
    </row>
    <row r="423">
      <c r="A423" s="27" t="str">
        <f>'Landscape Trees '!A278</f>
        <v/>
      </c>
      <c r="B423" s="27" t="str">
        <f>'Landscape Trees '!C278</f>
        <v/>
      </c>
      <c r="C423" s="27" t="str">
        <f>'Landscape Trees '!D278</f>
        <v/>
      </c>
      <c r="D423" s="27" t="str">
        <f>'Landscape Trees '!E278</f>
        <v/>
      </c>
      <c r="E423" s="27" t="str">
        <f>'Landscape Trees '!F278</f>
        <v/>
      </c>
      <c r="F423" s="31" t="str">
        <f>'Landscape Trees '!G278</f>
        <v/>
      </c>
      <c r="G423" s="27" t="str">
        <f>'Landscape Trees '!H278</f>
        <v/>
      </c>
      <c r="H423" s="27" t="str">
        <f>'Landscape Trees '!I278</f>
        <v/>
      </c>
      <c r="I423" s="27" t="str">
        <f t="shared" si="3"/>
        <v> -2020</v>
      </c>
      <c r="J423" s="11"/>
      <c r="K423" s="27">
        <f t="shared" si="4"/>
        <v>0</v>
      </c>
    </row>
    <row r="424">
      <c r="A424" s="27" t="str">
        <f>'Landscape Trees '!A279</f>
        <v/>
      </c>
      <c r="B424" s="27" t="str">
        <f>'Landscape Trees '!C279</f>
        <v/>
      </c>
      <c r="C424" s="27" t="str">
        <f>'Landscape Trees '!D279</f>
        <v/>
      </c>
      <c r="D424" s="27" t="str">
        <f>'Landscape Trees '!E279</f>
        <v/>
      </c>
      <c r="E424" s="27" t="str">
        <f>'Landscape Trees '!F279</f>
        <v/>
      </c>
      <c r="F424" s="31" t="str">
        <f>'Landscape Trees '!G279</f>
        <v/>
      </c>
      <c r="G424" s="27" t="str">
        <f>'Landscape Trees '!H279</f>
        <v/>
      </c>
      <c r="H424" s="27" t="str">
        <f>'Landscape Trees '!I279</f>
        <v/>
      </c>
      <c r="I424" s="27" t="str">
        <f t="shared" si="3"/>
        <v> -2020</v>
      </c>
      <c r="J424" s="11"/>
      <c r="K424" s="27">
        <f t="shared" si="4"/>
        <v>0</v>
      </c>
    </row>
    <row r="425">
      <c r="A425" s="27" t="str">
        <f>'Landscape Trees '!A280</f>
        <v/>
      </c>
      <c r="B425" s="27" t="str">
        <f>'Landscape Trees '!C280</f>
        <v/>
      </c>
      <c r="C425" s="27" t="str">
        <f>'Landscape Trees '!D280</f>
        <v/>
      </c>
      <c r="D425" s="27" t="str">
        <f>'Landscape Trees '!E280</f>
        <v/>
      </c>
      <c r="E425" s="27" t="str">
        <f>'Landscape Trees '!F280</f>
        <v/>
      </c>
      <c r="F425" s="31" t="str">
        <f>'Landscape Trees '!G280</f>
        <v/>
      </c>
      <c r="G425" s="27" t="str">
        <f>'Landscape Trees '!H280</f>
        <v/>
      </c>
      <c r="H425" s="27" t="str">
        <f>'Landscape Trees '!I280</f>
        <v/>
      </c>
      <c r="I425" s="27" t="str">
        <f t="shared" si="3"/>
        <v> -2020</v>
      </c>
      <c r="J425" s="11"/>
      <c r="K425" s="27">
        <f t="shared" si="4"/>
        <v>0</v>
      </c>
    </row>
    <row r="426">
      <c r="A426" s="27" t="str">
        <f>'Landscape Trees '!A281</f>
        <v/>
      </c>
      <c r="B426" s="27" t="str">
        <f>'Landscape Trees '!C281</f>
        <v/>
      </c>
      <c r="C426" s="27" t="str">
        <f>'Landscape Trees '!D281</f>
        <v/>
      </c>
      <c r="D426" s="27" t="str">
        <f>'Landscape Trees '!E281</f>
        <v/>
      </c>
      <c r="E426" s="27" t="str">
        <f>'Landscape Trees '!F281</f>
        <v/>
      </c>
      <c r="F426" s="31" t="str">
        <f>'Landscape Trees '!G281</f>
        <v/>
      </c>
      <c r="G426" s="27" t="str">
        <f>'Landscape Trees '!H281</f>
        <v/>
      </c>
      <c r="H426" s="27" t="str">
        <f>'Landscape Trees '!I281</f>
        <v/>
      </c>
      <c r="I426" s="27" t="str">
        <f t="shared" si="3"/>
        <v> -2020</v>
      </c>
      <c r="J426" s="11"/>
      <c r="K426" s="27">
        <f t="shared" si="4"/>
        <v>0</v>
      </c>
    </row>
    <row r="427">
      <c r="A427" s="27" t="str">
        <f>'Landscape Trees '!A282</f>
        <v/>
      </c>
      <c r="B427" s="27" t="str">
        <f>'Landscape Trees '!C282</f>
        <v/>
      </c>
      <c r="C427" s="27" t="str">
        <f>'Landscape Trees '!D282</f>
        <v/>
      </c>
      <c r="D427" s="27" t="str">
        <f>'Landscape Trees '!E282</f>
        <v/>
      </c>
      <c r="E427" s="27" t="str">
        <f>'Landscape Trees '!F282</f>
        <v/>
      </c>
      <c r="F427" s="31" t="str">
        <f>'Landscape Trees '!G282</f>
        <v/>
      </c>
      <c r="G427" s="27" t="str">
        <f>'Landscape Trees '!H282</f>
        <v/>
      </c>
      <c r="H427" s="27" t="str">
        <f>'Landscape Trees '!I282</f>
        <v/>
      </c>
      <c r="I427" s="27" t="str">
        <f t="shared" si="3"/>
        <v> -2020</v>
      </c>
      <c r="J427" s="11"/>
      <c r="K427" s="27">
        <f t="shared" si="4"/>
        <v>0</v>
      </c>
    </row>
    <row r="428">
      <c r="A428" s="27" t="str">
        <f>'Landscape Trees '!A283</f>
        <v/>
      </c>
      <c r="B428" s="27" t="str">
        <f>'Landscape Trees '!C283</f>
        <v/>
      </c>
      <c r="C428" s="27" t="str">
        <f>'Landscape Trees '!D283</f>
        <v/>
      </c>
      <c r="D428" s="27" t="str">
        <f>'Landscape Trees '!E283</f>
        <v/>
      </c>
      <c r="E428" s="27" t="str">
        <f>'Landscape Trees '!F283</f>
        <v/>
      </c>
      <c r="F428" s="31" t="str">
        <f>'Landscape Trees '!G283</f>
        <v/>
      </c>
      <c r="G428" s="27" t="str">
        <f>'Landscape Trees '!H283</f>
        <v/>
      </c>
      <c r="H428" s="27" t="str">
        <f>'Landscape Trees '!I283</f>
        <v/>
      </c>
      <c r="I428" s="27" t="str">
        <f t="shared" si="3"/>
        <v> -2020</v>
      </c>
      <c r="J428" s="11"/>
      <c r="K428" s="27">
        <f t="shared" si="4"/>
        <v>0</v>
      </c>
    </row>
    <row r="429">
      <c r="A429" s="27" t="str">
        <f>'Landscape Trees '!A284</f>
        <v/>
      </c>
      <c r="B429" s="27" t="str">
        <f>'Landscape Trees '!C284</f>
        <v/>
      </c>
      <c r="C429" s="27" t="str">
        <f>'Landscape Trees '!D284</f>
        <v/>
      </c>
      <c r="D429" s="27" t="str">
        <f>'Landscape Trees '!E284</f>
        <v/>
      </c>
      <c r="E429" s="27" t="str">
        <f>'Landscape Trees '!F284</f>
        <v/>
      </c>
      <c r="F429" s="31" t="str">
        <f>'Landscape Trees '!G284</f>
        <v/>
      </c>
      <c r="G429" s="27" t="str">
        <f>'Landscape Trees '!H284</f>
        <v/>
      </c>
      <c r="H429" s="27" t="str">
        <f>'Landscape Trees '!I284</f>
        <v/>
      </c>
      <c r="I429" s="27" t="str">
        <f t="shared" si="3"/>
        <v> -2020</v>
      </c>
      <c r="J429" s="11"/>
      <c r="K429" s="27">
        <f t="shared" si="4"/>
        <v>0</v>
      </c>
    </row>
    <row r="430">
      <c r="A430" s="27" t="str">
        <f>'Landscape Trees '!A285</f>
        <v/>
      </c>
      <c r="B430" s="27" t="str">
        <f>'Landscape Trees '!C285</f>
        <v/>
      </c>
      <c r="C430" s="27" t="str">
        <f>'Landscape Trees '!D285</f>
        <v/>
      </c>
      <c r="D430" s="27" t="str">
        <f>'Landscape Trees '!E285</f>
        <v/>
      </c>
      <c r="E430" s="27" t="str">
        <f>'Landscape Trees '!F285</f>
        <v/>
      </c>
      <c r="F430" s="31" t="str">
        <f>'Landscape Trees '!G285</f>
        <v/>
      </c>
      <c r="G430" s="27" t="str">
        <f>'Landscape Trees '!H285</f>
        <v/>
      </c>
      <c r="H430" s="27" t="str">
        <f>'Landscape Trees '!I285</f>
        <v/>
      </c>
      <c r="I430" s="27" t="str">
        <f t="shared" si="3"/>
        <v> -2020</v>
      </c>
      <c r="J430" s="11"/>
      <c r="K430" s="27">
        <f t="shared" si="4"/>
        <v>0</v>
      </c>
    </row>
    <row r="431">
      <c r="A431" s="27" t="str">
        <f>'Landscape Trees '!A286</f>
        <v/>
      </c>
      <c r="B431" s="27" t="str">
        <f>'Landscape Trees '!C286</f>
        <v/>
      </c>
      <c r="C431" s="27" t="str">
        <f>'Landscape Trees '!D286</f>
        <v/>
      </c>
      <c r="D431" s="27" t="str">
        <f>'Landscape Trees '!E286</f>
        <v/>
      </c>
      <c r="E431" s="27" t="str">
        <f>'Landscape Trees '!F286</f>
        <v/>
      </c>
      <c r="F431" s="31" t="str">
        <f>'Landscape Trees '!G286</f>
        <v/>
      </c>
      <c r="G431" s="27" t="str">
        <f>'Landscape Trees '!H286</f>
        <v/>
      </c>
      <c r="H431" s="27" t="str">
        <f>'Landscape Trees '!I286</f>
        <v/>
      </c>
      <c r="I431" s="27" t="str">
        <f t="shared" si="3"/>
        <v> -2020</v>
      </c>
      <c r="J431" s="11"/>
      <c r="K431" s="27">
        <f t="shared" si="4"/>
        <v>0</v>
      </c>
    </row>
    <row r="432">
      <c r="A432" s="27" t="str">
        <f>'Landscape Trees '!A287</f>
        <v/>
      </c>
      <c r="B432" s="27" t="str">
        <f>'Landscape Trees '!C287</f>
        <v/>
      </c>
      <c r="C432" s="27" t="str">
        <f>'Landscape Trees '!D287</f>
        <v/>
      </c>
      <c r="D432" s="27" t="str">
        <f>'Landscape Trees '!E287</f>
        <v/>
      </c>
      <c r="E432" s="27" t="str">
        <f>'Landscape Trees '!F287</f>
        <v/>
      </c>
      <c r="F432" s="31" t="str">
        <f>'Landscape Trees '!G287</f>
        <v/>
      </c>
      <c r="G432" s="27" t="str">
        <f>'Landscape Trees '!H287</f>
        <v/>
      </c>
      <c r="H432" s="27" t="str">
        <f>'Landscape Trees '!I287</f>
        <v/>
      </c>
      <c r="I432" s="27" t="str">
        <f t="shared" si="3"/>
        <v> -2020</v>
      </c>
      <c r="J432" s="11"/>
      <c r="K432" s="27">
        <f t="shared" si="4"/>
        <v>0</v>
      </c>
    </row>
    <row r="433">
      <c r="A433" s="27" t="str">
        <f>'Landscape Trees '!A288</f>
        <v/>
      </c>
      <c r="B433" s="27" t="str">
        <f>'Landscape Trees '!C288</f>
        <v/>
      </c>
      <c r="C433" s="27" t="str">
        <f>'Landscape Trees '!D288</f>
        <v/>
      </c>
      <c r="D433" s="27" t="str">
        <f>'Landscape Trees '!E288</f>
        <v/>
      </c>
      <c r="E433" s="27" t="str">
        <f>'Landscape Trees '!F288</f>
        <v/>
      </c>
      <c r="F433" s="31" t="str">
        <f>'Landscape Trees '!G288</f>
        <v/>
      </c>
      <c r="G433" s="27" t="str">
        <f>'Landscape Trees '!H288</f>
        <v/>
      </c>
      <c r="H433" s="27" t="str">
        <f>'Landscape Trees '!I288</f>
        <v/>
      </c>
      <c r="I433" s="27" t="str">
        <f t="shared" si="3"/>
        <v> -2020</v>
      </c>
      <c r="J433" s="11"/>
      <c r="K433" s="27">
        <f t="shared" si="4"/>
        <v>0</v>
      </c>
    </row>
    <row r="434">
      <c r="A434" s="27" t="str">
        <f>'Landscape Trees '!A289</f>
        <v/>
      </c>
      <c r="B434" s="27" t="str">
        <f>'Landscape Trees '!C289</f>
        <v/>
      </c>
      <c r="C434" s="27" t="str">
        <f>'Landscape Trees '!D289</f>
        <v/>
      </c>
      <c r="D434" s="27" t="str">
        <f>'Landscape Trees '!E289</f>
        <v/>
      </c>
      <c r="E434" s="27" t="str">
        <f>'Landscape Trees '!F289</f>
        <v/>
      </c>
      <c r="F434" s="31" t="str">
        <f>'Landscape Trees '!G289</f>
        <v/>
      </c>
      <c r="G434" s="27" t="str">
        <f>'Landscape Trees '!H289</f>
        <v/>
      </c>
      <c r="H434" s="27" t="str">
        <f>'Landscape Trees '!I289</f>
        <v/>
      </c>
      <c r="I434" s="27" t="str">
        <f t="shared" si="3"/>
        <v> -2020</v>
      </c>
      <c r="J434" s="11"/>
      <c r="K434" s="27">
        <f t="shared" si="4"/>
        <v>0</v>
      </c>
    </row>
    <row r="435">
      <c r="A435" s="27" t="str">
        <f>'Landscape Trees '!A290</f>
        <v/>
      </c>
      <c r="B435" s="27" t="str">
        <f>'Landscape Trees '!C290</f>
        <v/>
      </c>
      <c r="C435" s="27" t="str">
        <f>'Landscape Trees '!D290</f>
        <v/>
      </c>
      <c r="D435" s="27" t="str">
        <f>'Landscape Trees '!E290</f>
        <v/>
      </c>
      <c r="E435" s="27" t="str">
        <f>'Landscape Trees '!F290</f>
        <v/>
      </c>
      <c r="F435" s="31" t="str">
        <f>'Landscape Trees '!G290</f>
        <v/>
      </c>
      <c r="G435" s="27" t="str">
        <f>'Landscape Trees '!H290</f>
        <v/>
      </c>
      <c r="H435" s="27" t="str">
        <f>'Landscape Trees '!I290</f>
        <v/>
      </c>
      <c r="I435" s="27" t="str">
        <f t="shared" si="3"/>
        <v> -2020</v>
      </c>
      <c r="J435" s="11"/>
      <c r="K435" s="27">
        <f t="shared" si="4"/>
        <v>0</v>
      </c>
    </row>
    <row r="436">
      <c r="A436" s="27" t="str">
        <f>'Landscape Trees '!A291</f>
        <v/>
      </c>
      <c r="B436" s="27" t="str">
        <f>'Landscape Trees '!C291</f>
        <v/>
      </c>
      <c r="C436" s="27" t="str">
        <f>'Landscape Trees '!D291</f>
        <v/>
      </c>
      <c r="D436" s="27" t="str">
        <f>'Landscape Trees '!E291</f>
        <v/>
      </c>
      <c r="E436" s="27" t="str">
        <f>'Landscape Trees '!F291</f>
        <v/>
      </c>
      <c r="F436" s="31" t="str">
        <f>'Landscape Trees '!G291</f>
        <v/>
      </c>
      <c r="G436" s="27" t="str">
        <f>'Landscape Trees '!H291</f>
        <v/>
      </c>
      <c r="H436" s="27" t="str">
        <f>'Landscape Trees '!I291</f>
        <v/>
      </c>
      <c r="I436" s="27" t="str">
        <f t="shared" si="3"/>
        <v> -2020</v>
      </c>
      <c r="J436" s="11"/>
      <c r="K436" s="27">
        <f t="shared" si="4"/>
        <v>0</v>
      </c>
    </row>
    <row r="437">
      <c r="A437" s="27" t="str">
        <f>'Landscape Trees '!A292</f>
        <v/>
      </c>
      <c r="B437" s="27" t="str">
        <f>'Landscape Trees '!C292</f>
        <v/>
      </c>
      <c r="C437" s="27" t="str">
        <f>'Landscape Trees '!D292</f>
        <v/>
      </c>
      <c r="D437" s="27" t="str">
        <f>'Landscape Trees '!E292</f>
        <v/>
      </c>
      <c r="E437" s="27" t="str">
        <f>'Landscape Trees '!F292</f>
        <v/>
      </c>
      <c r="F437" s="31" t="str">
        <f>'Landscape Trees '!G292</f>
        <v/>
      </c>
      <c r="G437" s="27" t="str">
        <f>'Landscape Trees '!H292</f>
        <v/>
      </c>
      <c r="H437" s="27" t="str">
        <f>'Landscape Trees '!I292</f>
        <v/>
      </c>
      <c r="I437" s="27" t="str">
        <f t="shared" si="3"/>
        <v> -2020</v>
      </c>
      <c r="J437" s="11"/>
      <c r="K437" s="27">
        <f t="shared" si="4"/>
        <v>0</v>
      </c>
    </row>
    <row r="438">
      <c r="A438" s="27" t="str">
        <f>'Landscape Trees '!A293</f>
        <v/>
      </c>
      <c r="B438" s="27" t="str">
        <f>'Landscape Trees '!C293</f>
        <v/>
      </c>
      <c r="C438" s="27" t="str">
        <f>'Landscape Trees '!D293</f>
        <v/>
      </c>
      <c r="D438" s="27" t="str">
        <f>'Landscape Trees '!E293</f>
        <v/>
      </c>
      <c r="E438" s="27" t="str">
        <f>'Landscape Trees '!F293</f>
        <v/>
      </c>
      <c r="F438" s="31" t="str">
        <f>'Landscape Trees '!G293</f>
        <v/>
      </c>
      <c r="G438" s="27" t="str">
        <f>'Landscape Trees '!H293</f>
        <v/>
      </c>
      <c r="H438" s="27" t="str">
        <f>'Landscape Trees '!I293</f>
        <v/>
      </c>
      <c r="I438" s="27" t="str">
        <f t="shared" si="3"/>
        <v> -2020</v>
      </c>
      <c r="J438" s="11"/>
      <c r="K438" s="27">
        <f t="shared" si="4"/>
        <v>0</v>
      </c>
    </row>
    <row r="439">
      <c r="A439" s="27" t="str">
        <f>'Landscape Trees '!A294</f>
        <v/>
      </c>
      <c r="B439" s="27" t="str">
        <f>'Landscape Trees '!C294</f>
        <v/>
      </c>
      <c r="C439" s="27" t="str">
        <f>'Landscape Trees '!D294</f>
        <v/>
      </c>
      <c r="D439" s="27" t="str">
        <f>'Landscape Trees '!E294</f>
        <v/>
      </c>
      <c r="E439" s="27" t="str">
        <f>'Landscape Trees '!F294</f>
        <v/>
      </c>
      <c r="F439" s="31" t="str">
        <f>'Landscape Trees '!G294</f>
        <v/>
      </c>
      <c r="G439" s="27" t="str">
        <f>'Landscape Trees '!H294</f>
        <v/>
      </c>
      <c r="H439" s="27" t="str">
        <f>'Landscape Trees '!I294</f>
        <v/>
      </c>
      <c r="I439" s="27" t="str">
        <f t="shared" si="3"/>
        <v> -2020</v>
      </c>
      <c r="J439" s="11"/>
      <c r="K439" s="27">
        <f t="shared" si="4"/>
        <v>0</v>
      </c>
    </row>
    <row r="440">
      <c r="A440" s="27" t="str">
        <f>'Landscape Trees '!A295</f>
        <v/>
      </c>
      <c r="B440" s="27" t="str">
        <f>'Landscape Trees '!C295</f>
        <v/>
      </c>
      <c r="C440" s="27" t="str">
        <f>'Landscape Trees '!D295</f>
        <v/>
      </c>
      <c r="D440" s="27" t="str">
        <f>'Landscape Trees '!E295</f>
        <v/>
      </c>
      <c r="E440" s="27" t="str">
        <f>'Landscape Trees '!F295</f>
        <v/>
      </c>
      <c r="F440" s="31" t="str">
        <f>'Landscape Trees '!G295</f>
        <v/>
      </c>
      <c r="G440" s="27" t="str">
        <f>'Landscape Trees '!H295</f>
        <v/>
      </c>
      <c r="H440" s="27" t="str">
        <f>'Landscape Trees '!I295</f>
        <v/>
      </c>
      <c r="I440" s="27" t="str">
        <f t="shared" si="3"/>
        <v> -2020</v>
      </c>
      <c r="J440" s="11"/>
      <c r="K440" s="27">
        <f t="shared" si="4"/>
        <v>0</v>
      </c>
    </row>
    <row r="441">
      <c r="A441" s="27" t="str">
        <f>'Landscape Trees '!A296</f>
        <v/>
      </c>
      <c r="B441" s="27" t="str">
        <f>'Landscape Trees '!C296</f>
        <v/>
      </c>
      <c r="C441" s="27" t="str">
        <f>'Landscape Trees '!D296</f>
        <v/>
      </c>
      <c r="D441" s="27" t="str">
        <f>'Landscape Trees '!E296</f>
        <v/>
      </c>
      <c r="E441" s="27" t="str">
        <f>'Landscape Trees '!F296</f>
        <v/>
      </c>
      <c r="F441" s="31" t="str">
        <f>'Landscape Trees '!G296</f>
        <v/>
      </c>
      <c r="G441" s="27" t="str">
        <f>'Landscape Trees '!H296</f>
        <v/>
      </c>
      <c r="H441" s="27" t="str">
        <f>'Landscape Trees '!I296</f>
        <v/>
      </c>
      <c r="I441" s="27" t="str">
        <f t="shared" si="3"/>
        <v> -2020</v>
      </c>
      <c r="J441" s="11"/>
      <c r="K441" s="27">
        <f t="shared" si="4"/>
        <v>0</v>
      </c>
    </row>
    <row r="442">
      <c r="A442" s="27" t="str">
        <f>'Landscape Trees '!A297</f>
        <v/>
      </c>
      <c r="B442" s="27" t="str">
        <f>'Landscape Trees '!C297</f>
        <v/>
      </c>
      <c r="C442" s="27" t="str">
        <f>'Landscape Trees '!D297</f>
        <v/>
      </c>
      <c r="D442" s="27" t="str">
        <f>'Landscape Trees '!E297</f>
        <v/>
      </c>
      <c r="E442" s="27" t="str">
        <f>'Landscape Trees '!F297</f>
        <v/>
      </c>
      <c r="F442" s="31" t="str">
        <f>'Landscape Trees '!G297</f>
        <v/>
      </c>
      <c r="G442" s="27" t="str">
        <f>'Landscape Trees '!H297</f>
        <v/>
      </c>
      <c r="H442" s="27" t="str">
        <f>'Landscape Trees '!I297</f>
        <v/>
      </c>
      <c r="I442" s="27" t="str">
        <f t="shared" si="3"/>
        <v> -2020</v>
      </c>
      <c r="J442" s="11"/>
      <c r="K442" s="27">
        <f t="shared" si="4"/>
        <v>0</v>
      </c>
    </row>
    <row r="443">
      <c r="A443" s="27" t="str">
        <f>'Landscape Trees '!A298</f>
        <v/>
      </c>
      <c r="B443" s="27" t="str">
        <f>'Landscape Trees '!C298</f>
        <v/>
      </c>
      <c r="C443" s="27" t="str">
        <f>'Landscape Trees '!D298</f>
        <v/>
      </c>
      <c r="D443" s="27" t="str">
        <f>'Landscape Trees '!E298</f>
        <v/>
      </c>
      <c r="E443" s="27" t="str">
        <f>'Landscape Trees '!F298</f>
        <v/>
      </c>
      <c r="F443" s="31" t="str">
        <f>'Landscape Trees '!G298</f>
        <v/>
      </c>
      <c r="G443" s="27" t="str">
        <f>'Landscape Trees '!H298</f>
        <v/>
      </c>
      <c r="H443" s="27" t="str">
        <f>'Landscape Trees '!I298</f>
        <v/>
      </c>
      <c r="I443" s="27" t="str">
        <f t="shared" si="3"/>
        <v> -2020</v>
      </c>
      <c r="J443" s="11"/>
      <c r="K443" s="27">
        <f t="shared" si="4"/>
        <v>0</v>
      </c>
    </row>
    <row r="444">
      <c r="A444" s="27" t="str">
        <f>'Landscape Trees '!A299</f>
        <v/>
      </c>
      <c r="B444" s="27" t="str">
        <f>'Landscape Trees '!C299</f>
        <v/>
      </c>
      <c r="C444" s="27" t="str">
        <f>'Landscape Trees '!D299</f>
        <v/>
      </c>
      <c r="D444" s="27" t="str">
        <f>'Landscape Trees '!E299</f>
        <v/>
      </c>
      <c r="E444" s="27" t="str">
        <f>'Landscape Trees '!F299</f>
        <v/>
      </c>
      <c r="F444" s="31" t="str">
        <f>'Landscape Trees '!G299</f>
        <v/>
      </c>
      <c r="G444" s="27" t="str">
        <f>'Landscape Trees '!H299</f>
        <v/>
      </c>
      <c r="H444" s="27" t="str">
        <f>'Landscape Trees '!I299</f>
        <v/>
      </c>
      <c r="I444" s="27" t="str">
        <f t="shared" si="3"/>
        <v> -2020</v>
      </c>
      <c r="J444" s="11"/>
      <c r="K444" s="27">
        <f t="shared" si="4"/>
        <v>0</v>
      </c>
    </row>
    <row r="445">
      <c r="A445" s="27" t="str">
        <f>'Landscape Trees '!A300</f>
        <v/>
      </c>
      <c r="B445" s="27" t="str">
        <f>'Landscape Trees '!C300</f>
        <v/>
      </c>
      <c r="C445" s="27" t="str">
        <f>'Landscape Trees '!D300</f>
        <v/>
      </c>
      <c r="D445" s="27" t="str">
        <f>'Landscape Trees '!E300</f>
        <v/>
      </c>
      <c r="E445" s="27" t="str">
        <f>'Landscape Trees '!F300</f>
        <v/>
      </c>
      <c r="F445" s="31" t="str">
        <f>'Landscape Trees '!G300</f>
        <v/>
      </c>
      <c r="G445" s="27" t="str">
        <f>'Landscape Trees '!H300</f>
        <v/>
      </c>
      <c r="H445" s="27" t="str">
        <f>'Landscape Trees '!I300</f>
        <v/>
      </c>
      <c r="J445" s="11"/>
      <c r="K445" s="27">
        <f t="shared" si="4"/>
        <v>0</v>
      </c>
    </row>
    <row r="446">
      <c r="A446" s="27" t="str">
        <f>'Landscape Trees '!A301</f>
        <v/>
      </c>
      <c r="B446" s="27" t="str">
        <f>'Landscape Trees '!C301</f>
        <v/>
      </c>
      <c r="C446" s="27" t="str">
        <f>'Landscape Trees '!D301</f>
        <v/>
      </c>
      <c r="D446" s="27" t="str">
        <f>'Landscape Trees '!E301</f>
        <v/>
      </c>
      <c r="E446" s="27" t="str">
        <f>'Landscape Trees '!F301</f>
        <v/>
      </c>
      <c r="F446" s="31" t="str">
        <f>'Landscape Trees '!G301</f>
        <v/>
      </c>
      <c r="G446" s="27" t="str">
        <f>'Landscape Trees '!H301</f>
        <v/>
      </c>
      <c r="H446" s="27" t="str">
        <f>'Landscape Trees '!I301</f>
        <v/>
      </c>
      <c r="J446" s="11"/>
      <c r="K446" s="27">
        <f t="shared" si="4"/>
        <v>0</v>
      </c>
    </row>
    <row r="447">
      <c r="A447" s="27" t="str">
        <f>'Landscape Trees '!A302</f>
        <v/>
      </c>
      <c r="B447" s="27" t="str">
        <f>'Landscape Trees '!C302</f>
        <v/>
      </c>
      <c r="C447" s="27" t="str">
        <f>'Landscape Trees '!D302</f>
        <v/>
      </c>
      <c r="D447" s="27" t="str">
        <f>'Landscape Trees '!E302</f>
        <v/>
      </c>
      <c r="E447" s="27" t="str">
        <f>'Landscape Trees '!F302</f>
        <v/>
      </c>
      <c r="F447" s="31" t="str">
        <f>'Landscape Trees '!G302</f>
        <v/>
      </c>
      <c r="G447" s="27" t="str">
        <f>'Landscape Trees '!H302</f>
        <v/>
      </c>
      <c r="H447" s="27" t="str">
        <f>'Landscape Trees '!I302</f>
        <v/>
      </c>
      <c r="J447" s="11"/>
      <c r="K447" s="27">
        <f t="shared" si="4"/>
        <v>0</v>
      </c>
    </row>
    <row r="448">
      <c r="A448" s="27" t="str">
        <f>'Landscape Trees '!A303</f>
        <v/>
      </c>
      <c r="B448" s="27" t="str">
        <f>'Landscape Trees '!C303</f>
        <v/>
      </c>
      <c r="C448" s="27" t="str">
        <f>'Landscape Trees '!D303</f>
        <v/>
      </c>
      <c r="D448" s="27" t="str">
        <f>'Landscape Trees '!E303</f>
        <v/>
      </c>
      <c r="E448" s="27" t="str">
        <f>'Landscape Trees '!F303</f>
        <v/>
      </c>
      <c r="F448" s="31" t="str">
        <f>'Landscape Trees '!G303</f>
        <v/>
      </c>
      <c r="G448" s="27" t="str">
        <f>'Landscape Trees '!H303</f>
        <v/>
      </c>
      <c r="J448" s="26" t="s">
        <v>15</v>
      </c>
      <c r="K448" s="39">
        <f>Sum(K147:K447)</f>
        <v>0</v>
      </c>
    </row>
    <row r="449">
      <c r="A449" s="27" t="str">
        <f>'Landscape Trees '!A304</f>
        <v/>
      </c>
      <c r="B449" s="27" t="str">
        <f>'Landscape Trees '!C304</f>
        <v/>
      </c>
      <c r="C449" s="27" t="str">
        <f>'Landscape Trees '!D304</f>
        <v/>
      </c>
      <c r="D449" s="27" t="str">
        <f>'Landscape Trees '!E304</f>
        <v/>
      </c>
      <c r="E449" s="27" t="str">
        <f>'Landscape Trees '!F304</f>
        <v/>
      </c>
      <c r="F449" s="31" t="str">
        <f>'Landscape Trees '!G304</f>
        <v/>
      </c>
      <c r="G449" s="27" t="str">
        <f>'Landscape Trees '!H304</f>
        <v/>
      </c>
      <c r="J449" s="26" t="s">
        <v>16</v>
      </c>
      <c r="K449" s="39">
        <f>K448+K144</f>
        <v>0</v>
      </c>
    </row>
    <row r="450">
      <c r="A450" s="27" t="str">
        <f>'Landscape Trees '!A305</f>
        <v/>
      </c>
      <c r="B450" s="27" t="str">
        <f>'Landscape Trees '!C305</f>
        <v/>
      </c>
      <c r="C450" s="27" t="str">
        <f>'Landscape Trees '!D305</f>
        <v/>
      </c>
      <c r="D450" s="27" t="str">
        <f>'Landscape Trees '!E305</f>
        <v/>
      </c>
      <c r="E450" s="27" t="str">
        <f>'Landscape Trees '!F305</f>
        <v/>
      </c>
      <c r="F450" s="31" t="str">
        <f>'Landscape Trees '!G305</f>
        <v/>
      </c>
      <c r="G450" s="27" t="str">
        <f>'Landscape Trees '!H305</f>
        <v/>
      </c>
      <c r="H450" s="27" t="str">
        <f>'Landscape Trees '!I305</f>
        <v/>
      </c>
      <c r="J450" s="11"/>
      <c r="K450" s="27">
        <f>J450*H450</f>
        <v>0</v>
      </c>
    </row>
  </sheetData>
  <autoFilter ref="$J$1:$J$450"/>
  <mergeCells count="1">
    <mergeCell ref="A4:B4"/>
  </mergeCells>
  <printOptions gridLines="1" horizontalCentered="1"/>
  <pageMargins bottom="0.3" footer="0.0" header="0.0" left="0.3" right="0.3" top="0.3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3.0"/>
    <col hidden="1" min="2" max="2" width="14.43"/>
    <col customWidth="1" min="3" max="3" width="12.71"/>
    <col customWidth="1" min="4" max="4" width="9.43"/>
    <col customWidth="1" min="5" max="5" width="7.86"/>
    <col customWidth="1" min="6" max="6" width="8.57"/>
    <col customWidth="1" min="7" max="7" width="8.0"/>
    <col customWidth="1" min="8" max="19" width="7.71"/>
  </cols>
  <sheetData>
    <row r="1">
      <c r="A1" s="40" t="str">
        <f>IFERROR(__xludf.DUMMYFUNCTION("IMPORTRANGE(""https://docs.google.com/spreadsheets/d/1qoFatOon1uC97wZhIn_0Rq2sZ6a2NuzWasXrzcUDN2Y/edit#gid=1890206292"", ""Fruit Trees!A1:z100000"")"),"Common Name")</f>
        <v>Common Name</v>
      </c>
      <c r="B1" s="41" t="str">
        <f>IFERROR(__xludf.DUMMYFUNCTION("""COMPUTED_VALUE"""),"Pot Size Sorting")</f>
        <v>Pot Size Sorting</v>
      </c>
      <c r="C1" s="41" t="str">
        <f>IFERROR(__xludf.DUMMYFUNCTION("""COMPUTED_VALUE"""),"Pot Size")</f>
        <v>Pot Size</v>
      </c>
      <c r="D1" s="41" t="str">
        <f>IFERROR(__xludf.DUMMYFUNCTION("""COMPUTED_VALUE"""),"Caliper")</f>
        <v>Caliper</v>
      </c>
      <c r="E1" s="41" t="str">
        <f>IFERROR(__xludf.DUMMYFUNCTION("""COMPUTED_VALUE"""),"Height")</f>
        <v>Height</v>
      </c>
      <c r="F1" s="41" t="str">
        <f>IFERROR(__xludf.DUMMYFUNCTION("""COMPUTED_VALUE"""),"Quantity ")</f>
        <v>Quantity </v>
      </c>
      <c r="G1" s="41" t="str">
        <f>IFERROR(__xludf.DUMMYFUNCTION("""COMPUTED_VALUE"""),"Projected")</f>
        <v>Projected</v>
      </c>
      <c r="H1" s="41" t="str">
        <f>IFERROR(__xludf.DUMMYFUNCTION("""COMPUTED_VALUE"""),"Price")</f>
        <v>Price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>
      <c r="A2" s="41" t="str">
        <f>IFERROR(__xludf.DUMMYFUNCTION("""COMPUTED_VALUE"""),"Apple - Ambrosia")</f>
        <v>Apple - Ambrosia</v>
      </c>
      <c r="B2" s="41">
        <f>IFERROR(__xludf.DUMMYFUNCTION("""COMPUTED_VALUE"""),5.0)</f>
        <v>5</v>
      </c>
      <c r="C2" s="41" t="str">
        <f>IFERROR(__xludf.DUMMYFUNCTION("""COMPUTED_VALUE"""),"#5")</f>
        <v>#5</v>
      </c>
      <c r="D2" s="43" t="str">
        <f>IFERROR(__xludf.DUMMYFUNCTION("""COMPUTED_VALUE"""),"0.5-0.75""")</f>
        <v>0.5-0.75"</v>
      </c>
      <c r="E2" s="41" t="str">
        <f>IFERROR(__xludf.DUMMYFUNCTION("""COMPUTED_VALUE"""),"5-6'")</f>
        <v>5-6'</v>
      </c>
      <c r="F2" s="44">
        <f>IFERROR(__xludf.DUMMYFUNCTION("""COMPUTED_VALUE"""),2.0)</f>
        <v>2</v>
      </c>
      <c r="G2" s="41">
        <f>IFERROR(__xludf.DUMMYFUNCTION("""COMPUTED_VALUE"""),20.0)</f>
        <v>20</v>
      </c>
      <c r="H2" s="45">
        <f>IFERROR(__xludf.DUMMYFUNCTION("""COMPUTED_VALUE"""),45.0)</f>
        <v>45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>
      <c r="A3" s="41" t="str">
        <f>IFERROR(__xludf.DUMMYFUNCTION("""COMPUTED_VALUE"""),"Apple - Arkansas Black")</f>
        <v>Apple - Arkansas Black</v>
      </c>
      <c r="B3" s="41">
        <f>IFERROR(__xludf.DUMMYFUNCTION("""COMPUTED_VALUE"""),5.0)</f>
        <v>5</v>
      </c>
      <c r="C3" s="41" t="str">
        <f>IFERROR(__xludf.DUMMYFUNCTION("""COMPUTED_VALUE"""),"#5")</f>
        <v>#5</v>
      </c>
      <c r="D3" s="43" t="str">
        <f>IFERROR(__xludf.DUMMYFUNCTION("""COMPUTED_VALUE"""),"0.75-1""")</f>
        <v>0.75-1"</v>
      </c>
      <c r="E3" s="41" t="str">
        <f>IFERROR(__xludf.DUMMYFUNCTION("""COMPUTED_VALUE"""),"4-5'")</f>
        <v>4-5'</v>
      </c>
      <c r="F3" s="44">
        <f>IFERROR(__xludf.DUMMYFUNCTION("""COMPUTED_VALUE"""),6.0)</f>
        <v>6</v>
      </c>
      <c r="G3" s="41">
        <f>IFERROR(__xludf.DUMMYFUNCTION("""COMPUTED_VALUE"""),100.0)</f>
        <v>100</v>
      </c>
      <c r="H3" s="45">
        <f>IFERROR(__xludf.DUMMYFUNCTION("""COMPUTED_VALUE"""),45.0)</f>
        <v>45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>
      <c r="A4" s="41" t="str">
        <f>IFERROR(__xludf.DUMMYFUNCTION("""COMPUTED_VALUE"""),"Apple - Aztec Fuji")</f>
        <v>Apple - Aztec Fuji</v>
      </c>
      <c r="B4" s="41">
        <f>IFERROR(__xludf.DUMMYFUNCTION("""COMPUTED_VALUE"""),5.0)</f>
        <v>5</v>
      </c>
      <c r="C4" s="41" t="str">
        <f>IFERROR(__xludf.DUMMYFUNCTION("""COMPUTED_VALUE"""),"#5")</f>
        <v>#5</v>
      </c>
      <c r="D4" s="43" t="str">
        <f>IFERROR(__xludf.DUMMYFUNCTION("""COMPUTED_VALUE"""),"0.5-0.5""")</f>
        <v>0.5-0.5"</v>
      </c>
      <c r="E4" s="41" t="str">
        <f>IFERROR(__xludf.DUMMYFUNCTION("""COMPUTED_VALUE"""),"3-4'")</f>
        <v>3-4'</v>
      </c>
      <c r="F4" s="44">
        <f>IFERROR(__xludf.DUMMYFUNCTION("""COMPUTED_VALUE"""),0.0)</f>
        <v>0</v>
      </c>
      <c r="G4" s="41">
        <f>IFERROR(__xludf.DUMMYFUNCTION("""COMPUTED_VALUE"""),10.0)</f>
        <v>10</v>
      </c>
      <c r="H4" s="45">
        <f>IFERROR(__xludf.DUMMYFUNCTION("""COMPUTED_VALUE"""),45.0)</f>
        <v>45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>
      <c r="A5" s="41" t="str">
        <f>IFERROR(__xludf.DUMMYFUNCTION("""COMPUTED_VALUE"""),"Apple - Baldwin")</f>
        <v>Apple - Baldwin</v>
      </c>
      <c r="B5" s="41">
        <f>IFERROR(__xludf.DUMMYFUNCTION("""COMPUTED_VALUE"""),5.0)</f>
        <v>5</v>
      </c>
      <c r="C5" s="41" t="str">
        <f>IFERROR(__xludf.DUMMYFUNCTION("""COMPUTED_VALUE"""),"#5")</f>
        <v>#5</v>
      </c>
      <c r="D5" s="43" t="str">
        <f>IFERROR(__xludf.DUMMYFUNCTION("""COMPUTED_VALUE"""),"0-1""")</f>
        <v>0-1"</v>
      </c>
      <c r="E5" s="41" t="str">
        <f>IFERROR(__xludf.DUMMYFUNCTION("""COMPUTED_VALUE"""),"0-8'")</f>
        <v>0-8'</v>
      </c>
      <c r="F5" s="44">
        <f>IFERROR(__xludf.DUMMYFUNCTION("""COMPUTED_VALUE"""),0.0)</f>
        <v>0</v>
      </c>
      <c r="G5" s="41">
        <f>IFERROR(__xludf.DUMMYFUNCTION("""COMPUTED_VALUE"""),15.0)</f>
        <v>15</v>
      </c>
      <c r="H5" s="45">
        <f>IFERROR(__xludf.DUMMYFUNCTION("""COMPUTED_VALUE"""),45.0)</f>
        <v>45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>
      <c r="A6" s="41" t="str">
        <f>IFERROR(__xludf.DUMMYFUNCTION("""COMPUTED_VALUE"""),"Apple - Baldwin")</f>
        <v>Apple - Baldwin</v>
      </c>
      <c r="B6" s="41">
        <f>IFERROR(__xludf.DUMMYFUNCTION("""COMPUTED_VALUE"""),7.0)</f>
        <v>7</v>
      </c>
      <c r="C6" s="41" t="str">
        <f>IFERROR(__xludf.DUMMYFUNCTION("""COMPUTED_VALUE"""),"#7")</f>
        <v>#7</v>
      </c>
      <c r="D6" s="43" t="str">
        <f>IFERROR(__xludf.DUMMYFUNCTION("""COMPUTED_VALUE"""),"0.75-1""")</f>
        <v>0.75-1"</v>
      </c>
      <c r="E6" s="41" t="str">
        <f>IFERROR(__xludf.DUMMYFUNCTION("""COMPUTED_VALUE"""),"7-8'")</f>
        <v>7-8'</v>
      </c>
      <c r="F6" s="44">
        <f>IFERROR(__xludf.DUMMYFUNCTION("""COMPUTED_VALUE"""),2.0)</f>
        <v>2</v>
      </c>
      <c r="G6" s="41">
        <f>IFERROR(__xludf.DUMMYFUNCTION("""COMPUTED_VALUE"""),0.0)</f>
        <v>0</v>
      </c>
      <c r="H6" s="45">
        <f>IFERROR(__xludf.DUMMYFUNCTION("""COMPUTED_VALUE"""),60.0)</f>
        <v>60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>
      <c r="A7" s="41" t="str">
        <f>IFERROR(__xludf.DUMMYFUNCTION("""COMPUTED_VALUE"""),"Apple - Crimson Crisp")</f>
        <v>Apple - Crimson Crisp</v>
      </c>
      <c r="B7" s="41">
        <f>IFERROR(__xludf.DUMMYFUNCTION("""COMPUTED_VALUE"""),5.0)</f>
        <v>5</v>
      </c>
      <c r="C7" s="41" t="str">
        <f>IFERROR(__xludf.DUMMYFUNCTION("""COMPUTED_VALUE"""),"#5")</f>
        <v>#5</v>
      </c>
      <c r="D7" s="43" t="str">
        <f>IFERROR(__xludf.DUMMYFUNCTION("""COMPUTED_VALUE"""),"0-1""")</f>
        <v>0-1"</v>
      </c>
      <c r="E7" s="41" t="str">
        <f>IFERROR(__xludf.DUMMYFUNCTION("""COMPUTED_VALUE"""),"0-9'")</f>
        <v>0-9'</v>
      </c>
      <c r="F7" s="44">
        <f>IFERROR(__xludf.DUMMYFUNCTION("""COMPUTED_VALUE"""),0.0)</f>
        <v>0</v>
      </c>
      <c r="G7" s="41">
        <f>IFERROR(__xludf.DUMMYFUNCTION("""COMPUTED_VALUE"""),50.0)</f>
        <v>50</v>
      </c>
      <c r="H7" s="45">
        <f>IFERROR(__xludf.DUMMYFUNCTION("""COMPUTED_VALUE"""),45.0)</f>
        <v>45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>
      <c r="A8" s="41" t="str">
        <f>IFERROR(__xludf.DUMMYFUNCTION("""COMPUTED_VALUE"""),"Apple - Crown Empire")</f>
        <v>Apple - Crown Empire</v>
      </c>
      <c r="B8" s="41">
        <f>IFERROR(__xludf.DUMMYFUNCTION("""COMPUTED_VALUE"""),5.0)</f>
        <v>5</v>
      </c>
      <c r="C8" s="41" t="str">
        <f>IFERROR(__xludf.DUMMYFUNCTION("""COMPUTED_VALUE"""),"#5")</f>
        <v>#5</v>
      </c>
      <c r="D8" s="43" t="str">
        <f>IFERROR(__xludf.DUMMYFUNCTION("""COMPUTED_VALUE"""),"0.25-0.5""")</f>
        <v>0.25-0.5"</v>
      </c>
      <c r="E8" s="41" t="str">
        <f>IFERROR(__xludf.DUMMYFUNCTION("""COMPUTED_VALUE"""),"3-4'")</f>
        <v>3-4'</v>
      </c>
      <c r="F8" s="44">
        <f>IFERROR(__xludf.DUMMYFUNCTION("""COMPUTED_VALUE"""),0.0)</f>
        <v>0</v>
      </c>
      <c r="G8" s="41">
        <f>IFERROR(__xludf.DUMMYFUNCTION("""COMPUTED_VALUE"""),5.0)</f>
        <v>5</v>
      </c>
      <c r="H8" s="45">
        <f>IFERROR(__xludf.DUMMYFUNCTION("""COMPUTED_VALUE"""),45.0)</f>
        <v>45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>
      <c r="A9" s="41" t="str">
        <f>IFERROR(__xludf.DUMMYFUNCTION("""COMPUTED_VALUE"""),"Apple - Enterprise")</f>
        <v>Apple - Enterprise</v>
      </c>
      <c r="B9" s="41">
        <f>IFERROR(__xludf.DUMMYFUNCTION("""COMPUTED_VALUE"""),10.0)</f>
        <v>10</v>
      </c>
      <c r="C9" s="41" t="str">
        <f>IFERROR(__xludf.DUMMYFUNCTION("""COMPUTED_VALUE"""),"#10")</f>
        <v>#10</v>
      </c>
      <c r="D9" s="43" t="str">
        <f>IFERROR(__xludf.DUMMYFUNCTION("""COMPUTED_VALUE"""),"0.5-1""")</f>
        <v>0.5-1"</v>
      </c>
      <c r="E9" s="41" t="str">
        <f>IFERROR(__xludf.DUMMYFUNCTION("""COMPUTED_VALUE"""),"6-7'")</f>
        <v>6-7'</v>
      </c>
      <c r="F9" s="44">
        <f>IFERROR(__xludf.DUMMYFUNCTION("""COMPUTED_VALUE"""),1.0)</f>
        <v>1</v>
      </c>
      <c r="G9" s="41">
        <f>IFERROR(__xludf.DUMMYFUNCTION("""COMPUTED_VALUE"""),0.0)</f>
        <v>0</v>
      </c>
      <c r="H9" s="45">
        <f>IFERROR(__xludf.DUMMYFUNCTION("""COMPUTED_VALUE"""),70.0)</f>
        <v>70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>
      <c r="A10" s="41" t="str">
        <f>IFERROR(__xludf.DUMMYFUNCTION("""COMPUTED_VALUE"""),"Apple - Enterprise (Dwarf)")</f>
        <v>Apple - Enterprise (Dwarf)</v>
      </c>
      <c r="B10" s="41">
        <f>IFERROR(__xludf.DUMMYFUNCTION("""COMPUTED_VALUE"""),5.0)</f>
        <v>5</v>
      </c>
      <c r="C10" s="41" t="str">
        <f>IFERROR(__xludf.DUMMYFUNCTION("""COMPUTED_VALUE"""),"#5")</f>
        <v>#5</v>
      </c>
      <c r="D10" s="43" t="str">
        <f>IFERROR(__xludf.DUMMYFUNCTION("""COMPUTED_VALUE"""),"0.75-1""")</f>
        <v>0.75-1"</v>
      </c>
      <c r="E10" s="41" t="str">
        <f>IFERROR(__xludf.DUMMYFUNCTION("""COMPUTED_VALUE"""),"7-8'")</f>
        <v>7-8'</v>
      </c>
      <c r="F10" s="44">
        <f>IFERROR(__xludf.DUMMYFUNCTION("""COMPUTED_VALUE"""),9.0)</f>
        <v>9</v>
      </c>
      <c r="G10" s="41">
        <f>IFERROR(__xludf.DUMMYFUNCTION("""COMPUTED_VALUE"""),0.0)</f>
        <v>0</v>
      </c>
      <c r="H10" s="45">
        <f>IFERROR(__xludf.DUMMYFUNCTION("""COMPUTED_VALUE"""),45.0)</f>
        <v>45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>
      <c r="A11" s="41" t="str">
        <f>IFERROR(__xludf.DUMMYFUNCTION("""COMPUTED_VALUE"""),"Apple - Enterprise (Semi-Dwarf)")</f>
        <v>Apple - Enterprise (Semi-Dwarf)</v>
      </c>
      <c r="B11" s="41">
        <f>IFERROR(__xludf.DUMMYFUNCTION("""COMPUTED_VALUE"""),5.0)</f>
        <v>5</v>
      </c>
      <c r="C11" s="41" t="str">
        <f>IFERROR(__xludf.DUMMYFUNCTION("""COMPUTED_VALUE"""),"#5")</f>
        <v>#5</v>
      </c>
      <c r="D11" s="43" t="str">
        <f>IFERROR(__xludf.DUMMYFUNCTION("""COMPUTED_VALUE"""),"1-1.25""")</f>
        <v>1-1.25"</v>
      </c>
      <c r="E11" s="41" t="str">
        <f>IFERROR(__xludf.DUMMYFUNCTION("""COMPUTED_VALUE"""),"7-8'")</f>
        <v>7-8'</v>
      </c>
      <c r="F11" s="44">
        <f>IFERROR(__xludf.DUMMYFUNCTION("""COMPUTED_VALUE"""),2.0)</f>
        <v>2</v>
      </c>
      <c r="G11" s="41">
        <f>IFERROR(__xludf.DUMMYFUNCTION("""COMPUTED_VALUE"""),0.0)</f>
        <v>0</v>
      </c>
      <c r="H11" s="45">
        <f>IFERROR(__xludf.DUMMYFUNCTION("""COMPUTED_VALUE"""),45.0)</f>
        <v>45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>
      <c r="A12" s="41" t="str">
        <f>IFERROR(__xludf.DUMMYFUNCTION("""COMPUTED_VALUE"""),"Apple - Freedom")</f>
        <v>Apple - Freedom</v>
      </c>
      <c r="B12" s="41">
        <f>IFERROR(__xludf.DUMMYFUNCTION("""COMPUTED_VALUE"""),5.0)</f>
        <v>5</v>
      </c>
      <c r="C12" s="41" t="str">
        <f>IFERROR(__xludf.DUMMYFUNCTION("""COMPUTED_VALUE"""),"#5")</f>
        <v>#5</v>
      </c>
      <c r="D12" s="43" t="str">
        <f>IFERROR(__xludf.DUMMYFUNCTION("""COMPUTED_VALUE"""),"0-0.75""")</f>
        <v>0-0.75"</v>
      </c>
      <c r="E12" s="41" t="str">
        <f>IFERROR(__xludf.DUMMYFUNCTION("""COMPUTED_VALUE"""),"0-5'")</f>
        <v>0-5'</v>
      </c>
      <c r="F12" s="44">
        <f>IFERROR(__xludf.DUMMYFUNCTION("""COMPUTED_VALUE"""),0.0)</f>
        <v>0</v>
      </c>
      <c r="G12" s="41">
        <f>IFERROR(__xludf.DUMMYFUNCTION("""COMPUTED_VALUE"""),50.0)</f>
        <v>50</v>
      </c>
      <c r="H12" s="45">
        <f>IFERROR(__xludf.DUMMYFUNCTION("""COMPUTED_VALUE"""),45.0)</f>
        <v>45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>
      <c r="A13" s="41" t="str">
        <f>IFERROR(__xludf.DUMMYFUNCTION("""COMPUTED_VALUE"""),"Apple - Fuji")</f>
        <v>Apple - Fuji</v>
      </c>
      <c r="B13" s="41">
        <f>IFERROR(__xludf.DUMMYFUNCTION("""COMPUTED_VALUE"""),5.0)</f>
        <v>5</v>
      </c>
      <c r="C13" s="41" t="str">
        <f>IFERROR(__xludf.DUMMYFUNCTION("""COMPUTED_VALUE"""),"#5")</f>
        <v>#5</v>
      </c>
      <c r="D13" s="43" t="str">
        <f>IFERROR(__xludf.DUMMYFUNCTION("""COMPUTED_VALUE"""),"0-1.25""")</f>
        <v>0-1.25"</v>
      </c>
      <c r="E13" s="41" t="str">
        <f>IFERROR(__xludf.DUMMYFUNCTION("""COMPUTED_VALUE"""),"0-8'")</f>
        <v>0-8'</v>
      </c>
      <c r="F13" s="44">
        <f>IFERROR(__xludf.DUMMYFUNCTION("""COMPUTED_VALUE"""),0.0)</f>
        <v>0</v>
      </c>
      <c r="G13" s="41">
        <f>IFERROR(__xludf.DUMMYFUNCTION("""COMPUTED_VALUE"""),50.0)</f>
        <v>50</v>
      </c>
      <c r="H13" s="45">
        <f>IFERROR(__xludf.DUMMYFUNCTION("""COMPUTED_VALUE"""),45.0)</f>
        <v>45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>
      <c r="A14" s="41" t="str">
        <f>IFERROR(__xludf.DUMMYFUNCTION("""COMPUTED_VALUE"""),"Apple - Fuji")</f>
        <v>Apple - Fuji</v>
      </c>
      <c r="B14" s="41">
        <f>IFERROR(__xludf.DUMMYFUNCTION("""COMPUTED_VALUE"""),10.0)</f>
        <v>10</v>
      </c>
      <c r="C14" s="41" t="str">
        <f>IFERROR(__xludf.DUMMYFUNCTION("""COMPUTED_VALUE"""),"#10")</f>
        <v>#10</v>
      </c>
      <c r="D14" s="43" t="str">
        <f>IFERROR(__xludf.DUMMYFUNCTION("""COMPUTED_VALUE"""),"1-1.25""")</f>
        <v>1-1.25"</v>
      </c>
      <c r="E14" s="41" t="str">
        <f>IFERROR(__xludf.DUMMYFUNCTION("""COMPUTED_VALUE"""),"7-8'")</f>
        <v>7-8'</v>
      </c>
      <c r="F14" s="44">
        <f>IFERROR(__xludf.DUMMYFUNCTION("""COMPUTED_VALUE"""),4.0)</f>
        <v>4</v>
      </c>
      <c r="G14" s="41">
        <f>IFERROR(__xludf.DUMMYFUNCTION("""COMPUTED_VALUE"""),0.0)</f>
        <v>0</v>
      </c>
      <c r="H14" s="45">
        <f>IFERROR(__xludf.DUMMYFUNCTION("""COMPUTED_VALUE"""),70.0)</f>
        <v>70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>
      <c r="A15" s="41" t="str">
        <f>IFERROR(__xludf.DUMMYFUNCTION("""COMPUTED_VALUE"""),"Apple - Fuji Espalier 3-Tier")</f>
        <v>Apple - Fuji Espalier 3-Tier</v>
      </c>
      <c r="B15" s="41">
        <f>IFERROR(__xludf.DUMMYFUNCTION("""COMPUTED_VALUE"""),15.0)</f>
        <v>15</v>
      </c>
      <c r="C15" s="41" t="str">
        <f>IFERROR(__xludf.DUMMYFUNCTION("""COMPUTED_VALUE"""),"#15")</f>
        <v>#15</v>
      </c>
      <c r="D15" s="43" t="str">
        <f>IFERROR(__xludf.DUMMYFUNCTION("""COMPUTED_VALUE"""),"0.75-1""")</f>
        <v>0.75-1"</v>
      </c>
      <c r="E15" s="41" t="str">
        <f>IFERROR(__xludf.DUMMYFUNCTION("""COMPUTED_VALUE"""),"6-7'")</f>
        <v>6-7'</v>
      </c>
      <c r="F15" s="44">
        <f>IFERROR(__xludf.DUMMYFUNCTION("""COMPUTED_VALUE"""),0.0)</f>
        <v>0</v>
      </c>
      <c r="G15" s="41">
        <f>IFERROR(__xludf.DUMMYFUNCTION("""COMPUTED_VALUE"""),5.0)</f>
        <v>5</v>
      </c>
      <c r="H15" s="45">
        <f>IFERROR(__xludf.DUMMYFUNCTION("""COMPUTED_VALUE"""),180.0)</f>
        <v>180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>
      <c r="A16" s="41" t="str">
        <f>IFERROR(__xludf.DUMMYFUNCTION("""COMPUTED_VALUE"""),"Apple - Gala")</f>
        <v>Apple - Gala</v>
      </c>
      <c r="B16" s="41">
        <f>IFERROR(__xludf.DUMMYFUNCTION("""COMPUTED_VALUE"""),5.0)</f>
        <v>5</v>
      </c>
      <c r="C16" s="41" t="str">
        <f>IFERROR(__xludf.DUMMYFUNCTION("""COMPUTED_VALUE"""),"#5")</f>
        <v>#5</v>
      </c>
      <c r="D16" s="43" t="str">
        <f>IFERROR(__xludf.DUMMYFUNCTION("""COMPUTED_VALUE"""),"0-1""")</f>
        <v>0-1"</v>
      </c>
      <c r="E16" s="41" t="str">
        <f>IFERROR(__xludf.DUMMYFUNCTION("""COMPUTED_VALUE"""),"0-7'")</f>
        <v>0-7'</v>
      </c>
      <c r="F16" s="44">
        <f>IFERROR(__xludf.DUMMYFUNCTION("""COMPUTED_VALUE"""),0.0)</f>
        <v>0</v>
      </c>
      <c r="G16" s="41">
        <f>IFERROR(__xludf.DUMMYFUNCTION("""COMPUTED_VALUE"""),50.0)</f>
        <v>50</v>
      </c>
      <c r="H16" s="45">
        <f>IFERROR(__xludf.DUMMYFUNCTION("""COMPUTED_VALUE"""),45.0)</f>
        <v>45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>
      <c r="A17" s="41" t="str">
        <f>IFERROR(__xludf.DUMMYFUNCTION("""COMPUTED_VALUE"""),"Apple - Gala Espalier 3 tier")</f>
        <v>Apple - Gala Espalier 3 tier</v>
      </c>
      <c r="B17" s="41">
        <f>IFERROR(__xludf.DUMMYFUNCTION("""COMPUTED_VALUE"""),15.0)</f>
        <v>15</v>
      </c>
      <c r="C17" s="41" t="str">
        <f>IFERROR(__xludf.DUMMYFUNCTION("""COMPUTED_VALUE"""),"#15")</f>
        <v>#15</v>
      </c>
      <c r="D17" s="43" t="str">
        <f>IFERROR(__xludf.DUMMYFUNCTION("""COMPUTED_VALUE"""),"0.75-1""")</f>
        <v>0.75-1"</v>
      </c>
      <c r="E17" s="41" t="str">
        <f>IFERROR(__xludf.DUMMYFUNCTION("""COMPUTED_VALUE"""),"6-7'")</f>
        <v>6-7'</v>
      </c>
      <c r="F17" s="44">
        <f>IFERROR(__xludf.DUMMYFUNCTION("""COMPUTED_VALUE"""),0.0)</f>
        <v>0</v>
      </c>
      <c r="G17" s="41">
        <f>IFERROR(__xludf.DUMMYFUNCTION("""COMPUTED_VALUE"""),5.0)</f>
        <v>5</v>
      </c>
      <c r="H17" s="45">
        <f>IFERROR(__xludf.DUMMYFUNCTION("""COMPUTED_VALUE"""),180.0)</f>
        <v>180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>
      <c r="A18" s="41" t="str">
        <f>IFERROR(__xludf.DUMMYFUNCTION("""COMPUTED_VALUE"""),"Apple - Galarina")</f>
        <v>Apple - Galarina</v>
      </c>
      <c r="B18" s="41">
        <f>IFERROR(__xludf.DUMMYFUNCTION("""COMPUTED_VALUE"""),5.0)</f>
        <v>5</v>
      </c>
      <c r="C18" s="41" t="str">
        <f>IFERROR(__xludf.DUMMYFUNCTION("""COMPUTED_VALUE"""),"#5")</f>
        <v>#5</v>
      </c>
      <c r="D18" s="43" t="str">
        <f>IFERROR(__xludf.DUMMYFUNCTION("""COMPUTED_VALUE"""),"0-1""")</f>
        <v>0-1"</v>
      </c>
      <c r="E18" s="41" t="str">
        <f>IFERROR(__xludf.DUMMYFUNCTION("""COMPUTED_VALUE"""),"0-6'")</f>
        <v>0-6'</v>
      </c>
      <c r="F18" s="44">
        <f>IFERROR(__xludf.DUMMYFUNCTION("""COMPUTED_VALUE"""),0.0)</f>
        <v>0</v>
      </c>
      <c r="G18" s="41">
        <f>IFERROR(__xludf.DUMMYFUNCTION("""COMPUTED_VALUE"""),85.0)</f>
        <v>85</v>
      </c>
      <c r="H18" s="45">
        <f>IFERROR(__xludf.DUMMYFUNCTION("""COMPUTED_VALUE"""),45.0)</f>
        <v>45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>
      <c r="A19" s="41" t="str">
        <f>IFERROR(__xludf.DUMMYFUNCTION("""COMPUTED_VALUE"""),"Apple - Gold Rush")</f>
        <v>Apple - Gold Rush</v>
      </c>
      <c r="B19" s="41">
        <f>IFERROR(__xludf.DUMMYFUNCTION("""COMPUTED_VALUE"""),5.0)</f>
        <v>5</v>
      </c>
      <c r="C19" s="41" t="str">
        <f>IFERROR(__xludf.DUMMYFUNCTION("""COMPUTED_VALUE"""),"#5")</f>
        <v>#5</v>
      </c>
      <c r="D19" s="43" t="str">
        <f>IFERROR(__xludf.DUMMYFUNCTION("""COMPUTED_VALUE"""),"0.5-0.75""")</f>
        <v>0.5-0.75"</v>
      </c>
      <c r="E19" s="41" t="str">
        <f>IFERROR(__xludf.DUMMYFUNCTION("""COMPUTED_VALUE"""),"4-5'")</f>
        <v>4-5'</v>
      </c>
      <c r="F19" s="44">
        <f>IFERROR(__xludf.DUMMYFUNCTION("""COMPUTED_VALUE"""),0.0)</f>
        <v>0</v>
      </c>
      <c r="G19" s="41">
        <f>IFERROR(__xludf.DUMMYFUNCTION("""COMPUTED_VALUE"""),20.0)</f>
        <v>20</v>
      </c>
      <c r="H19" s="45">
        <f>IFERROR(__xludf.DUMMYFUNCTION("""COMPUTED_VALUE"""),45.0)</f>
        <v>45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>
      <c r="A20" s="41" t="str">
        <f>IFERROR(__xludf.DUMMYFUNCTION("""COMPUTED_VALUE"""),"Apple - Golden Delicious")</f>
        <v>Apple - Golden Delicious</v>
      </c>
      <c r="B20" s="41">
        <f>IFERROR(__xludf.DUMMYFUNCTION("""COMPUTED_VALUE"""),5.0)</f>
        <v>5</v>
      </c>
      <c r="C20" s="41" t="str">
        <f>IFERROR(__xludf.DUMMYFUNCTION("""COMPUTED_VALUE"""),"#5")</f>
        <v>#5</v>
      </c>
      <c r="D20" s="43" t="str">
        <f>IFERROR(__xludf.DUMMYFUNCTION("""COMPUTED_VALUE"""),"0.75-0.75""")</f>
        <v>0.75-0.75"</v>
      </c>
      <c r="E20" s="41" t="str">
        <f>IFERROR(__xludf.DUMMYFUNCTION("""COMPUTED_VALUE"""),"5-5'")</f>
        <v>5-5'</v>
      </c>
      <c r="F20" s="41">
        <f>IFERROR(__xludf.DUMMYFUNCTION("""COMPUTED_VALUE"""),1.0)</f>
        <v>1</v>
      </c>
      <c r="G20" s="41">
        <f>IFERROR(__xludf.DUMMYFUNCTION("""COMPUTED_VALUE"""),0.0)</f>
        <v>0</v>
      </c>
      <c r="H20" s="45">
        <f>IFERROR(__xludf.DUMMYFUNCTION("""COMPUTED_VALUE"""),45.0)</f>
        <v>45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>
      <c r="A21" s="41" t="str">
        <f>IFERROR(__xludf.DUMMYFUNCTION("""COMPUTED_VALUE"""),"Apple - Granny Smith")</f>
        <v>Apple - Granny Smith</v>
      </c>
      <c r="B21" s="41">
        <f>IFERROR(__xludf.DUMMYFUNCTION("""COMPUTED_VALUE"""),5.0)</f>
        <v>5</v>
      </c>
      <c r="C21" s="41" t="str">
        <f>IFERROR(__xludf.DUMMYFUNCTION("""COMPUTED_VALUE"""),"#5")</f>
        <v>#5</v>
      </c>
      <c r="D21" s="43" t="str">
        <f>IFERROR(__xludf.DUMMYFUNCTION("""COMPUTED_VALUE"""),"0.75-1""")</f>
        <v>0.75-1"</v>
      </c>
      <c r="E21" s="41" t="str">
        <f>IFERROR(__xludf.DUMMYFUNCTION("""COMPUTED_VALUE"""),"5-8'")</f>
        <v>5-8'</v>
      </c>
      <c r="F21" s="44">
        <f>IFERROR(__xludf.DUMMYFUNCTION("""COMPUTED_VALUE"""),28.0)</f>
        <v>28</v>
      </c>
      <c r="G21" s="41">
        <f>IFERROR(__xludf.DUMMYFUNCTION("""COMPUTED_VALUE"""),50.0)</f>
        <v>50</v>
      </c>
      <c r="H21" s="45">
        <f>IFERROR(__xludf.DUMMYFUNCTION("""COMPUTED_VALUE"""),45.0)</f>
        <v>45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>
      <c r="A22" s="41" t="str">
        <f>IFERROR(__xludf.DUMMYFUNCTION("""COMPUTED_VALUE"""),"Apple - Honeycrisp")</f>
        <v>Apple - Honeycrisp</v>
      </c>
      <c r="B22" s="41">
        <f>IFERROR(__xludf.DUMMYFUNCTION("""COMPUTED_VALUE"""),5.0)</f>
        <v>5</v>
      </c>
      <c r="C22" s="41" t="str">
        <f>IFERROR(__xludf.DUMMYFUNCTION("""COMPUTED_VALUE"""),"#5")</f>
        <v>#5</v>
      </c>
      <c r="D22" s="43" t="str">
        <f>IFERROR(__xludf.DUMMYFUNCTION("""COMPUTED_VALUE"""),"0-1""")</f>
        <v>0-1"</v>
      </c>
      <c r="E22" s="41" t="str">
        <f>IFERROR(__xludf.DUMMYFUNCTION("""COMPUTED_VALUE"""),"0-7'")</f>
        <v>0-7'</v>
      </c>
      <c r="F22" s="44">
        <f>IFERROR(__xludf.DUMMYFUNCTION("""COMPUTED_VALUE"""),0.0)</f>
        <v>0</v>
      </c>
      <c r="G22" s="41">
        <f>IFERROR(__xludf.DUMMYFUNCTION("""COMPUTED_VALUE"""),22.5)</f>
        <v>22.5</v>
      </c>
      <c r="H22" s="45">
        <f>IFERROR(__xludf.DUMMYFUNCTION("""COMPUTED_VALUE"""),45.0)</f>
        <v>45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>
      <c r="A23" s="41" t="str">
        <f>IFERROR(__xludf.DUMMYFUNCTION("""COMPUTED_VALUE"""),"Apple - Initial")</f>
        <v>Apple - Initial</v>
      </c>
      <c r="B23" s="41">
        <f>IFERROR(__xludf.DUMMYFUNCTION("""COMPUTED_VALUE"""),5.0)</f>
        <v>5</v>
      </c>
      <c r="C23" s="41" t="str">
        <f>IFERROR(__xludf.DUMMYFUNCTION("""COMPUTED_VALUE"""),"#5")</f>
        <v>#5</v>
      </c>
      <c r="D23" s="43" t="str">
        <f>IFERROR(__xludf.DUMMYFUNCTION("""COMPUTED_VALUE"""),"0-0.75""")</f>
        <v>0-0.75"</v>
      </c>
      <c r="E23" s="41" t="str">
        <f>IFERROR(__xludf.DUMMYFUNCTION("""COMPUTED_VALUE"""),"0-5'")</f>
        <v>0-5'</v>
      </c>
      <c r="F23" s="41">
        <f>IFERROR(__xludf.DUMMYFUNCTION("""COMPUTED_VALUE"""),0.0)</f>
        <v>0</v>
      </c>
      <c r="G23" s="41">
        <f>IFERROR(__xludf.DUMMYFUNCTION("""COMPUTED_VALUE"""),20.0)</f>
        <v>20</v>
      </c>
      <c r="H23" s="45">
        <f>IFERROR(__xludf.DUMMYFUNCTION("""COMPUTED_VALUE"""),45.0)</f>
        <v>45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>
      <c r="A24" s="41" t="str">
        <f>IFERROR(__xludf.DUMMYFUNCTION("""COMPUTED_VALUE"""),"Apple - Initial")</f>
        <v>Apple - Initial</v>
      </c>
      <c r="B24" s="41"/>
      <c r="C24" s="41" t="str">
        <f>IFERROR(__xludf.DUMMYFUNCTION("""COMPUTED_VALUE"""),"#5")</f>
        <v>#5</v>
      </c>
      <c r="D24" s="43" t="str">
        <f>IFERROR(__xludf.DUMMYFUNCTION("""COMPUTED_VALUE"""),"0.5-0.5""")</f>
        <v>0.5-0.5"</v>
      </c>
      <c r="E24" s="41" t="str">
        <f>IFERROR(__xludf.DUMMYFUNCTION("""COMPUTED_VALUE"""),"3-4'")</f>
        <v>3-4'</v>
      </c>
      <c r="F24" s="44">
        <f>IFERROR(__xludf.DUMMYFUNCTION("""COMPUTED_VALUE"""),0.0)</f>
        <v>0</v>
      </c>
      <c r="G24" s="41">
        <f>IFERROR(__xludf.DUMMYFUNCTION("""COMPUTED_VALUE"""),20.0)</f>
        <v>20</v>
      </c>
      <c r="H24" s="45">
        <f>IFERROR(__xludf.DUMMYFUNCTION("""COMPUTED_VALUE"""),45.0)</f>
        <v>45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>
      <c r="A25" s="41" t="str">
        <f>IFERROR(__xludf.DUMMYFUNCTION("""COMPUTED_VALUE"""),"Apple - Liberty")</f>
        <v>Apple - Liberty</v>
      </c>
      <c r="B25" s="41">
        <f>IFERROR(__xludf.DUMMYFUNCTION("""COMPUTED_VALUE"""),5.0)</f>
        <v>5</v>
      </c>
      <c r="C25" s="41" t="str">
        <f>IFERROR(__xludf.DUMMYFUNCTION("""COMPUTED_VALUE"""),"#5")</f>
        <v>#5</v>
      </c>
      <c r="D25" s="43" t="str">
        <f>IFERROR(__xludf.DUMMYFUNCTION("""COMPUTED_VALUE"""),"0-1""")</f>
        <v>0-1"</v>
      </c>
      <c r="E25" s="41" t="str">
        <f>IFERROR(__xludf.DUMMYFUNCTION("""COMPUTED_VALUE"""),"0-7'")</f>
        <v>0-7'</v>
      </c>
      <c r="F25" s="44">
        <f>IFERROR(__xludf.DUMMYFUNCTION("""COMPUTED_VALUE"""),0.0)</f>
        <v>0</v>
      </c>
      <c r="G25" s="41">
        <f>IFERROR(__xludf.DUMMYFUNCTION("""COMPUTED_VALUE"""),100.0)</f>
        <v>100</v>
      </c>
      <c r="H25" s="45">
        <f>IFERROR(__xludf.DUMMYFUNCTION("""COMPUTED_VALUE"""),45.0)</f>
        <v>45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>
      <c r="A26" s="41" t="str">
        <f>IFERROR(__xludf.DUMMYFUNCTION("""COMPUTED_VALUE"""),"Apple - Macoun")</f>
        <v>Apple - Macoun</v>
      </c>
      <c r="B26" s="41">
        <f>IFERROR(__xludf.DUMMYFUNCTION("""COMPUTED_VALUE"""),5.0)</f>
        <v>5</v>
      </c>
      <c r="C26" s="41" t="str">
        <f>IFERROR(__xludf.DUMMYFUNCTION("""COMPUTED_VALUE"""),"#5")</f>
        <v>#5</v>
      </c>
      <c r="D26" s="43" t="str">
        <f>IFERROR(__xludf.DUMMYFUNCTION("""COMPUTED_VALUE"""),"0.5-0.5""")</f>
        <v>0.5-0.5"</v>
      </c>
      <c r="E26" s="41" t="str">
        <f>IFERROR(__xludf.DUMMYFUNCTION("""COMPUTED_VALUE"""),"3-4'")</f>
        <v>3-4'</v>
      </c>
      <c r="F26" s="44">
        <f>IFERROR(__xludf.DUMMYFUNCTION("""COMPUTED_VALUE"""),0.0)</f>
        <v>0</v>
      </c>
      <c r="G26" s="41">
        <f>IFERROR(__xludf.DUMMYFUNCTION("""COMPUTED_VALUE"""),20.0)</f>
        <v>20</v>
      </c>
      <c r="H26" s="45">
        <f>IFERROR(__xludf.DUMMYFUNCTION("""COMPUTED_VALUE"""),45.0)</f>
        <v>45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>
      <c r="A27" s="41" t="str">
        <f>IFERROR(__xludf.DUMMYFUNCTION("""COMPUTED_VALUE"""),"Apple - Northern Spy")</f>
        <v>Apple - Northern Spy</v>
      </c>
      <c r="B27" s="41">
        <f>IFERROR(__xludf.DUMMYFUNCTION("""COMPUTED_VALUE"""),5.0)</f>
        <v>5</v>
      </c>
      <c r="C27" s="41" t="str">
        <f>IFERROR(__xludf.DUMMYFUNCTION("""COMPUTED_VALUE"""),"#5")</f>
        <v>#5</v>
      </c>
      <c r="D27" s="43" t="str">
        <f>IFERROR(__xludf.DUMMYFUNCTION("""COMPUTED_VALUE"""),"0.38-0.75""")</f>
        <v>0.38-0.75"</v>
      </c>
      <c r="E27" s="41" t="str">
        <f>IFERROR(__xludf.DUMMYFUNCTION("""COMPUTED_VALUE"""),"3-5'")</f>
        <v>3-5'</v>
      </c>
      <c r="F27" s="44">
        <f>IFERROR(__xludf.DUMMYFUNCTION("""COMPUTED_VALUE"""),0.0)</f>
        <v>0</v>
      </c>
      <c r="G27" s="41">
        <f>IFERROR(__xludf.DUMMYFUNCTION("""COMPUTED_VALUE"""),50.0)</f>
        <v>50</v>
      </c>
      <c r="H27" s="45">
        <f>IFERROR(__xludf.DUMMYFUNCTION("""COMPUTED_VALUE"""),45.0)</f>
        <v>45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>
      <c r="A28" s="41" t="str">
        <f>IFERROR(__xludf.DUMMYFUNCTION("""COMPUTED_VALUE"""),"Apple - Nova Spy")</f>
        <v>Apple - Nova Spy</v>
      </c>
      <c r="B28" s="41">
        <f>IFERROR(__xludf.DUMMYFUNCTION("""COMPUTED_VALUE"""),5.0)</f>
        <v>5</v>
      </c>
      <c r="C28" s="41" t="str">
        <f>IFERROR(__xludf.DUMMYFUNCTION("""COMPUTED_VALUE"""),"#5")</f>
        <v>#5</v>
      </c>
      <c r="D28" s="43" t="str">
        <f>IFERROR(__xludf.DUMMYFUNCTION("""COMPUTED_VALUE"""),"0.75-1""")</f>
        <v>0.75-1"</v>
      </c>
      <c r="E28" s="41" t="str">
        <f>IFERROR(__xludf.DUMMYFUNCTION("""COMPUTED_VALUE"""),"7-9'")</f>
        <v>7-9'</v>
      </c>
      <c r="F28" s="44">
        <f>IFERROR(__xludf.DUMMYFUNCTION("""COMPUTED_VALUE"""),1.0)</f>
        <v>1</v>
      </c>
      <c r="G28" s="41">
        <f>IFERROR(__xludf.DUMMYFUNCTION("""COMPUTED_VALUE"""),50.0)</f>
        <v>50</v>
      </c>
      <c r="H28" s="45">
        <f>IFERROR(__xludf.DUMMYFUNCTION("""COMPUTED_VALUE"""),45.0)</f>
        <v>45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>
      <c r="A29" s="41" t="str">
        <f>IFERROR(__xludf.DUMMYFUNCTION("""COMPUTED_VALUE"""),"Apple - Pink Lady")</f>
        <v>Apple - Pink Lady</v>
      </c>
      <c r="B29" s="41">
        <f>IFERROR(__xludf.DUMMYFUNCTION("""COMPUTED_VALUE"""),5.0)</f>
        <v>5</v>
      </c>
      <c r="C29" s="41" t="str">
        <f>IFERROR(__xludf.DUMMYFUNCTION("""COMPUTED_VALUE"""),"#5")</f>
        <v>#5</v>
      </c>
      <c r="D29" s="43" t="str">
        <f>IFERROR(__xludf.DUMMYFUNCTION("""COMPUTED_VALUE"""),"0-0""")</f>
        <v>0-0"</v>
      </c>
      <c r="E29" s="41" t="str">
        <f>IFERROR(__xludf.DUMMYFUNCTION("""COMPUTED_VALUE"""),"0-0'")</f>
        <v>0-0'</v>
      </c>
      <c r="F29" s="44">
        <f>IFERROR(__xludf.DUMMYFUNCTION("""COMPUTED_VALUE"""),0.0)</f>
        <v>0</v>
      </c>
      <c r="G29" s="41">
        <f>IFERROR(__xludf.DUMMYFUNCTION("""COMPUTED_VALUE"""),30.0)</f>
        <v>30</v>
      </c>
      <c r="H29" s="45">
        <f>IFERROR(__xludf.DUMMYFUNCTION("""COMPUTED_VALUE"""),45.0)</f>
        <v>45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>
      <c r="A30" s="41" t="str">
        <f>IFERROR(__xludf.DUMMYFUNCTION("""COMPUTED_VALUE"""),"Apple - Querina")</f>
        <v>Apple - Querina</v>
      </c>
      <c r="B30" s="41">
        <f>IFERROR(__xludf.DUMMYFUNCTION("""COMPUTED_VALUE"""),5.0)</f>
        <v>5</v>
      </c>
      <c r="C30" s="41" t="str">
        <f>IFERROR(__xludf.DUMMYFUNCTION("""COMPUTED_VALUE"""),"#5")</f>
        <v>#5</v>
      </c>
      <c r="D30" s="43" t="str">
        <f>IFERROR(__xludf.DUMMYFUNCTION("""COMPUTED_VALUE"""),"0.75-1.25""")</f>
        <v>0.75-1.25"</v>
      </c>
      <c r="E30" s="41" t="str">
        <f>IFERROR(__xludf.DUMMYFUNCTION("""COMPUTED_VALUE"""),"7-8'")</f>
        <v>7-8'</v>
      </c>
      <c r="F30" s="44">
        <f>IFERROR(__xludf.DUMMYFUNCTION("""COMPUTED_VALUE"""),13.0)</f>
        <v>13</v>
      </c>
      <c r="G30" s="41">
        <f>IFERROR(__xludf.DUMMYFUNCTION("""COMPUTED_VALUE"""),100.0)</f>
        <v>100</v>
      </c>
      <c r="H30" s="45">
        <f>IFERROR(__xludf.DUMMYFUNCTION("""COMPUTED_VALUE"""),45.0)</f>
        <v>45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>
      <c r="A31" s="41" t="str">
        <f>IFERROR(__xludf.DUMMYFUNCTION("""COMPUTED_VALUE"""),"Apple - Querina (standard)")</f>
        <v>Apple - Querina (standard)</v>
      </c>
      <c r="B31" s="41">
        <f>IFERROR(__xludf.DUMMYFUNCTION("""COMPUTED_VALUE"""),10.0)</f>
        <v>10</v>
      </c>
      <c r="C31" s="41" t="str">
        <f>IFERROR(__xludf.DUMMYFUNCTION("""COMPUTED_VALUE"""),"#10")</f>
        <v>#10</v>
      </c>
      <c r="D31" s="43" t="str">
        <f>IFERROR(__xludf.DUMMYFUNCTION("""COMPUTED_VALUE"""),"1-1""")</f>
        <v>1-1"</v>
      </c>
      <c r="E31" s="41" t="str">
        <f>IFERROR(__xludf.DUMMYFUNCTION("""COMPUTED_VALUE"""),"7-8'")</f>
        <v>7-8'</v>
      </c>
      <c r="F31" s="44">
        <f>IFERROR(__xludf.DUMMYFUNCTION("""COMPUTED_VALUE"""),1.0)</f>
        <v>1</v>
      </c>
      <c r="G31" s="41">
        <f>IFERROR(__xludf.DUMMYFUNCTION("""COMPUTED_VALUE"""),0.0)</f>
        <v>0</v>
      </c>
      <c r="H31" s="45">
        <f>IFERROR(__xludf.DUMMYFUNCTION("""COMPUTED_VALUE"""),70.0)</f>
        <v>70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>
      <c r="A32" s="41" t="str">
        <f>IFERROR(__xludf.DUMMYFUNCTION("""COMPUTED_VALUE"""),"Apple - Red Delicious")</f>
        <v>Apple - Red Delicious</v>
      </c>
      <c r="B32" s="41">
        <f>IFERROR(__xludf.DUMMYFUNCTION("""COMPUTED_VALUE"""),5.0)</f>
        <v>5</v>
      </c>
      <c r="C32" s="41" t="str">
        <f>IFERROR(__xludf.DUMMYFUNCTION("""COMPUTED_VALUE"""),"#5")</f>
        <v>#5</v>
      </c>
      <c r="D32" s="43" t="str">
        <f>IFERROR(__xludf.DUMMYFUNCTION("""COMPUTED_VALUE"""),"0-1""")</f>
        <v>0-1"</v>
      </c>
      <c r="E32" s="41" t="str">
        <f>IFERROR(__xludf.DUMMYFUNCTION("""COMPUTED_VALUE"""),"0-8'")</f>
        <v>0-8'</v>
      </c>
      <c r="F32" s="44">
        <f>IFERROR(__xludf.DUMMYFUNCTION("""COMPUTED_VALUE"""),0.0)</f>
        <v>0</v>
      </c>
      <c r="G32" s="41">
        <f>IFERROR(__xludf.DUMMYFUNCTION("""COMPUTED_VALUE"""),100.0)</f>
        <v>100</v>
      </c>
      <c r="H32" s="45">
        <f>IFERROR(__xludf.DUMMYFUNCTION("""COMPUTED_VALUE"""),45.0)</f>
        <v>45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>
      <c r="A33" s="41" t="str">
        <f>IFERROR(__xludf.DUMMYFUNCTION("""COMPUTED_VALUE"""),"Apple - Winesap")</f>
        <v>Apple - Winesap</v>
      </c>
      <c r="B33" s="41">
        <f>IFERROR(__xludf.DUMMYFUNCTION("""COMPUTED_VALUE"""),5.0)</f>
        <v>5</v>
      </c>
      <c r="C33" s="41" t="str">
        <f>IFERROR(__xludf.DUMMYFUNCTION("""COMPUTED_VALUE"""),"#5")</f>
        <v>#5</v>
      </c>
      <c r="D33" s="43" t="str">
        <f>IFERROR(__xludf.DUMMYFUNCTION("""COMPUTED_VALUE"""),"0.5-0.75""")</f>
        <v>0.5-0.75"</v>
      </c>
      <c r="E33" s="41" t="str">
        <f>IFERROR(__xludf.DUMMYFUNCTION("""COMPUTED_VALUE"""),"5-7'")</f>
        <v>5-7'</v>
      </c>
      <c r="F33" s="44">
        <f>IFERROR(__xludf.DUMMYFUNCTION("""COMPUTED_VALUE"""),4.0)</f>
        <v>4</v>
      </c>
      <c r="G33" s="41">
        <f>IFERROR(__xludf.DUMMYFUNCTION("""COMPUTED_VALUE"""),100.0)</f>
        <v>100</v>
      </c>
      <c r="H33" s="45">
        <f>IFERROR(__xludf.DUMMYFUNCTION("""COMPUTED_VALUE"""),45.0)</f>
        <v>45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>
      <c r="A34" s="41" t="str">
        <f>IFERROR(__xludf.DUMMYFUNCTION("""COMPUTED_VALUE"""),"Apple - Yellow Delicious")</f>
        <v>Apple - Yellow Delicious</v>
      </c>
      <c r="B34" s="41">
        <f>IFERROR(__xludf.DUMMYFUNCTION("""COMPUTED_VALUE"""),5.0)</f>
        <v>5</v>
      </c>
      <c r="C34" s="41" t="str">
        <f>IFERROR(__xludf.DUMMYFUNCTION("""COMPUTED_VALUE"""),"#5")</f>
        <v>#5</v>
      </c>
      <c r="D34" s="43" t="str">
        <f>IFERROR(__xludf.DUMMYFUNCTION("""COMPUTED_VALUE"""),"0.5-0.5""")</f>
        <v>0.5-0.5"</v>
      </c>
      <c r="E34" s="41" t="str">
        <f>IFERROR(__xludf.DUMMYFUNCTION("""COMPUTED_VALUE"""),"4-5'")</f>
        <v>4-5'</v>
      </c>
      <c r="F34" s="44">
        <f>IFERROR(__xludf.DUMMYFUNCTION("""COMPUTED_VALUE"""),0.0)</f>
        <v>0</v>
      </c>
      <c r="G34" s="41">
        <f>IFERROR(__xludf.DUMMYFUNCTION("""COMPUTED_VALUE"""),50.0)</f>
        <v>50</v>
      </c>
      <c r="H34" s="45">
        <f>IFERROR(__xludf.DUMMYFUNCTION("""COMPUTED_VALUE"""),45.0)</f>
        <v>45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>
      <c r="A35" s="41" t="str">
        <f>IFERROR(__xludf.DUMMYFUNCTION("""COMPUTED_VALUE"""),"Apricot - Golden Amber")</f>
        <v>Apricot - Golden Amber</v>
      </c>
      <c r="B35" s="41">
        <f>IFERROR(__xludf.DUMMYFUNCTION("""COMPUTED_VALUE"""),5.0)</f>
        <v>5</v>
      </c>
      <c r="C35" s="41" t="str">
        <f>IFERROR(__xludf.DUMMYFUNCTION("""COMPUTED_VALUE"""),"#5")</f>
        <v>#5</v>
      </c>
      <c r="D35" s="43" t="str">
        <f>IFERROR(__xludf.DUMMYFUNCTION("""COMPUTED_VALUE"""),"1-1""")</f>
        <v>1-1"</v>
      </c>
      <c r="E35" s="41" t="str">
        <f>IFERROR(__xludf.DUMMYFUNCTION("""COMPUTED_VALUE"""),"7-9'")</f>
        <v>7-9'</v>
      </c>
      <c r="F35" s="44">
        <f>IFERROR(__xludf.DUMMYFUNCTION("""COMPUTED_VALUE"""),2.0)</f>
        <v>2</v>
      </c>
      <c r="G35" s="41">
        <f>IFERROR(__xludf.DUMMYFUNCTION("""COMPUTED_VALUE"""),0.0)</f>
        <v>0</v>
      </c>
      <c r="H35" s="45">
        <f>IFERROR(__xludf.DUMMYFUNCTION("""COMPUTED_VALUE"""),45.0)</f>
        <v>45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>
      <c r="A36" s="41" t="str">
        <f>IFERROR(__xludf.DUMMYFUNCTION("""COMPUTED_VALUE"""),"Apricot - Harlayne")</f>
        <v>Apricot - Harlayne</v>
      </c>
      <c r="B36" s="41">
        <f>IFERROR(__xludf.DUMMYFUNCTION("""COMPUTED_VALUE"""),5.0)</f>
        <v>5</v>
      </c>
      <c r="C36" s="41" t="str">
        <f>IFERROR(__xludf.DUMMYFUNCTION("""COMPUTED_VALUE"""),"#5")</f>
        <v>#5</v>
      </c>
      <c r="D36" s="43" t="str">
        <f>IFERROR(__xludf.DUMMYFUNCTION("""COMPUTED_VALUE"""),"0.75-0.75""")</f>
        <v>0.75-0.75"</v>
      </c>
      <c r="E36" s="41" t="str">
        <f>IFERROR(__xludf.DUMMYFUNCTION("""COMPUTED_VALUE"""),"5-7'")</f>
        <v>5-7'</v>
      </c>
      <c r="F36" s="44">
        <f>IFERROR(__xludf.DUMMYFUNCTION("""COMPUTED_VALUE"""),2.0)</f>
        <v>2</v>
      </c>
      <c r="G36" s="41">
        <f>IFERROR(__xludf.DUMMYFUNCTION("""COMPUTED_VALUE"""),50.0)</f>
        <v>50</v>
      </c>
      <c r="H36" s="45">
        <f>IFERROR(__xludf.DUMMYFUNCTION("""COMPUTED_VALUE"""),45.0)</f>
        <v>45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>
      <c r="A37" s="41" t="str">
        <f>IFERROR(__xludf.DUMMYFUNCTION("""COMPUTED_VALUE"""),"Apricot - Moorpark")</f>
        <v>Apricot - Moorpark</v>
      </c>
      <c r="B37" s="41">
        <f>IFERROR(__xludf.DUMMYFUNCTION("""COMPUTED_VALUE"""),7.0)</f>
        <v>7</v>
      </c>
      <c r="C37" s="41" t="str">
        <f>IFERROR(__xludf.DUMMYFUNCTION("""COMPUTED_VALUE"""),"#7")</f>
        <v>#7</v>
      </c>
      <c r="D37" s="43" t="str">
        <f>IFERROR(__xludf.DUMMYFUNCTION("""COMPUTED_VALUE"""),"0.75-1""")</f>
        <v>0.75-1"</v>
      </c>
      <c r="E37" s="41" t="str">
        <f>IFERROR(__xludf.DUMMYFUNCTION("""COMPUTED_VALUE"""),"6-7'")</f>
        <v>6-7'</v>
      </c>
      <c r="F37" s="44">
        <f>IFERROR(__xludf.DUMMYFUNCTION("""COMPUTED_VALUE"""),2.0)</f>
        <v>2</v>
      </c>
      <c r="G37" s="41">
        <f>IFERROR(__xludf.DUMMYFUNCTION("""COMPUTED_VALUE"""),0.0)</f>
        <v>0</v>
      </c>
      <c r="H37" s="45">
        <f>IFERROR(__xludf.DUMMYFUNCTION("""COMPUTED_VALUE"""),65.0)</f>
        <v>65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>
      <c r="A38" s="41" t="str">
        <f>IFERROR(__xludf.DUMMYFUNCTION("""COMPUTED_VALUE"""),"Apricot - OrangeRed")</f>
        <v>Apricot - OrangeRed</v>
      </c>
      <c r="B38" s="41">
        <f>IFERROR(__xludf.DUMMYFUNCTION("""COMPUTED_VALUE"""),5.0)</f>
        <v>5</v>
      </c>
      <c r="C38" s="41" t="str">
        <f>IFERROR(__xludf.DUMMYFUNCTION("""COMPUTED_VALUE"""),"#5")</f>
        <v>#5</v>
      </c>
      <c r="D38" s="43" t="str">
        <f>IFERROR(__xludf.DUMMYFUNCTION("""COMPUTED_VALUE"""),"0.75-1""")</f>
        <v>0.75-1"</v>
      </c>
      <c r="E38" s="41" t="str">
        <f>IFERROR(__xludf.DUMMYFUNCTION("""COMPUTED_VALUE"""),"6-10'")</f>
        <v>6-10'</v>
      </c>
      <c r="F38" s="44">
        <f>IFERROR(__xludf.DUMMYFUNCTION("""COMPUTED_VALUE"""),2.0)</f>
        <v>2</v>
      </c>
      <c r="G38" s="41">
        <f>IFERROR(__xludf.DUMMYFUNCTION("""COMPUTED_VALUE"""),25.0)</f>
        <v>25</v>
      </c>
      <c r="H38" s="45">
        <f>IFERROR(__xludf.DUMMYFUNCTION("""COMPUTED_VALUE"""),45.0)</f>
        <v>45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>
      <c r="A39" s="41" t="str">
        <f>IFERROR(__xludf.DUMMYFUNCTION("""COMPUTED_VALUE"""),"Apricot - OrangeRed")</f>
        <v>Apricot - OrangeRed</v>
      </c>
      <c r="B39" s="41">
        <f>IFERROR(__xludf.DUMMYFUNCTION("""COMPUTED_VALUE"""),7.0)</f>
        <v>7</v>
      </c>
      <c r="C39" s="41" t="str">
        <f>IFERROR(__xludf.DUMMYFUNCTION("""COMPUTED_VALUE"""),"#7")</f>
        <v>#7</v>
      </c>
      <c r="D39" s="43" t="str">
        <f>IFERROR(__xludf.DUMMYFUNCTION("""COMPUTED_VALUE"""),"0.75-1""")</f>
        <v>0.75-1"</v>
      </c>
      <c r="E39" s="41" t="str">
        <f>IFERROR(__xludf.DUMMYFUNCTION("""COMPUTED_VALUE"""),"5-10'")</f>
        <v>5-10'</v>
      </c>
      <c r="F39" s="44">
        <f>IFERROR(__xludf.DUMMYFUNCTION("""COMPUTED_VALUE"""),2.0)</f>
        <v>2</v>
      </c>
      <c r="G39" s="41">
        <f>IFERROR(__xludf.DUMMYFUNCTION("""COMPUTED_VALUE"""),0.0)</f>
        <v>0</v>
      </c>
      <c r="H39" s="45">
        <f>IFERROR(__xludf.DUMMYFUNCTION("""COMPUTED_VALUE"""),65.0)</f>
        <v>65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>
      <c r="A40" s="41" t="str">
        <f>IFERROR(__xludf.DUMMYFUNCTION("""COMPUTED_VALUE"""),"Asian Pear - Hosui")</f>
        <v>Asian Pear - Hosui</v>
      </c>
      <c r="B40" s="41">
        <f>IFERROR(__xludf.DUMMYFUNCTION("""COMPUTED_VALUE"""),5.0)</f>
        <v>5</v>
      </c>
      <c r="C40" s="41" t="str">
        <f>IFERROR(__xludf.DUMMYFUNCTION("""COMPUTED_VALUE"""),"#5")</f>
        <v>#5</v>
      </c>
      <c r="D40" s="43" t="str">
        <f>IFERROR(__xludf.DUMMYFUNCTION("""COMPUTED_VALUE"""),"0.5-0.75""")</f>
        <v>0.5-0.75"</v>
      </c>
      <c r="E40" s="41" t="str">
        <f>IFERROR(__xludf.DUMMYFUNCTION("""COMPUTED_VALUE"""),"3-5'")</f>
        <v>3-5'</v>
      </c>
      <c r="F40" s="44">
        <f>IFERROR(__xludf.DUMMYFUNCTION("""COMPUTED_VALUE"""),0.0)</f>
        <v>0</v>
      </c>
      <c r="G40" s="41">
        <f>IFERROR(__xludf.DUMMYFUNCTION("""COMPUTED_VALUE"""),100.0)</f>
        <v>100</v>
      </c>
      <c r="H40" s="45">
        <f>IFERROR(__xludf.DUMMYFUNCTION("""COMPUTED_VALUE"""),45.0)</f>
        <v>45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>
      <c r="A41" s="41" t="str">
        <f>IFERROR(__xludf.DUMMYFUNCTION("""COMPUTED_VALUE"""),"Asian Pear - Kosui")</f>
        <v>Asian Pear - Kosui</v>
      </c>
      <c r="B41" s="41">
        <f>IFERROR(__xludf.DUMMYFUNCTION("""COMPUTED_VALUE"""),5.0)</f>
        <v>5</v>
      </c>
      <c r="C41" s="41" t="str">
        <f>IFERROR(__xludf.DUMMYFUNCTION("""COMPUTED_VALUE"""),"#5")</f>
        <v>#5</v>
      </c>
      <c r="D41" s="43" t="str">
        <f>IFERROR(__xludf.DUMMYFUNCTION("""COMPUTED_VALUE"""),"0.5-0.75""")</f>
        <v>0.5-0.75"</v>
      </c>
      <c r="E41" s="41" t="str">
        <f>IFERROR(__xludf.DUMMYFUNCTION("""COMPUTED_VALUE"""),"3-5'")</f>
        <v>3-5'</v>
      </c>
      <c r="F41" s="44">
        <f>IFERROR(__xludf.DUMMYFUNCTION("""COMPUTED_VALUE"""),0.0)</f>
        <v>0</v>
      </c>
      <c r="G41" s="41">
        <f>IFERROR(__xludf.DUMMYFUNCTION("""COMPUTED_VALUE"""),100.0)</f>
        <v>100</v>
      </c>
      <c r="H41" s="45">
        <f>IFERROR(__xludf.DUMMYFUNCTION("""COMPUTED_VALUE"""),45.0)</f>
        <v>45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>
      <c r="A42" s="41" t="str">
        <f>IFERROR(__xludf.DUMMYFUNCTION("""COMPUTED_VALUE"""),"Asian Pear - Kosui")</f>
        <v>Asian Pear - Kosui</v>
      </c>
      <c r="B42" s="41">
        <f>IFERROR(__xludf.DUMMYFUNCTION("""COMPUTED_VALUE"""),7.0)</f>
        <v>7</v>
      </c>
      <c r="C42" s="41" t="str">
        <f>IFERROR(__xludf.DUMMYFUNCTION("""COMPUTED_VALUE"""),"#7")</f>
        <v>#7</v>
      </c>
      <c r="D42" s="43" t="str">
        <f>IFERROR(__xludf.DUMMYFUNCTION("""COMPUTED_VALUE"""),"0.75-1""")</f>
        <v>0.75-1"</v>
      </c>
      <c r="E42" s="41" t="str">
        <f>IFERROR(__xludf.DUMMYFUNCTION("""COMPUTED_VALUE"""),"7-8'")</f>
        <v>7-8'</v>
      </c>
      <c r="F42" s="44">
        <f>IFERROR(__xludf.DUMMYFUNCTION("""COMPUTED_VALUE"""),2.0)</f>
        <v>2</v>
      </c>
      <c r="G42" s="41">
        <f>IFERROR(__xludf.DUMMYFUNCTION("""COMPUTED_VALUE"""),0.0)</f>
        <v>0</v>
      </c>
      <c r="H42" s="45">
        <f>IFERROR(__xludf.DUMMYFUNCTION("""COMPUTED_VALUE"""),65.0)</f>
        <v>65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>
      <c r="A43" s="41" t="str">
        <f>IFERROR(__xludf.DUMMYFUNCTION("""COMPUTED_VALUE"""),"Asian Pear - Shinko")</f>
        <v>Asian Pear - Shinko</v>
      </c>
      <c r="B43" s="41">
        <f>IFERROR(__xludf.DUMMYFUNCTION("""COMPUTED_VALUE"""),5.0)</f>
        <v>5</v>
      </c>
      <c r="C43" s="41" t="str">
        <f>IFERROR(__xludf.DUMMYFUNCTION("""COMPUTED_VALUE"""),"#5")</f>
        <v>#5</v>
      </c>
      <c r="D43" s="43" t="str">
        <f>IFERROR(__xludf.DUMMYFUNCTION("""COMPUTED_VALUE"""),"0-0.5""")</f>
        <v>0-0.5"</v>
      </c>
      <c r="E43" s="41" t="str">
        <f>IFERROR(__xludf.DUMMYFUNCTION("""COMPUTED_VALUE"""),"0-5'")</f>
        <v>0-5'</v>
      </c>
      <c r="F43" s="44">
        <f>IFERROR(__xludf.DUMMYFUNCTION("""COMPUTED_VALUE"""),0.0)</f>
        <v>0</v>
      </c>
      <c r="G43" s="41">
        <f>IFERROR(__xludf.DUMMYFUNCTION("""COMPUTED_VALUE"""),100.0)</f>
        <v>100</v>
      </c>
      <c r="H43" s="45">
        <f>IFERROR(__xludf.DUMMYFUNCTION("""COMPUTED_VALUE"""),45.0)</f>
        <v>45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>
      <c r="A44" s="41" t="str">
        <f>IFERROR(__xludf.DUMMYFUNCTION("""COMPUTED_VALUE"""),"Blackberry - Ouchita")</f>
        <v>Blackberry - Ouchita</v>
      </c>
      <c r="B44" s="41">
        <f>IFERROR(__xludf.DUMMYFUNCTION("""COMPUTED_VALUE"""),5.0)</f>
        <v>5</v>
      </c>
      <c r="C44" s="41" t="str">
        <f>IFERROR(__xludf.DUMMYFUNCTION("""COMPUTED_VALUE"""),"#5")</f>
        <v>#5</v>
      </c>
      <c r="D44" s="43" t="str">
        <f>IFERROR(__xludf.DUMMYFUNCTION("""COMPUTED_VALUE"""),"Multi")</f>
        <v>Multi</v>
      </c>
      <c r="E44" s="41" t="str">
        <f>IFERROR(__xludf.DUMMYFUNCTION("""COMPUTED_VALUE"""),"1-3'")</f>
        <v>1-3'</v>
      </c>
      <c r="F44" s="44">
        <f>IFERROR(__xludf.DUMMYFUNCTION("""COMPUTED_VALUE"""),17.0)</f>
        <v>17</v>
      </c>
      <c r="G44" s="41">
        <f>IFERROR(__xludf.DUMMYFUNCTION("""COMPUTED_VALUE"""),72.0)</f>
        <v>72</v>
      </c>
      <c r="H44" s="45">
        <f>IFERROR(__xludf.DUMMYFUNCTION("""COMPUTED_VALUE"""),32.0)</f>
        <v>32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>
      <c r="A45" s="41" t="str">
        <f>IFERROR(__xludf.DUMMYFUNCTION("""COMPUTED_VALUE"""),"Blackberry - Prime-ark 'Freedom'")</f>
        <v>Blackberry - Prime-ark 'Freedom'</v>
      </c>
      <c r="B45" s="41">
        <f>IFERROR(__xludf.DUMMYFUNCTION("""COMPUTED_VALUE"""),5.0)</f>
        <v>5</v>
      </c>
      <c r="C45" s="41" t="str">
        <f>IFERROR(__xludf.DUMMYFUNCTION("""COMPUTED_VALUE"""),"#5")</f>
        <v>#5</v>
      </c>
      <c r="D45" s="43" t="str">
        <f>IFERROR(__xludf.DUMMYFUNCTION("""COMPUTED_VALUE"""),"Multi")</f>
        <v>Multi</v>
      </c>
      <c r="E45" s="41" t="str">
        <f>IFERROR(__xludf.DUMMYFUNCTION("""COMPUTED_VALUE"""),"1-2'")</f>
        <v>1-2'</v>
      </c>
      <c r="F45" s="44">
        <f>IFERROR(__xludf.DUMMYFUNCTION("""COMPUTED_VALUE"""),7.0)</f>
        <v>7</v>
      </c>
      <c r="G45" s="41">
        <f>IFERROR(__xludf.DUMMYFUNCTION("""COMPUTED_VALUE"""),72.0)</f>
        <v>72</v>
      </c>
      <c r="H45" s="45">
        <f>IFERROR(__xludf.DUMMYFUNCTION("""COMPUTED_VALUE"""),32.0)</f>
        <v>32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>
      <c r="A46" s="41" t="str">
        <f>IFERROR(__xludf.DUMMYFUNCTION("""COMPUTED_VALUE"""),"Blueberry - Duke")</f>
        <v>Blueberry - Duke</v>
      </c>
      <c r="B46" s="41">
        <f>IFERROR(__xludf.DUMMYFUNCTION("""COMPUTED_VALUE"""),3.0)</f>
        <v>3</v>
      </c>
      <c r="C46" s="41" t="str">
        <f>IFERROR(__xludf.DUMMYFUNCTION("""COMPUTED_VALUE"""),"#3")</f>
        <v>#3</v>
      </c>
      <c r="D46" s="43" t="str">
        <f>IFERROR(__xludf.DUMMYFUNCTION("""COMPUTED_VALUE"""),"0-0""")</f>
        <v>0-0"</v>
      </c>
      <c r="E46" s="41" t="str">
        <f>IFERROR(__xludf.DUMMYFUNCTION("""COMPUTED_VALUE"""),"1-2'")</f>
        <v>1-2'</v>
      </c>
      <c r="F46" s="41">
        <f>IFERROR(__xludf.DUMMYFUNCTION("""COMPUTED_VALUE"""),14.0)</f>
        <v>14</v>
      </c>
      <c r="G46" s="41">
        <f>IFERROR(__xludf.DUMMYFUNCTION("""COMPUTED_VALUE"""),0.0)</f>
        <v>0</v>
      </c>
      <c r="H46" s="45">
        <f>IFERROR(__xludf.DUMMYFUNCTION("""COMPUTED_VALUE"""),30.0)</f>
        <v>30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>
      <c r="A47" s="41" t="str">
        <f>IFERROR(__xludf.DUMMYFUNCTION("""COMPUTED_VALUE"""),"Chestnut - Chinese")</f>
        <v>Chestnut - Chinese</v>
      </c>
      <c r="B47" s="41">
        <f>IFERROR(__xludf.DUMMYFUNCTION("""COMPUTED_VALUE"""),5.0)</f>
        <v>5</v>
      </c>
      <c r="C47" s="41" t="str">
        <f>IFERROR(__xludf.DUMMYFUNCTION("""COMPUTED_VALUE"""),"#5")</f>
        <v>#5</v>
      </c>
      <c r="D47" s="43" t="str">
        <f>IFERROR(__xludf.DUMMYFUNCTION("""COMPUTED_VALUE"""),"0.125-0.75""")</f>
        <v>0.125-0.75"</v>
      </c>
      <c r="E47" s="41" t="str">
        <f>IFERROR(__xludf.DUMMYFUNCTION("""COMPUTED_VALUE"""),"3-4.5'")</f>
        <v>3-4.5'</v>
      </c>
      <c r="F47" s="44">
        <f>IFERROR(__xludf.DUMMYFUNCTION("""COMPUTED_VALUE"""),69.0)</f>
        <v>69</v>
      </c>
      <c r="G47" s="41">
        <f>IFERROR(__xludf.DUMMYFUNCTION("""COMPUTED_VALUE"""),0.0)</f>
        <v>0</v>
      </c>
      <c r="H47" s="45">
        <f>IFERROR(__xludf.DUMMYFUNCTION("""COMPUTED_VALUE"""),40.0)</f>
        <v>40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>
      <c r="A48" s="41" t="str">
        <f>IFERROR(__xludf.DUMMYFUNCTION("""COMPUTED_VALUE"""),"Fig - Brown Turkey")</f>
        <v>Fig - Brown Turkey</v>
      </c>
      <c r="B48" s="41">
        <f>IFERROR(__xludf.DUMMYFUNCTION("""COMPUTED_VALUE"""),5.0)</f>
        <v>5</v>
      </c>
      <c r="C48" s="41" t="str">
        <f>IFERROR(__xludf.DUMMYFUNCTION("""COMPUTED_VALUE"""),"#5")</f>
        <v>#5</v>
      </c>
      <c r="D48" s="46" t="str">
        <f>IFERROR(__xludf.DUMMYFUNCTION("""COMPUTED_VALUE"""),"Multi")</f>
        <v>Multi</v>
      </c>
      <c r="E48" s="41" t="str">
        <f>IFERROR(__xludf.DUMMYFUNCTION("""COMPUTED_VALUE"""),"0.5-1'")</f>
        <v>0.5-1'</v>
      </c>
      <c r="F48" s="44">
        <f>IFERROR(__xludf.DUMMYFUNCTION("""COMPUTED_VALUE"""),23.0)</f>
        <v>23</v>
      </c>
      <c r="G48" s="41">
        <f>IFERROR(__xludf.DUMMYFUNCTION("""COMPUTED_VALUE"""),72.0)</f>
        <v>72</v>
      </c>
      <c r="H48" s="45">
        <f>IFERROR(__xludf.DUMMYFUNCTION("""COMPUTED_VALUE"""),35.0)</f>
        <v>35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49">
      <c r="A49" s="41" t="str">
        <f>IFERROR(__xludf.DUMMYFUNCTION("""COMPUTED_VALUE"""),"Fig - Chicago Hardy")</f>
        <v>Fig - Chicago Hardy</v>
      </c>
      <c r="B49" s="41">
        <f>IFERROR(__xludf.DUMMYFUNCTION("""COMPUTED_VALUE"""),5.0)</f>
        <v>5</v>
      </c>
      <c r="C49" s="41" t="str">
        <f>IFERROR(__xludf.DUMMYFUNCTION("""COMPUTED_VALUE"""),"#5")</f>
        <v>#5</v>
      </c>
      <c r="D49" s="46" t="str">
        <f>IFERROR(__xludf.DUMMYFUNCTION("""COMPUTED_VALUE"""),"Multi")</f>
        <v>Multi</v>
      </c>
      <c r="E49" s="41" t="str">
        <f>IFERROR(__xludf.DUMMYFUNCTION("""COMPUTED_VALUE"""),"0.5-1'")</f>
        <v>0.5-1'</v>
      </c>
      <c r="F49" s="44">
        <f>IFERROR(__xludf.DUMMYFUNCTION("""COMPUTED_VALUE"""),19.0)</f>
        <v>19</v>
      </c>
      <c r="G49" s="41">
        <f>IFERROR(__xludf.DUMMYFUNCTION("""COMPUTED_VALUE"""),144.0)</f>
        <v>144</v>
      </c>
      <c r="H49" s="45">
        <f>IFERROR(__xludf.DUMMYFUNCTION("""COMPUTED_VALUE"""),35.0)</f>
        <v>35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</row>
    <row r="50">
      <c r="A50" s="41" t="str">
        <f>IFERROR(__xludf.DUMMYFUNCTION("""COMPUTED_VALUE"""),"Fig - Olympian")</f>
        <v>Fig - Olympian</v>
      </c>
      <c r="B50" s="41">
        <f>IFERROR(__xludf.DUMMYFUNCTION("""COMPUTED_VALUE"""),5.0)</f>
        <v>5</v>
      </c>
      <c r="C50" s="41" t="str">
        <f>IFERROR(__xludf.DUMMYFUNCTION("""COMPUTED_VALUE"""),"#5")</f>
        <v>#5</v>
      </c>
      <c r="D50" s="46" t="str">
        <f>IFERROR(__xludf.DUMMYFUNCTION("""COMPUTED_VALUE"""),"Multi")</f>
        <v>Multi</v>
      </c>
      <c r="E50" s="41" t="str">
        <f>IFERROR(__xludf.DUMMYFUNCTION("""COMPUTED_VALUE"""),"0-2'")</f>
        <v>0-2'</v>
      </c>
      <c r="F50" s="44">
        <f>IFERROR(__xludf.DUMMYFUNCTION("""COMPUTED_VALUE"""),0.0)</f>
        <v>0</v>
      </c>
      <c r="G50" s="41">
        <f>IFERROR(__xludf.DUMMYFUNCTION("""COMPUTED_VALUE"""),72.0)</f>
        <v>72</v>
      </c>
      <c r="H50" s="45">
        <f>IFERROR(__xludf.DUMMYFUNCTION("""COMPUTED_VALUE"""),35.0)</f>
        <v>35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>
      <c r="A51" s="41" t="str">
        <f>IFERROR(__xludf.DUMMYFUNCTION("""COMPUTED_VALUE"""),"Hardy Kiwi - Prolific")</f>
        <v>Hardy Kiwi - Prolific</v>
      </c>
      <c r="B51" s="41">
        <f>IFERROR(__xludf.DUMMYFUNCTION("""COMPUTED_VALUE"""),5.0)</f>
        <v>5</v>
      </c>
      <c r="C51" s="41" t="str">
        <f>IFERROR(__xludf.DUMMYFUNCTION("""COMPUTED_VALUE"""),"#5")</f>
        <v>#5</v>
      </c>
      <c r="D51" s="43" t="str">
        <f>IFERROR(__xludf.DUMMYFUNCTION("""COMPUTED_VALUE"""),"0.5-0.5""")</f>
        <v>0.5-0.5"</v>
      </c>
      <c r="E51" s="41" t="str">
        <f>IFERROR(__xludf.DUMMYFUNCTION("""COMPUTED_VALUE"""),"3-4'")</f>
        <v>3-4'</v>
      </c>
      <c r="F51" s="44">
        <f>IFERROR(__xludf.DUMMYFUNCTION("""COMPUTED_VALUE"""),0.0)</f>
        <v>0</v>
      </c>
      <c r="G51" s="41">
        <f>IFERROR(__xludf.DUMMYFUNCTION("""COMPUTED_VALUE"""),72.0)</f>
        <v>72</v>
      </c>
      <c r="H51" s="45">
        <f>IFERROR(__xludf.DUMMYFUNCTION("""COMPUTED_VALUE"""),40.0)</f>
        <v>40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>
      <c r="A52" s="41" t="str">
        <f>IFERROR(__xludf.DUMMYFUNCTION("""COMPUTED_VALUE"""),"Jujube - Li")</f>
        <v>Jujube - Li</v>
      </c>
      <c r="B52" s="41">
        <f>IFERROR(__xludf.DUMMYFUNCTION("""COMPUTED_VALUE"""),7.0)</f>
        <v>7</v>
      </c>
      <c r="C52" s="41" t="str">
        <f>IFERROR(__xludf.DUMMYFUNCTION("""COMPUTED_VALUE"""),"#7")</f>
        <v>#7</v>
      </c>
      <c r="D52" s="43" t="str">
        <f>IFERROR(__xludf.DUMMYFUNCTION("""COMPUTED_VALUE"""),"0.38-0.38""")</f>
        <v>0.38-0.38"</v>
      </c>
      <c r="E52" s="41" t="str">
        <f>IFERROR(__xludf.DUMMYFUNCTION("""COMPUTED_VALUE"""),"1-2'")</f>
        <v>1-2'</v>
      </c>
      <c r="F52" s="44">
        <f>IFERROR(__xludf.DUMMYFUNCTION("""COMPUTED_VALUE"""),0.0)</f>
        <v>0</v>
      </c>
      <c r="G52" s="41">
        <f>IFERROR(__xludf.DUMMYFUNCTION("""COMPUTED_VALUE"""),50.0)</f>
        <v>50</v>
      </c>
      <c r="H52" s="45">
        <f>IFERROR(__xludf.DUMMYFUNCTION("""COMPUTED_VALUE"""),80.0)</f>
        <v>80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</row>
    <row r="53">
      <c r="A53" s="41" t="str">
        <f>IFERROR(__xludf.DUMMYFUNCTION("""COMPUTED_VALUE"""),"Mulberry - Everbearing ")</f>
        <v>Mulberry - Everbearing </v>
      </c>
      <c r="B53" s="41">
        <f>IFERROR(__xludf.DUMMYFUNCTION("""COMPUTED_VALUE"""),5.0)</f>
        <v>5</v>
      </c>
      <c r="C53" s="41" t="str">
        <f>IFERROR(__xludf.DUMMYFUNCTION("""COMPUTED_VALUE"""),"#5")</f>
        <v>#5</v>
      </c>
      <c r="D53" s="43" t="str">
        <f>IFERROR(__xludf.DUMMYFUNCTION("""COMPUTED_VALUE"""),"0.25-0.25""")</f>
        <v>0.25-0.25"</v>
      </c>
      <c r="E53" s="41" t="str">
        <f>IFERROR(__xludf.DUMMYFUNCTION("""COMPUTED_VALUE"""),"2-3'")</f>
        <v>2-3'</v>
      </c>
      <c r="F53" s="44">
        <f>IFERROR(__xludf.DUMMYFUNCTION("""COMPUTED_VALUE"""),17.0)</f>
        <v>17</v>
      </c>
      <c r="G53" s="41">
        <f>IFERROR(__xludf.DUMMYFUNCTION("""COMPUTED_VALUE"""),72.0)</f>
        <v>72</v>
      </c>
      <c r="H53" s="45">
        <f>IFERROR(__xludf.DUMMYFUNCTION("""COMPUTED_VALUE"""),35.0)</f>
        <v>35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>
      <c r="A54" s="41" t="str">
        <f>IFERROR(__xludf.DUMMYFUNCTION("""COMPUTED_VALUE"""),"Mulberry - Red")</f>
        <v>Mulberry - Red</v>
      </c>
      <c r="B54" s="41">
        <f>IFERROR(__xludf.DUMMYFUNCTION("""COMPUTED_VALUE"""),5.0)</f>
        <v>5</v>
      </c>
      <c r="C54" s="41" t="str">
        <f>IFERROR(__xludf.DUMMYFUNCTION("""COMPUTED_VALUE"""),"#5")</f>
        <v>#5</v>
      </c>
      <c r="D54" s="43" t="str">
        <f>IFERROR(__xludf.DUMMYFUNCTION("""COMPUTED_VALUE"""),"0.25-0.5""")</f>
        <v>0.25-0.5"</v>
      </c>
      <c r="E54" s="41" t="str">
        <f>IFERROR(__xludf.DUMMYFUNCTION("""COMPUTED_VALUE"""),"3-5'")</f>
        <v>3-5'</v>
      </c>
      <c r="F54" s="44">
        <f>IFERROR(__xludf.DUMMYFUNCTION("""COMPUTED_VALUE"""),1.0)</f>
        <v>1</v>
      </c>
      <c r="G54" s="41">
        <f>IFERROR(__xludf.DUMMYFUNCTION("""COMPUTED_VALUE"""),50.0)</f>
        <v>50</v>
      </c>
      <c r="H54" s="45">
        <f>IFERROR(__xludf.DUMMYFUNCTION("""COMPUTED_VALUE"""),40.0)</f>
        <v>40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>
      <c r="A55" s="41" t="str">
        <f>IFERROR(__xludf.DUMMYFUNCTION("""COMPUTED_VALUE"""),"Mulberry - White")</f>
        <v>Mulberry - White</v>
      </c>
      <c r="B55" s="41">
        <f>IFERROR(__xludf.DUMMYFUNCTION("""COMPUTED_VALUE"""),5.0)</f>
        <v>5</v>
      </c>
      <c r="C55" s="41" t="str">
        <f>IFERROR(__xludf.DUMMYFUNCTION("""COMPUTED_VALUE"""),"#5")</f>
        <v>#5</v>
      </c>
      <c r="D55" s="43" t="str">
        <f>IFERROR(__xludf.DUMMYFUNCTION("""COMPUTED_VALUE"""),"0.25-0.75""")</f>
        <v>0.25-0.75"</v>
      </c>
      <c r="E55" s="41" t="str">
        <f>IFERROR(__xludf.DUMMYFUNCTION("""COMPUTED_VALUE"""),"3-4.5'")</f>
        <v>3-4.5'</v>
      </c>
      <c r="F55" s="44">
        <f>IFERROR(__xludf.DUMMYFUNCTION("""COMPUTED_VALUE"""),22.0)</f>
        <v>22</v>
      </c>
      <c r="G55" s="41">
        <f>IFERROR(__xludf.DUMMYFUNCTION("""COMPUTED_VALUE"""),50.0)</f>
        <v>50</v>
      </c>
      <c r="H55" s="45">
        <f>IFERROR(__xludf.DUMMYFUNCTION("""COMPUTED_VALUE"""),40.0)</f>
        <v>40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>
      <c r="A56" s="41" t="str">
        <f>IFERROR(__xludf.DUMMYFUNCTION("""COMPUTED_VALUE"""),"Nectarine - Fantasia")</f>
        <v>Nectarine - Fantasia</v>
      </c>
      <c r="B56" s="41">
        <f>IFERROR(__xludf.DUMMYFUNCTION("""COMPUTED_VALUE"""),5.0)</f>
        <v>5</v>
      </c>
      <c r="C56" s="41" t="str">
        <f>IFERROR(__xludf.DUMMYFUNCTION("""COMPUTED_VALUE"""),"#5")</f>
        <v>#5</v>
      </c>
      <c r="D56" s="43" t="str">
        <f>IFERROR(__xludf.DUMMYFUNCTION("""COMPUTED_VALUE"""),"0.75-1""")</f>
        <v>0.75-1"</v>
      </c>
      <c r="E56" s="41" t="str">
        <f>IFERROR(__xludf.DUMMYFUNCTION("""COMPUTED_VALUE"""),"6-7'")</f>
        <v>6-7'</v>
      </c>
      <c r="F56" s="44">
        <f>IFERROR(__xludf.DUMMYFUNCTION("""COMPUTED_VALUE"""),65.0)</f>
        <v>65</v>
      </c>
      <c r="G56" s="41">
        <f>IFERROR(__xludf.DUMMYFUNCTION("""COMPUTED_VALUE"""),50.0)</f>
        <v>50</v>
      </c>
      <c r="H56" s="45">
        <f>IFERROR(__xludf.DUMMYFUNCTION("""COMPUTED_VALUE"""),45.0)</f>
        <v>45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</row>
    <row r="57">
      <c r="A57" s="41" t="str">
        <f>IFERROR(__xludf.DUMMYFUNCTION("""COMPUTED_VALUE"""),"Nectarine - Fantasia")</f>
        <v>Nectarine - Fantasia</v>
      </c>
      <c r="B57" s="41">
        <f>IFERROR(__xludf.DUMMYFUNCTION("""COMPUTED_VALUE"""),7.0)</f>
        <v>7</v>
      </c>
      <c r="C57" s="41" t="str">
        <f>IFERROR(__xludf.DUMMYFUNCTION("""COMPUTED_VALUE"""),"#7")</f>
        <v>#7</v>
      </c>
      <c r="D57" s="43" t="str">
        <f>IFERROR(__xludf.DUMMYFUNCTION("""COMPUTED_VALUE"""),"1.25-1.25""")</f>
        <v>1.25-1.25"</v>
      </c>
      <c r="E57" s="41" t="str">
        <f>IFERROR(__xludf.DUMMYFUNCTION("""COMPUTED_VALUE"""),"6-7'")</f>
        <v>6-7'</v>
      </c>
      <c r="F57" s="44">
        <f>IFERROR(__xludf.DUMMYFUNCTION("""COMPUTED_VALUE"""),8.0)</f>
        <v>8</v>
      </c>
      <c r="G57" s="41">
        <f>IFERROR(__xludf.DUMMYFUNCTION("""COMPUTED_VALUE"""),0.0)</f>
        <v>0</v>
      </c>
      <c r="H57" s="45">
        <f>IFERROR(__xludf.DUMMYFUNCTION("""COMPUTED_VALUE"""),70.0)</f>
        <v>70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>
      <c r="A58" s="41" t="str">
        <f>IFERROR(__xludf.DUMMYFUNCTION("""COMPUTED_VALUE"""),"Nectarine - Flavortop")</f>
        <v>Nectarine - Flavortop</v>
      </c>
      <c r="B58" s="41">
        <f>IFERROR(__xludf.DUMMYFUNCTION("""COMPUTED_VALUE"""),5.0)</f>
        <v>5</v>
      </c>
      <c r="C58" s="41" t="str">
        <f>IFERROR(__xludf.DUMMYFUNCTION("""COMPUTED_VALUE"""),"#5")</f>
        <v>#5</v>
      </c>
      <c r="D58" s="43" t="str">
        <f>IFERROR(__xludf.DUMMYFUNCTION("""COMPUTED_VALUE"""),"0.75-1""")</f>
        <v>0.75-1"</v>
      </c>
      <c r="E58" s="41" t="str">
        <f>IFERROR(__xludf.DUMMYFUNCTION("""COMPUTED_VALUE"""),"5-8'")</f>
        <v>5-8'</v>
      </c>
      <c r="F58" s="44">
        <f>IFERROR(__xludf.DUMMYFUNCTION("""COMPUTED_VALUE"""),1.0)</f>
        <v>1</v>
      </c>
      <c r="G58" s="41">
        <f>IFERROR(__xludf.DUMMYFUNCTION("""COMPUTED_VALUE"""),50.0)</f>
        <v>50</v>
      </c>
      <c r="H58" s="45">
        <f>IFERROR(__xludf.DUMMYFUNCTION("""COMPUTED_VALUE"""),45.0)</f>
        <v>45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>
      <c r="A59" s="41" t="str">
        <f>IFERROR(__xludf.DUMMYFUNCTION("""COMPUTED_VALUE"""),"Nectarine - Redgold")</f>
        <v>Nectarine - Redgold</v>
      </c>
      <c r="B59" s="41">
        <f>IFERROR(__xludf.DUMMYFUNCTION("""COMPUTED_VALUE"""),5.0)</f>
        <v>5</v>
      </c>
      <c r="C59" s="41" t="str">
        <f>IFERROR(__xludf.DUMMYFUNCTION("""COMPUTED_VALUE"""),"#5")</f>
        <v>#5</v>
      </c>
      <c r="D59" s="43" t="str">
        <f>IFERROR(__xludf.DUMMYFUNCTION("""COMPUTED_VALUE"""),"0.75-1""")</f>
        <v>0.75-1"</v>
      </c>
      <c r="E59" s="41" t="str">
        <f>IFERROR(__xludf.DUMMYFUNCTION("""COMPUTED_VALUE"""),"4-5'")</f>
        <v>4-5'</v>
      </c>
      <c r="F59" s="44">
        <f>IFERROR(__xludf.DUMMYFUNCTION("""COMPUTED_VALUE"""),8.0)</f>
        <v>8</v>
      </c>
      <c r="G59" s="41">
        <f>IFERROR(__xludf.DUMMYFUNCTION("""COMPUTED_VALUE"""),0.0)</f>
        <v>0</v>
      </c>
      <c r="H59" s="45">
        <f>IFERROR(__xludf.DUMMYFUNCTION("""COMPUTED_VALUE"""),45.0)</f>
        <v>45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0">
      <c r="A60" s="41" t="str">
        <f>IFERROR(__xludf.DUMMYFUNCTION("""COMPUTED_VALUE"""),"Nectarine - Sunglo")</f>
        <v>Nectarine - Sunglo</v>
      </c>
      <c r="B60" s="41">
        <f>IFERROR(__xludf.DUMMYFUNCTION("""COMPUTED_VALUE"""),5.0)</f>
        <v>5</v>
      </c>
      <c r="C60" s="41" t="str">
        <f>IFERROR(__xludf.DUMMYFUNCTION("""COMPUTED_VALUE"""),"#5")</f>
        <v>#5</v>
      </c>
      <c r="D60" s="43" t="str">
        <f>IFERROR(__xludf.DUMMYFUNCTION("""COMPUTED_VALUE"""),"0.75-1""")</f>
        <v>0.75-1"</v>
      </c>
      <c r="E60" s="41" t="str">
        <f>IFERROR(__xludf.DUMMYFUNCTION("""COMPUTED_VALUE"""),"7-8'")</f>
        <v>7-8'</v>
      </c>
      <c r="F60" s="44">
        <f>IFERROR(__xludf.DUMMYFUNCTION("""COMPUTED_VALUE"""),4.0)</f>
        <v>4</v>
      </c>
      <c r="G60" s="41">
        <f>IFERROR(__xludf.DUMMYFUNCTION("""COMPUTED_VALUE"""),20.0)</f>
        <v>20</v>
      </c>
      <c r="H60" s="45">
        <f>IFERROR(__xludf.DUMMYFUNCTION("""COMPUTED_VALUE"""),45.0)</f>
        <v>45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>
      <c r="A61" s="41" t="str">
        <f>IFERROR(__xludf.DUMMYFUNCTION("""COMPUTED_VALUE"""),"Nectarine (white) - Arctic Glo")</f>
        <v>Nectarine (white) - Arctic Glo</v>
      </c>
      <c r="B61" s="41">
        <f>IFERROR(__xludf.DUMMYFUNCTION("""COMPUTED_VALUE"""),5.0)</f>
        <v>5</v>
      </c>
      <c r="C61" s="41" t="str">
        <f>IFERROR(__xludf.DUMMYFUNCTION("""COMPUTED_VALUE"""),"#5")</f>
        <v>#5</v>
      </c>
      <c r="D61" s="43" t="str">
        <f>IFERROR(__xludf.DUMMYFUNCTION("""COMPUTED_VALUE"""),"0.75-1""")</f>
        <v>0.75-1"</v>
      </c>
      <c r="E61" s="41" t="str">
        <f>IFERROR(__xludf.DUMMYFUNCTION("""COMPUTED_VALUE"""),"6-7'")</f>
        <v>6-7'</v>
      </c>
      <c r="F61" s="44">
        <f>IFERROR(__xludf.DUMMYFUNCTION("""COMPUTED_VALUE"""),1.0)</f>
        <v>1</v>
      </c>
      <c r="G61" s="41">
        <f>IFERROR(__xludf.DUMMYFUNCTION("""COMPUTED_VALUE"""),0.0)</f>
        <v>0</v>
      </c>
      <c r="H61" s="45">
        <f>IFERROR(__xludf.DUMMYFUNCTION("""COMPUTED_VALUE"""),45.0)</f>
        <v>45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>
      <c r="A62" s="41" t="str">
        <f>IFERROR(__xludf.DUMMYFUNCTION("""COMPUTED_VALUE"""),"Nectarine (White) - Arctic Sweet")</f>
        <v>Nectarine (White) - Arctic Sweet</v>
      </c>
      <c r="B62" s="41">
        <f>IFERROR(__xludf.DUMMYFUNCTION("""COMPUTED_VALUE"""),5.0)</f>
        <v>5</v>
      </c>
      <c r="C62" s="41" t="str">
        <f>IFERROR(__xludf.DUMMYFUNCTION("""COMPUTED_VALUE"""),"#5")</f>
        <v>#5</v>
      </c>
      <c r="D62" s="43" t="str">
        <f>IFERROR(__xludf.DUMMYFUNCTION("""COMPUTED_VALUE"""),"0.5-0.75""")</f>
        <v>0.5-0.75"</v>
      </c>
      <c r="E62" s="41" t="str">
        <f>IFERROR(__xludf.DUMMYFUNCTION("""COMPUTED_VALUE"""),"4-5'")</f>
        <v>4-5'</v>
      </c>
      <c r="F62" s="44">
        <f>IFERROR(__xludf.DUMMYFUNCTION("""COMPUTED_VALUE"""),0.0)</f>
        <v>0</v>
      </c>
      <c r="G62" s="41">
        <f>IFERROR(__xludf.DUMMYFUNCTION("""COMPUTED_VALUE"""),50.0)</f>
        <v>50</v>
      </c>
      <c r="H62" s="45">
        <f>IFERROR(__xludf.DUMMYFUNCTION("""COMPUTED_VALUE"""),45.0)</f>
        <v>45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>
      <c r="A63" s="41" t="str">
        <f>IFERROR(__xludf.DUMMYFUNCTION("""COMPUTED_VALUE"""),"Nectarine (White) - Arctic Sweet")</f>
        <v>Nectarine (White) - Arctic Sweet</v>
      </c>
      <c r="B63" s="41">
        <f>IFERROR(__xludf.DUMMYFUNCTION("""COMPUTED_VALUE"""),7.0)</f>
        <v>7</v>
      </c>
      <c r="C63" s="41" t="str">
        <f>IFERROR(__xludf.DUMMYFUNCTION("""COMPUTED_VALUE"""),"#7")</f>
        <v>#7</v>
      </c>
      <c r="D63" s="43" t="str">
        <f>IFERROR(__xludf.DUMMYFUNCTION("""COMPUTED_VALUE"""),"1-1.25""")</f>
        <v>1-1.25"</v>
      </c>
      <c r="E63" s="41" t="str">
        <f>IFERROR(__xludf.DUMMYFUNCTION("""COMPUTED_VALUE"""),"8-8'")</f>
        <v>8-8'</v>
      </c>
      <c r="F63" s="44">
        <f>IFERROR(__xludf.DUMMYFUNCTION("""COMPUTED_VALUE"""),5.0)</f>
        <v>5</v>
      </c>
      <c r="G63" s="41">
        <f>IFERROR(__xludf.DUMMYFUNCTION("""COMPUTED_VALUE"""),0.0)</f>
        <v>0</v>
      </c>
      <c r="H63" s="45">
        <f>IFERROR(__xludf.DUMMYFUNCTION("""COMPUTED_VALUE"""),65.0)</f>
        <v>65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  <row r="64">
      <c r="A64" s="41" t="str">
        <f>IFERROR(__xludf.DUMMYFUNCTION("""COMPUTED_VALUE"""),"Pawpaw")</f>
        <v>Pawpaw</v>
      </c>
      <c r="B64" s="41">
        <f>IFERROR(__xludf.DUMMYFUNCTION("""COMPUTED_VALUE"""),2.0)</f>
        <v>2</v>
      </c>
      <c r="C64" s="41" t="str">
        <f>IFERROR(__xludf.DUMMYFUNCTION("""COMPUTED_VALUE"""),"#2")</f>
        <v>#2</v>
      </c>
      <c r="D64" s="43" t="str">
        <f>IFERROR(__xludf.DUMMYFUNCTION("""COMPUTED_VALUE"""),"0.375-0.5""")</f>
        <v>0.375-0.5"</v>
      </c>
      <c r="E64" s="41" t="str">
        <f>IFERROR(__xludf.DUMMYFUNCTION("""COMPUTED_VALUE"""),"0.5-1'")</f>
        <v>0.5-1'</v>
      </c>
      <c r="F64" s="41">
        <f>IFERROR(__xludf.DUMMYFUNCTION("""COMPUTED_VALUE"""),20.0)</f>
        <v>20</v>
      </c>
      <c r="G64" s="41">
        <f>IFERROR(__xludf.DUMMYFUNCTION("""COMPUTED_VALUE"""),0.0)</f>
        <v>0</v>
      </c>
      <c r="H64" s="45">
        <f>IFERROR(__xludf.DUMMYFUNCTION("""COMPUTED_VALUE"""),30.0)</f>
        <v>30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</row>
    <row r="65">
      <c r="A65" s="41" t="str">
        <f>IFERROR(__xludf.DUMMYFUNCTION("""COMPUTED_VALUE"""),"Pawpaw - Allegheny")</f>
        <v>Pawpaw - Allegheny</v>
      </c>
      <c r="B65" s="41">
        <f>IFERROR(__xludf.DUMMYFUNCTION("""COMPUTED_VALUE"""),5.0)</f>
        <v>5</v>
      </c>
      <c r="C65" s="41" t="str">
        <f>IFERROR(__xludf.DUMMYFUNCTION("""COMPUTED_VALUE"""),"#5")</f>
        <v>#5</v>
      </c>
      <c r="D65" s="43" t="str">
        <f>IFERROR(__xludf.DUMMYFUNCTION("""COMPUTED_VALUE"""),"0-0.375""")</f>
        <v>0-0.375"</v>
      </c>
      <c r="E65" s="41" t="str">
        <f>IFERROR(__xludf.DUMMYFUNCTION("""COMPUTED_VALUE"""),"0-2'")</f>
        <v>0-2'</v>
      </c>
      <c r="F65" s="44">
        <f>IFERROR(__xludf.DUMMYFUNCTION("""COMPUTED_VALUE"""),0.0)</f>
        <v>0</v>
      </c>
      <c r="G65" s="41">
        <f>IFERROR(__xludf.DUMMYFUNCTION("""COMPUTED_VALUE"""),12.0)</f>
        <v>12</v>
      </c>
      <c r="H65" s="45">
        <f>IFERROR(__xludf.DUMMYFUNCTION("""COMPUTED_VALUE"""),80.0)</f>
        <v>80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</row>
    <row r="66">
      <c r="A66" s="41" t="str">
        <f>IFERROR(__xludf.DUMMYFUNCTION("""COMPUTED_VALUE"""),"Pawpaw - Pennsylvania Gold")</f>
        <v>Pawpaw - Pennsylvania Gold</v>
      </c>
      <c r="B66" s="41">
        <f>IFERROR(__xludf.DUMMYFUNCTION("""COMPUTED_VALUE"""),5.0)</f>
        <v>5</v>
      </c>
      <c r="C66" s="41" t="str">
        <f>IFERROR(__xludf.DUMMYFUNCTION("""COMPUTED_VALUE"""),"#5")</f>
        <v>#5</v>
      </c>
      <c r="D66" s="43" t="str">
        <f>IFERROR(__xludf.DUMMYFUNCTION("""COMPUTED_VALUE"""),"0.25-0.25""")</f>
        <v>0.25-0.25"</v>
      </c>
      <c r="E66" s="41" t="str">
        <f>IFERROR(__xludf.DUMMYFUNCTION("""COMPUTED_VALUE"""),"1-2'")</f>
        <v>1-2'</v>
      </c>
      <c r="F66" s="44">
        <f>IFERROR(__xludf.DUMMYFUNCTION("""COMPUTED_VALUE"""),0.0)</f>
        <v>0</v>
      </c>
      <c r="G66" s="41">
        <f>IFERROR(__xludf.DUMMYFUNCTION("""COMPUTED_VALUE"""),30.0)</f>
        <v>30</v>
      </c>
      <c r="H66" s="45">
        <f>IFERROR(__xludf.DUMMYFUNCTION("""COMPUTED_VALUE"""),80.0)</f>
        <v>80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</row>
    <row r="67">
      <c r="A67" s="41" t="str">
        <f>IFERROR(__xludf.DUMMYFUNCTION("""COMPUTED_VALUE"""),"Peach - Contender")</f>
        <v>Peach - Contender</v>
      </c>
      <c r="B67" s="41">
        <f>IFERROR(__xludf.DUMMYFUNCTION("""COMPUTED_VALUE"""),5.0)</f>
        <v>5</v>
      </c>
      <c r="C67" s="41" t="str">
        <f>IFERROR(__xludf.DUMMYFUNCTION("""COMPUTED_VALUE"""),"#5")</f>
        <v>#5</v>
      </c>
      <c r="D67" s="43" t="str">
        <f>IFERROR(__xludf.DUMMYFUNCTION("""COMPUTED_VALUE"""),"0.5-1""")</f>
        <v>0.5-1"</v>
      </c>
      <c r="E67" s="41" t="str">
        <f>IFERROR(__xludf.DUMMYFUNCTION("""COMPUTED_VALUE"""),"4-7'")</f>
        <v>4-7'</v>
      </c>
      <c r="F67" s="44">
        <f>IFERROR(__xludf.DUMMYFUNCTION("""COMPUTED_VALUE"""),2.0)</f>
        <v>2</v>
      </c>
      <c r="G67" s="41">
        <f>IFERROR(__xludf.DUMMYFUNCTION("""COMPUTED_VALUE"""),100.0)</f>
        <v>100</v>
      </c>
      <c r="H67" s="45">
        <f>IFERROR(__xludf.DUMMYFUNCTION("""COMPUTED_VALUE"""),45.0)</f>
        <v>45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</row>
    <row r="68">
      <c r="A68" s="41" t="str">
        <f>IFERROR(__xludf.DUMMYFUNCTION("""COMPUTED_VALUE"""),"Peach - Cresthaven")</f>
        <v>Peach - Cresthaven</v>
      </c>
      <c r="B68" s="41">
        <f>IFERROR(__xludf.DUMMYFUNCTION("""COMPUTED_VALUE"""),5.0)</f>
        <v>5</v>
      </c>
      <c r="C68" s="41" t="str">
        <f>IFERROR(__xludf.DUMMYFUNCTION("""COMPUTED_VALUE"""),"#5")</f>
        <v>#5</v>
      </c>
      <c r="D68" s="43" t="str">
        <f>IFERROR(__xludf.DUMMYFUNCTION("""COMPUTED_VALUE"""),"0-0.75""")</f>
        <v>0-0.75"</v>
      </c>
      <c r="E68" s="41" t="str">
        <f>IFERROR(__xludf.DUMMYFUNCTION("""COMPUTED_VALUE"""),"0-5'")</f>
        <v>0-5'</v>
      </c>
      <c r="F68" s="44">
        <f>IFERROR(__xludf.DUMMYFUNCTION("""COMPUTED_VALUE"""),0.0)</f>
        <v>0</v>
      </c>
      <c r="G68" s="41">
        <f>IFERROR(__xludf.DUMMYFUNCTION("""COMPUTED_VALUE"""),100.0)</f>
        <v>100</v>
      </c>
      <c r="H68" s="45">
        <f>IFERROR(__xludf.DUMMYFUNCTION("""COMPUTED_VALUE"""),45.0)</f>
        <v>45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</row>
    <row r="69">
      <c r="A69" s="41" t="str">
        <f>IFERROR(__xludf.DUMMYFUNCTION("""COMPUTED_VALUE"""),"Peach - Harvester")</f>
        <v>Peach - Harvester</v>
      </c>
      <c r="B69" s="41">
        <f>IFERROR(__xludf.DUMMYFUNCTION("""COMPUTED_VALUE"""),5.0)</f>
        <v>5</v>
      </c>
      <c r="C69" s="41" t="str">
        <f>IFERROR(__xludf.DUMMYFUNCTION("""COMPUTED_VALUE"""),"#5")</f>
        <v>#5</v>
      </c>
      <c r="D69" s="43" t="str">
        <f>IFERROR(__xludf.DUMMYFUNCTION("""COMPUTED_VALUE"""),"0.75-1""")</f>
        <v>0.75-1"</v>
      </c>
      <c r="E69" s="41" t="str">
        <f>IFERROR(__xludf.DUMMYFUNCTION("""COMPUTED_VALUE"""),"6-7'")</f>
        <v>6-7'</v>
      </c>
      <c r="F69" s="44">
        <f>IFERROR(__xludf.DUMMYFUNCTION("""COMPUTED_VALUE"""),7.0)</f>
        <v>7</v>
      </c>
      <c r="G69" s="41">
        <f>IFERROR(__xludf.DUMMYFUNCTION("""COMPUTED_VALUE"""),100.0)</f>
        <v>100</v>
      </c>
      <c r="H69" s="45">
        <f>IFERROR(__xludf.DUMMYFUNCTION("""COMPUTED_VALUE"""),45.0)</f>
        <v>45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</row>
    <row r="70">
      <c r="A70" s="41" t="str">
        <f>IFERROR(__xludf.DUMMYFUNCTION("""COMPUTED_VALUE"""),"Peach (Donut White) - Galaxy")</f>
        <v>Peach (Donut White) - Galaxy</v>
      </c>
      <c r="B70" s="41">
        <f>IFERROR(__xludf.DUMMYFUNCTION("""COMPUTED_VALUE"""),5.0)</f>
        <v>5</v>
      </c>
      <c r="C70" s="41" t="str">
        <f>IFERROR(__xludf.DUMMYFUNCTION("""COMPUTED_VALUE"""),"#5")</f>
        <v>#5</v>
      </c>
      <c r="D70" s="43" t="str">
        <f>IFERROR(__xludf.DUMMYFUNCTION("""COMPUTED_VALUE"""),"0.5-0.75""")</f>
        <v>0.5-0.75"</v>
      </c>
      <c r="E70" s="41" t="str">
        <f>IFERROR(__xludf.DUMMYFUNCTION("""COMPUTED_VALUE"""),"4-5'")</f>
        <v>4-5'</v>
      </c>
      <c r="F70" s="44">
        <f>IFERROR(__xludf.DUMMYFUNCTION("""COMPUTED_VALUE"""),3.0)</f>
        <v>3</v>
      </c>
      <c r="G70" s="41">
        <f>IFERROR(__xludf.DUMMYFUNCTION("""COMPUTED_VALUE"""),50.0)</f>
        <v>50</v>
      </c>
      <c r="H70" s="45">
        <f>IFERROR(__xludf.DUMMYFUNCTION("""COMPUTED_VALUE"""),50.0)</f>
        <v>50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</row>
    <row r="71">
      <c r="A71" s="41" t="str">
        <f>IFERROR(__xludf.DUMMYFUNCTION("""COMPUTED_VALUE"""),"Peach (White) - Snow Giant")</f>
        <v>Peach (White) - Snow Giant</v>
      </c>
      <c r="B71" s="41">
        <f>IFERROR(__xludf.DUMMYFUNCTION("""COMPUTED_VALUE"""),5.0)</f>
        <v>5</v>
      </c>
      <c r="C71" s="41" t="str">
        <f>IFERROR(__xludf.DUMMYFUNCTION("""COMPUTED_VALUE"""),"#5")</f>
        <v>#5</v>
      </c>
      <c r="D71" s="43" t="str">
        <f>IFERROR(__xludf.DUMMYFUNCTION("""COMPUTED_VALUE"""),"0.75-1""")</f>
        <v>0.75-1"</v>
      </c>
      <c r="E71" s="41" t="str">
        <f>IFERROR(__xludf.DUMMYFUNCTION("""COMPUTED_VALUE"""),"5-6'")</f>
        <v>5-6'</v>
      </c>
      <c r="F71" s="44">
        <f>IFERROR(__xludf.DUMMYFUNCTION("""COMPUTED_VALUE"""),1.0)</f>
        <v>1</v>
      </c>
      <c r="G71" s="41">
        <f>IFERROR(__xludf.DUMMYFUNCTION("""COMPUTED_VALUE"""),0.0)</f>
        <v>0</v>
      </c>
      <c r="H71" s="45">
        <f>IFERROR(__xludf.DUMMYFUNCTION("""COMPUTED_VALUE"""),45.0)</f>
        <v>45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</row>
    <row r="72">
      <c r="A72" s="41" t="str">
        <f>IFERROR(__xludf.DUMMYFUNCTION("""COMPUTED_VALUE"""),"Peach (White) - Sugar Giant")</f>
        <v>Peach (White) - Sugar Giant</v>
      </c>
      <c r="B72" s="41">
        <f>IFERROR(__xludf.DUMMYFUNCTION("""COMPUTED_VALUE"""),5.0)</f>
        <v>5</v>
      </c>
      <c r="C72" s="41" t="str">
        <f>IFERROR(__xludf.DUMMYFUNCTION("""COMPUTED_VALUE"""),"#5")</f>
        <v>#5</v>
      </c>
      <c r="D72" s="43" t="str">
        <f>IFERROR(__xludf.DUMMYFUNCTION("""COMPUTED_VALUE"""),"0.75-1""")</f>
        <v>0.75-1"</v>
      </c>
      <c r="E72" s="41" t="str">
        <f>IFERROR(__xludf.DUMMYFUNCTION("""COMPUTED_VALUE"""),"5-5'")</f>
        <v>5-5'</v>
      </c>
      <c r="F72" s="44">
        <f>IFERROR(__xludf.DUMMYFUNCTION("""COMPUTED_VALUE"""),7.0)</f>
        <v>7</v>
      </c>
      <c r="G72" s="41">
        <f>IFERROR(__xludf.DUMMYFUNCTION("""COMPUTED_VALUE"""),100.0)</f>
        <v>100</v>
      </c>
      <c r="H72" s="45">
        <f>IFERROR(__xludf.DUMMYFUNCTION("""COMPUTED_VALUE"""),45.0)</f>
        <v>45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</row>
    <row r="73">
      <c r="A73" s="41" t="str">
        <f>IFERROR(__xludf.DUMMYFUNCTION("""COMPUTED_VALUE"""),"Peach (White) - White Lady")</f>
        <v>Peach (White) - White Lady</v>
      </c>
      <c r="B73" s="41">
        <f>IFERROR(__xludf.DUMMYFUNCTION("""COMPUTED_VALUE"""),5.0)</f>
        <v>5</v>
      </c>
      <c r="C73" s="41" t="str">
        <f>IFERROR(__xludf.DUMMYFUNCTION("""COMPUTED_VALUE"""),"#5")</f>
        <v>#5</v>
      </c>
      <c r="D73" s="43" t="str">
        <f>IFERROR(__xludf.DUMMYFUNCTION("""COMPUTED_VALUE"""),"1-1""")</f>
        <v>1-1"</v>
      </c>
      <c r="E73" s="41" t="str">
        <f>IFERROR(__xludf.DUMMYFUNCTION("""COMPUTED_VALUE"""),"6-7'")</f>
        <v>6-7'</v>
      </c>
      <c r="F73" s="44">
        <f>IFERROR(__xludf.DUMMYFUNCTION("""COMPUTED_VALUE"""),11.0)</f>
        <v>11</v>
      </c>
      <c r="G73" s="41">
        <f>IFERROR(__xludf.DUMMYFUNCTION("""COMPUTED_VALUE"""),100.0)</f>
        <v>100</v>
      </c>
      <c r="H73" s="45">
        <f>IFERROR(__xludf.DUMMYFUNCTION("""COMPUTED_VALUE"""),45.0)</f>
        <v>45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</row>
    <row r="74">
      <c r="A74" s="41" t="str">
        <f>IFERROR(__xludf.DUMMYFUNCTION("""COMPUTED_VALUE"""),"Pear - Ayers")</f>
        <v>Pear - Ayers</v>
      </c>
      <c r="B74" s="41">
        <f>IFERROR(__xludf.DUMMYFUNCTION("""COMPUTED_VALUE"""),5.0)</f>
        <v>5</v>
      </c>
      <c r="C74" s="41" t="str">
        <f>IFERROR(__xludf.DUMMYFUNCTION("""COMPUTED_VALUE"""),"#5")</f>
        <v>#5</v>
      </c>
      <c r="D74" s="43" t="str">
        <f>IFERROR(__xludf.DUMMYFUNCTION("""COMPUTED_VALUE"""),"0.75-1""")</f>
        <v>0.75-1"</v>
      </c>
      <c r="E74" s="41" t="str">
        <f>IFERROR(__xludf.DUMMYFUNCTION("""COMPUTED_VALUE"""),"7-8'")</f>
        <v>7-8'</v>
      </c>
      <c r="F74" s="44">
        <f>IFERROR(__xludf.DUMMYFUNCTION("""COMPUTED_VALUE"""),4.0)</f>
        <v>4</v>
      </c>
      <c r="G74" s="41">
        <f>IFERROR(__xludf.DUMMYFUNCTION("""COMPUTED_VALUE"""),50.0)</f>
        <v>50</v>
      </c>
      <c r="H74" s="45">
        <f>IFERROR(__xludf.DUMMYFUNCTION("""COMPUTED_VALUE"""),45.0)</f>
        <v>45</v>
      </c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</row>
    <row r="75">
      <c r="A75" s="41" t="str">
        <f>IFERROR(__xludf.DUMMYFUNCTION("""COMPUTED_VALUE"""),"Pear - Bartlett")</f>
        <v>Pear - Bartlett</v>
      </c>
      <c r="B75" s="41">
        <f>IFERROR(__xludf.DUMMYFUNCTION("""COMPUTED_VALUE"""),5.0)</f>
        <v>5</v>
      </c>
      <c r="C75" s="41" t="str">
        <f>IFERROR(__xludf.DUMMYFUNCTION("""COMPUTED_VALUE"""),"#5")</f>
        <v>#5</v>
      </c>
      <c r="D75" s="43" t="str">
        <f>IFERROR(__xludf.DUMMYFUNCTION("""COMPUTED_VALUE"""),"0.5-0.75""")</f>
        <v>0.5-0.75"</v>
      </c>
      <c r="E75" s="41" t="str">
        <f>IFERROR(__xludf.DUMMYFUNCTION("""COMPUTED_VALUE"""),"5-8'")</f>
        <v>5-8'</v>
      </c>
      <c r="F75" s="44">
        <f>IFERROR(__xludf.DUMMYFUNCTION("""COMPUTED_VALUE"""),1.0)</f>
        <v>1</v>
      </c>
      <c r="G75" s="41">
        <f>IFERROR(__xludf.DUMMYFUNCTION("""COMPUTED_VALUE"""),150.0)</f>
        <v>150</v>
      </c>
      <c r="H75" s="45">
        <f>IFERROR(__xludf.DUMMYFUNCTION("""COMPUTED_VALUE"""),45.0)</f>
        <v>45</v>
      </c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>
      <c r="A76" s="41" t="str">
        <f>IFERROR(__xludf.DUMMYFUNCTION("""COMPUTED_VALUE"""),"Pear - Golden Russet Bosc")</f>
        <v>Pear - Golden Russet Bosc</v>
      </c>
      <c r="B76" s="41">
        <f>IFERROR(__xludf.DUMMYFUNCTION("""COMPUTED_VALUE"""),5.0)</f>
        <v>5</v>
      </c>
      <c r="C76" s="41" t="str">
        <f>IFERROR(__xludf.DUMMYFUNCTION("""COMPUTED_VALUE"""),"#5")</f>
        <v>#5</v>
      </c>
      <c r="D76" s="43" t="str">
        <f>IFERROR(__xludf.DUMMYFUNCTION("""COMPUTED_VALUE"""),"0.75-1""")</f>
        <v>0.75-1"</v>
      </c>
      <c r="E76" s="41" t="str">
        <f>IFERROR(__xludf.DUMMYFUNCTION("""COMPUTED_VALUE"""),"7-8'")</f>
        <v>7-8'</v>
      </c>
      <c r="F76" s="44">
        <f>IFERROR(__xludf.DUMMYFUNCTION("""COMPUTED_VALUE"""),3.0)</f>
        <v>3</v>
      </c>
      <c r="G76" s="41">
        <f>IFERROR(__xludf.DUMMYFUNCTION("""COMPUTED_VALUE"""),100.0)</f>
        <v>100</v>
      </c>
      <c r="H76" s="45">
        <f>IFERROR(__xludf.DUMMYFUNCTION("""COMPUTED_VALUE"""),45.0)</f>
        <v>45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</row>
    <row r="77">
      <c r="A77" s="41" t="str">
        <f>IFERROR(__xludf.DUMMYFUNCTION("""COMPUTED_VALUE"""),"Pear - Kieffer")</f>
        <v>Pear - Kieffer</v>
      </c>
      <c r="B77" s="41">
        <f>IFERROR(__xludf.DUMMYFUNCTION("""COMPUTED_VALUE"""),7.0)</f>
        <v>7</v>
      </c>
      <c r="C77" s="41" t="str">
        <f>IFERROR(__xludf.DUMMYFUNCTION("""COMPUTED_VALUE"""),"#7")</f>
        <v>#7</v>
      </c>
      <c r="D77" s="43" t="str">
        <f>IFERROR(__xludf.DUMMYFUNCTION("""COMPUTED_VALUE"""),"0-0.5""")</f>
        <v>0-0.5"</v>
      </c>
      <c r="E77" s="41" t="str">
        <f>IFERROR(__xludf.DUMMYFUNCTION("""COMPUTED_VALUE"""),"0-7'")</f>
        <v>0-7'</v>
      </c>
      <c r="F77" s="44">
        <f>IFERROR(__xludf.DUMMYFUNCTION("""COMPUTED_VALUE"""),0.0)</f>
        <v>0</v>
      </c>
      <c r="G77" s="41">
        <f>IFERROR(__xludf.DUMMYFUNCTION("""COMPUTED_VALUE"""),10.0)</f>
        <v>10</v>
      </c>
      <c r="H77" s="45">
        <f>IFERROR(__xludf.DUMMYFUNCTION("""COMPUTED_VALUE"""),60.0)</f>
        <v>60</v>
      </c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</row>
    <row r="78">
      <c r="A78" s="41" t="str">
        <f>IFERROR(__xludf.DUMMYFUNCTION("""COMPUTED_VALUE"""),"Pecan - Choctaw")</f>
        <v>Pecan - Choctaw</v>
      </c>
      <c r="B78" s="41">
        <f>IFERROR(__xludf.DUMMYFUNCTION("""COMPUTED_VALUE"""),5.0)</f>
        <v>5</v>
      </c>
      <c r="C78" s="41" t="str">
        <f>IFERROR(__xludf.DUMMYFUNCTION("""COMPUTED_VALUE"""),"#5 tall plastic")</f>
        <v>#5 tall plastic</v>
      </c>
      <c r="D78" s="43" t="str">
        <f>IFERROR(__xludf.DUMMYFUNCTION("""COMPUTED_VALUE"""),"0.75-1""")</f>
        <v>0.75-1"</v>
      </c>
      <c r="E78" s="41" t="str">
        <f>IFERROR(__xludf.DUMMYFUNCTION("""COMPUTED_VALUE"""),"8-10'")</f>
        <v>8-10'</v>
      </c>
      <c r="F78" s="44">
        <f>IFERROR(__xludf.DUMMYFUNCTION("""COMPUTED_VALUE"""),2.0)</f>
        <v>2</v>
      </c>
      <c r="G78" s="41">
        <f>IFERROR(__xludf.DUMMYFUNCTION("""COMPUTED_VALUE"""),0.0)</f>
        <v>0</v>
      </c>
      <c r="H78" s="45">
        <f>IFERROR(__xludf.DUMMYFUNCTION("""COMPUTED_VALUE"""),100.0)</f>
        <v>100</v>
      </c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</row>
    <row r="79">
      <c r="A79" s="41" t="str">
        <f>IFERROR(__xludf.DUMMYFUNCTION("""COMPUTED_VALUE"""),"Pecan - Pawnee")</f>
        <v>Pecan - Pawnee</v>
      </c>
      <c r="B79" s="41" t="str">
        <f>IFERROR(__xludf.DUMMYFUNCTION("""COMPUTED_VALUE"""),"5 Tall Plastic")</f>
        <v>5 Tall Plastic</v>
      </c>
      <c r="C79" s="41" t="str">
        <f>IFERROR(__xludf.DUMMYFUNCTION("""COMPUTED_VALUE"""),"#5 Tall Plastic")</f>
        <v>#5 Tall Plastic</v>
      </c>
      <c r="D79" s="43" t="str">
        <f>IFERROR(__xludf.DUMMYFUNCTION("""COMPUTED_VALUE"""),"0.75-1""")</f>
        <v>0.75-1"</v>
      </c>
      <c r="E79" s="41" t="str">
        <f>IFERROR(__xludf.DUMMYFUNCTION("""COMPUTED_VALUE"""),"6-8'")</f>
        <v>6-8'</v>
      </c>
      <c r="F79" s="44">
        <f>IFERROR(__xludf.DUMMYFUNCTION("""COMPUTED_VALUE"""),2.0)</f>
        <v>2</v>
      </c>
      <c r="G79" s="41">
        <f>IFERROR(__xludf.DUMMYFUNCTION("""COMPUTED_VALUE"""),0.0)</f>
        <v>0</v>
      </c>
      <c r="H79" s="45">
        <f>IFERROR(__xludf.DUMMYFUNCTION("""COMPUTED_VALUE"""),100.0)</f>
        <v>100</v>
      </c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</row>
    <row r="80">
      <c r="A80" s="41" t="str">
        <f>IFERROR(__xludf.DUMMYFUNCTION("""COMPUTED_VALUE"""),"Persimmon - Fuyu")</f>
        <v>Persimmon - Fuyu</v>
      </c>
      <c r="B80" s="41">
        <f>IFERROR(__xludf.DUMMYFUNCTION("""COMPUTED_VALUE"""),5.0)</f>
        <v>5</v>
      </c>
      <c r="C80" s="41" t="str">
        <f>IFERROR(__xludf.DUMMYFUNCTION("""COMPUTED_VALUE"""),"#5")</f>
        <v>#5</v>
      </c>
      <c r="D80" s="43" t="str">
        <f>IFERROR(__xludf.DUMMYFUNCTION("""COMPUTED_VALUE"""),"0.25-0.5""")</f>
        <v>0.25-0.5"</v>
      </c>
      <c r="E80" s="41" t="str">
        <f>IFERROR(__xludf.DUMMYFUNCTION("""COMPUTED_VALUE"""),"2-5'")</f>
        <v>2-5'</v>
      </c>
      <c r="F80" s="44">
        <f>IFERROR(__xludf.DUMMYFUNCTION("""COMPUTED_VALUE"""),19.0)</f>
        <v>19</v>
      </c>
      <c r="G80" s="41">
        <f>IFERROR(__xludf.DUMMYFUNCTION("""COMPUTED_VALUE"""),150.0)</f>
        <v>150</v>
      </c>
      <c r="H80" s="45">
        <f>IFERROR(__xludf.DUMMYFUNCTION("""COMPUTED_VALUE"""),80.0)</f>
        <v>80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</row>
    <row r="81">
      <c r="A81" s="41" t="str">
        <f>IFERROR(__xludf.DUMMYFUNCTION("""COMPUTED_VALUE"""),"Persimmon - Fuyu")</f>
        <v>Persimmon - Fuyu</v>
      </c>
      <c r="B81" s="41">
        <f>IFERROR(__xludf.DUMMYFUNCTION("""COMPUTED_VALUE"""),7.0)</f>
        <v>7</v>
      </c>
      <c r="C81" s="41" t="str">
        <f>IFERROR(__xludf.DUMMYFUNCTION("""COMPUTED_VALUE"""),"#7")</f>
        <v>#7</v>
      </c>
      <c r="D81" s="43" t="str">
        <f>IFERROR(__xludf.DUMMYFUNCTION("""COMPUTED_VALUE"""),"0.25-0.5""")</f>
        <v>0.25-0.5"</v>
      </c>
      <c r="E81" s="41" t="str">
        <f>IFERROR(__xludf.DUMMYFUNCTION("""COMPUTED_VALUE"""),"2-5'")</f>
        <v>2-5'</v>
      </c>
      <c r="F81" s="44">
        <f>IFERROR(__xludf.DUMMYFUNCTION("""COMPUTED_VALUE"""),10.0)</f>
        <v>10</v>
      </c>
      <c r="G81" s="41">
        <f>IFERROR(__xludf.DUMMYFUNCTION("""COMPUTED_VALUE"""),10.0)</f>
        <v>10</v>
      </c>
      <c r="H81" s="45">
        <f>IFERROR(__xludf.DUMMYFUNCTION("""COMPUTED_VALUE"""),80.0)</f>
        <v>80</v>
      </c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</row>
    <row r="82">
      <c r="A82" s="41" t="str">
        <f>IFERROR(__xludf.DUMMYFUNCTION("""COMPUTED_VALUE"""),"Plum - Green Gage")</f>
        <v>Plum - Green Gage</v>
      </c>
      <c r="B82" s="41">
        <f>IFERROR(__xludf.DUMMYFUNCTION("""COMPUTED_VALUE"""),5.0)</f>
        <v>5</v>
      </c>
      <c r="C82" s="41" t="str">
        <f>IFERROR(__xludf.DUMMYFUNCTION("""COMPUTED_VALUE"""),"#5")</f>
        <v>#5</v>
      </c>
      <c r="D82" s="43" t="str">
        <f>IFERROR(__xludf.DUMMYFUNCTION("""COMPUTED_VALUE"""),"0-1""")</f>
        <v>0-1"</v>
      </c>
      <c r="E82" s="41" t="str">
        <f>IFERROR(__xludf.DUMMYFUNCTION("""COMPUTED_VALUE"""),"0-7'")</f>
        <v>0-7'</v>
      </c>
      <c r="F82" s="44">
        <f>IFERROR(__xludf.DUMMYFUNCTION("""COMPUTED_VALUE"""),0.0)</f>
        <v>0</v>
      </c>
      <c r="G82" s="41">
        <f>IFERROR(__xludf.DUMMYFUNCTION("""COMPUTED_VALUE"""),50.0)</f>
        <v>50</v>
      </c>
      <c r="H82" s="45">
        <f>IFERROR(__xludf.DUMMYFUNCTION("""COMPUTED_VALUE"""),45.0)</f>
        <v>45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</row>
    <row r="83">
      <c r="A83" s="41" t="str">
        <f>IFERROR(__xludf.DUMMYFUNCTION("""COMPUTED_VALUE"""),"Plum (cherry) - Sweet Pixie 2")</f>
        <v>Plum (cherry) - Sweet Pixie 2</v>
      </c>
      <c r="B83" s="41">
        <f>IFERROR(__xludf.DUMMYFUNCTION("""COMPUTED_VALUE"""),5.0)</f>
        <v>5</v>
      </c>
      <c r="C83" s="41" t="str">
        <f>IFERROR(__xludf.DUMMYFUNCTION("""COMPUTED_VALUE"""),"#5")</f>
        <v>#5</v>
      </c>
      <c r="D83" s="43" t="str">
        <f>IFERROR(__xludf.DUMMYFUNCTION("""COMPUTED_VALUE"""),"1-1.25""")</f>
        <v>1-1.25"</v>
      </c>
      <c r="E83" s="41" t="str">
        <f>IFERROR(__xludf.DUMMYFUNCTION("""COMPUTED_VALUE"""),"7-8'")</f>
        <v>7-8'</v>
      </c>
      <c r="F83" s="44">
        <f>IFERROR(__xludf.DUMMYFUNCTION("""COMPUTED_VALUE"""),2.0)</f>
        <v>2</v>
      </c>
      <c r="G83" s="41">
        <f>IFERROR(__xludf.DUMMYFUNCTION("""COMPUTED_VALUE"""),30.0)</f>
        <v>30</v>
      </c>
      <c r="H83" s="45">
        <f>IFERROR(__xludf.DUMMYFUNCTION("""COMPUTED_VALUE"""),60.0)</f>
        <v>60</v>
      </c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>
      <c r="A84" s="41" t="str">
        <f>IFERROR(__xludf.DUMMYFUNCTION("""COMPUTED_VALUE"""),"Plumcot - Spring Satin")</f>
        <v>Plumcot - Spring Satin</v>
      </c>
      <c r="B84" s="41">
        <f>IFERROR(__xludf.DUMMYFUNCTION("""COMPUTED_VALUE"""),5.0)</f>
        <v>5</v>
      </c>
      <c r="C84" s="41" t="str">
        <f>IFERROR(__xludf.DUMMYFUNCTION("""COMPUTED_VALUE"""),"#5")</f>
        <v>#5</v>
      </c>
      <c r="D84" s="43" t="str">
        <f>IFERROR(__xludf.DUMMYFUNCTION("""COMPUTED_VALUE"""),"0.75-1""")</f>
        <v>0.75-1"</v>
      </c>
      <c r="E84" s="41" t="str">
        <f>IFERROR(__xludf.DUMMYFUNCTION("""COMPUTED_VALUE"""),"8-9'")</f>
        <v>8-9'</v>
      </c>
      <c r="F84" s="44">
        <f>IFERROR(__xludf.DUMMYFUNCTION("""COMPUTED_VALUE"""),1.0)</f>
        <v>1</v>
      </c>
      <c r="G84" s="41">
        <f>IFERROR(__xludf.DUMMYFUNCTION("""COMPUTED_VALUE"""),30.0)</f>
        <v>30</v>
      </c>
      <c r="H84" s="45">
        <f>IFERROR(__xludf.DUMMYFUNCTION("""COMPUTED_VALUE"""),45.0)</f>
        <v>45</v>
      </c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>
      <c r="A85" s="41" t="str">
        <f>IFERROR(__xludf.DUMMYFUNCTION("""COMPUTED_VALUE"""),"Pluot - Dapple Dandy")</f>
        <v>Pluot - Dapple Dandy</v>
      </c>
      <c r="B85" s="41">
        <f>IFERROR(__xludf.DUMMYFUNCTION("""COMPUTED_VALUE"""),10.0)</f>
        <v>10</v>
      </c>
      <c r="C85" s="41" t="str">
        <f>IFERROR(__xludf.DUMMYFUNCTION("""COMPUTED_VALUE"""),"#10")</f>
        <v>#10</v>
      </c>
      <c r="D85" s="43" t="str">
        <f>IFERROR(__xludf.DUMMYFUNCTION("""COMPUTED_VALUE"""),"1-1.5""")</f>
        <v>1-1.5"</v>
      </c>
      <c r="E85" s="41" t="str">
        <f>IFERROR(__xludf.DUMMYFUNCTION("""COMPUTED_VALUE"""),"9-10'")</f>
        <v>9-10'</v>
      </c>
      <c r="F85" s="44">
        <f>IFERROR(__xludf.DUMMYFUNCTION("""COMPUTED_VALUE"""),3.0)</f>
        <v>3</v>
      </c>
      <c r="G85" s="41">
        <f>IFERROR(__xludf.DUMMYFUNCTION("""COMPUTED_VALUE"""),0.0)</f>
        <v>0</v>
      </c>
      <c r="H85" s="45">
        <f>IFERROR(__xludf.DUMMYFUNCTION("""COMPUTED_VALUE"""),70.0)</f>
        <v>70</v>
      </c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</row>
    <row r="86">
      <c r="A86" s="41" t="str">
        <f>IFERROR(__xludf.DUMMYFUNCTION("""COMPUTED_VALUE"""),"Pluot - Flavor King")</f>
        <v>Pluot - Flavor King</v>
      </c>
      <c r="B86" s="41">
        <f>IFERROR(__xludf.DUMMYFUNCTION("""COMPUTED_VALUE"""),5.0)</f>
        <v>5</v>
      </c>
      <c r="C86" s="41" t="str">
        <f>IFERROR(__xludf.DUMMYFUNCTION("""COMPUTED_VALUE"""),"#5")</f>
        <v>#5</v>
      </c>
      <c r="D86" s="43" t="str">
        <f>IFERROR(__xludf.DUMMYFUNCTION("""COMPUTED_VALUE"""),"0.5-0.75""")</f>
        <v>0.5-0.75"</v>
      </c>
      <c r="E86" s="41" t="str">
        <f>IFERROR(__xludf.DUMMYFUNCTION("""COMPUTED_VALUE"""),"4-5'")</f>
        <v>4-5'</v>
      </c>
      <c r="F86" s="44">
        <f>IFERROR(__xludf.DUMMYFUNCTION("""COMPUTED_VALUE"""),0.0)</f>
        <v>0</v>
      </c>
      <c r="G86" s="41">
        <f>IFERROR(__xludf.DUMMYFUNCTION("""COMPUTED_VALUE"""),30.0)</f>
        <v>30</v>
      </c>
      <c r="H86" s="45">
        <f>IFERROR(__xludf.DUMMYFUNCTION("""COMPUTED_VALUE"""),50.0)</f>
        <v>50</v>
      </c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</row>
    <row r="87">
      <c r="A87" s="41" t="str">
        <f>IFERROR(__xludf.DUMMYFUNCTION("""COMPUTED_VALUE"""),"Pluot - Flavor Queen")</f>
        <v>Pluot - Flavor Queen</v>
      </c>
      <c r="B87" s="41">
        <f>IFERROR(__xludf.DUMMYFUNCTION("""COMPUTED_VALUE"""),5.0)</f>
        <v>5</v>
      </c>
      <c r="C87" s="41" t="str">
        <f>IFERROR(__xludf.DUMMYFUNCTION("""COMPUTED_VALUE"""),"#5")</f>
        <v>#5</v>
      </c>
      <c r="D87" s="43" t="str">
        <f>IFERROR(__xludf.DUMMYFUNCTION("""COMPUTED_VALUE"""),"0.5-0.75""")</f>
        <v>0.5-0.75"</v>
      </c>
      <c r="E87" s="41" t="str">
        <f>IFERROR(__xludf.DUMMYFUNCTION("""COMPUTED_VALUE"""),"4-5'")</f>
        <v>4-5'</v>
      </c>
      <c r="F87" s="44">
        <f>IFERROR(__xludf.DUMMYFUNCTION("""COMPUTED_VALUE"""),0.0)</f>
        <v>0</v>
      </c>
      <c r="G87" s="41">
        <f>IFERROR(__xludf.DUMMYFUNCTION("""COMPUTED_VALUE"""),30.0)</f>
        <v>30</v>
      </c>
      <c r="H87" s="45">
        <f>IFERROR(__xludf.DUMMYFUNCTION("""COMPUTED_VALUE"""),50.0)</f>
        <v>50</v>
      </c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</row>
    <row r="88">
      <c r="A88" s="41" t="str">
        <f>IFERROR(__xludf.DUMMYFUNCTION("""COMPUTED_VALUE"""),"Raspberry - Fall Gold ")</f>
        <v>Raspberry - Fall Gold </v>
      </c>
      <c r="B88" s="41">
        <f>IFERROR(__xludf.DUMMYFUNCTION("""COMPUTED_VALUE"""),5.0)</f>
        <v>5</v>
      </c>
      <c r="C88" s="41" t="str">
        <f>IFERROR(__xludf.DUMMYFUNCTION("""COMPUTED_VALUE"""),"#5")</f>
        <v>#5</v>
      </c>
      <c r="D88" s="46" t="str">
        <f>IFERROR(__xludf.DUMMYFUNCTION("""COMPUTED_VALUE"""),"Multi")</f>
        <v>Multi</v>
      </c>
      <c r="E88" s="41" t="str">
        <f>IFERROR(__xludf.DUMMYFUNCTION("""COMPUTED_VALUE"""),"2-3'")</f>
        <v>2-3'</v>
      </c>
      <c r="F88" s="44">
        <f>IFERROR(__xludf.DUMMYFUNCTION("""COMPUTED_VALUE"""),2.0)</f>
        <v>2</v>
      </c>
      <c r="G88" s="41">
        <f>IFERROR(__xludf.DUMMYFUNCTION("""COMPUTED_VALUE"""),0.0)</f>
        <v>0</v>
      </c>
      <c r="H88" s="45">
        <f>IFERROR(__xludf.DUMMYFUNCTION("""COMPUTED_VALUE"""),32.0)</f>
        <v>32</v>
      </c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</row>
    <row r="89">
      <c r="A89" s="41" t="str">
        <f>IFERROR(__xludf.DUMMYFUNCTION("""COMPUTED_VALUE"""),"Raspberry- Heritage")</f>
        <v>Raspberry- Heritage</v>
      </c>
      <c r="B89" s="41">
        <f>IFERROR(__xludf.DUMMYFUNCTION("""COMPUTED_VALUE"""),5.0)</f>
        <v>5</v>
      </c>
      <c r="C89" s="41" t="str">
        <f>IFERROR(__xludf.DUMMYFUNCTION("""COMPUTED_VALUE"""),"#5")</f>
        <v>#5</v>
      </c>
      <c r="D89" s="46" t="str">
        <f>IFERROR(__xludf.DUMMYFUNCTION("""COMPUTED_VALUE"""),"Multi")</f>
        <v>Multi</v>
      </c>
      <c r="E89" s="41" t="str">
        <f>IFERROR(__xludf.DUMMYFUNCTION("""COMPUTED_VALUE"""),"3-4'")</f>
        <v>3-4'</v>
      </c>
      <c r="F89" s="44">
        <f>IFERROR(__xludf.DUMMYFUNCTION("""COMPUTED_VALUE"""),1.0)</f>
        <v>1</v>
      </c>
      <c r="G89" s="41">
        <f>IFERROR(__xludf.DUMMYFUNCTION("""COMPUTED_VALUE"""),0.0)</f>
        <v>0</v>
      </c>
      <c r="H89" s="45">
        <f>IFERROR(__xludf.DUMMYFUNCTION("""COMPUTED_VALUE"""),32.0)</f>
        <v>32</v>
      </c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</row>
    <row r="90">
      <c r="A90" s="41" t="str">
        <f>IFERROR(__xludf.DUMMYFUNCTION("""COMPUTED_VALUE"""),"Russian Pomegrante - Salavatski")</f>
        <v>Russian Pomegrante - Salavatski</v>
      </c>
      <c r="B90" s="41">
        <f>IFERROR(__xludf.DUMMYFUNCTION("""COMPUTED_VALUE"""),5.0)</f>
        <v>5</v>
      </c>
      <c r="C90" s="41" t="str">
        <f>IFERROR(__xludf.DUMMYFUNCTION("""COMPUTED_VALUE"""),"#5")</f>
        <v>#5</v>
      </c>
      <c r="D90" s="46" t="str">
        <f>IFERROR(__xludf.DUMMYFUNCTION("""COMPUTED_VALUE"""),"Multi")</f>
        <v>Multi</v>
      </c>
      <c r="E90" s="41" t="str">
        <f>IFERROR(__xludf.DUMMYFUNCTION("""COMPUTED_VALUE"""),"0.5-1'")</f>
        <v>0.5-1'</v>
      </c>
      <c r="F90" s="44">
        <f>IFERROR(__xludf.DUMMYFUNCTION("""COMPUTED_VALUE"""),59.0)</f>
        <v>59</v>
      </c>
      <c r="G90" s="41">
        <f>IFERROR(__xludf.DUMMYFUNCTION("""COMPUTED_VALUE"""),72.0)</f>
        <v>72</v>
      </c>
      <c r="H90" s="45">
        <f>IFERROR(__xludf.DUMMYFUNCTION("""COMPUTED_VALUE"""),35.0)</f>
        <v>35</v>
      </c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</row>
    <row r="91">
      <c r="A91" s="41" t="str">
        <f>IFERROR(__xludf.DUMMYFUNCTION("""COMPUTED_VALUE"""),"Walnut - Mesa Carpathian")</f>
        <v>Walnut - Mesa Carpathian</v>
      </c>
      <c r="B91" s="41">
        <f>IFERROR(__xludf.DUMMYFUNCTION("""COMPUTED_VALUE"""),15.0)</f>
        <v>15</v>
      </c>
      <c r="C91" s="41" t="str">
        <f>IFERROR(__xludf.DUMMYFUNCTION("""COMPUTED_VALUE"""),"#15")</f>
        <v>#15</v>
      </c>
      <c r="D91" s="43" t="str">
        <f>IFERROR(__xludf.DUMMYFUNCTION("""COMPUTED_VALUE"""),"0-1""")</f>
        <v>0-1"</v>
      </c>
      <c r="E91" s="41" t="str">
        <f>IFERROR(__xludf.DUMMYFUNCTION("""COMPUTED_VALUE"""),"0-4'")</f>
        <v>0-4'</v>
      </c>
      <c r="F91" s="44">
        <f>IFERROR(__xludf.DUMMYFUNCTION("""COMPUTED_VALUE"""),0.0)</f>
        <v>0</v>
      </c>
      <c r="G91" s="41">
        <f>IFERROR(__xludf.DUMMYFUNCTION("""COMPUTED_VALUE"""),10.0)</f>
        <v>10</v>
      </c>
      <c r="H91" s="45">
        <f>IFERROR(__xludf.DUMMYFUNCTION("""COMPUTED_VALUE"""),110.0)</f>
        <v>110</v>
      </c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</row>
    <row r="92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>
      <c r="A93" s="41"/>
      <c r="B93" s="41"/>
      <c r="C93" s="41"/>
      <c r="D93" s="41"/>
      <c r="E93" s="41"/>
      <c r="F93" s="41"/>
      <c r="G93" s="41"/>
      <c r="H93" s="41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</row>
    <row r="94">
      <c r="A94" s="41"/>
      <c r="B94" s="41"/>
      <c r="C94" s="41"/>
      <c r="D94" s="41"/>
      <c r="E94" s="41"/>
      <c r="F94" s="41"/>
      <c r="G94" s="41"/>
      <c r="H94" s="41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</row>
    <row r="95">
      <c r="A95" s="41"/>
      <c r="B95" s="41"/>
      <c r="C95" s="41"/>
      <c r="D95" s="41"/>
      <c r="E95" s="41"/>
      <c r="F95" s="41"/>
      <c r="G95" s="41"/>
      <c r="H95" s="41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</row>
    <row r="96">
      <c r="A96" s="41"/>
      <c r="B96" s="41"/>
      <c r="C96" s="41"/>
      <c r="D96" s="41"/>
      <c r="E96" s="41"/>
      <c r="F96" s="41"/>
      <c r="G96" s="41"/>
      <c r="H96" s="41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</row>
    <row r="97">
      <c r="A97" s="41"/>
      <c r="B97" s="41"/>
      <c r="C97" s="41"/>
      <c r="D97" s="41"/>
      <c r="E97" s="41"/>
      <c r="F97" s="41"/>
      <c r="G97" s="41"/>
      <c r="H97" s="41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</row>
    <row r="98">
      <c r="A98" s="41"/>
      <c r="B98" s="41"/>
      <c r="C98" s="41"/>
      <c r="D98" s="41"/>
      <c r="E98" s="41"/>
      <c r="F98" s="41"/>
      <c r="G98" s="41"/>
      <c r="H98" s="41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</row>
    <row r="99">
      <c r="A99" s="41"/>
      <c r="B99" s="41"/>
      <c r="C99" s="41"/>
      <c r="D99" s="41"/>
      <c r="E99" s="41"/>
      <c r="F99" s="41"/>
      <c r="G99" s="41"/>
      <c r="H99" s="41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</row>
    <row r="100">
      <c r="A100" s="41"/>
      <c r="B100" s="41"/>
      <c r="C100" s="41"/>
      <c r="D100" s="41"/>
      <c r="E100" s="41"/>
      <c r="F100" s="41"/>
      <c r="G100" s="41"/>
      <c r="H100" s="41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</row>
    <row r="101">
      <c r="A101" s="41"/>
      <c r="B101" s="41"/>
      <c r="C101" s="41"/>
      <c r="D101" s="41"/>
      <c r="E101" s="41"/>
      <c r="F101" s="41"/>
      <c r="G101" s="41"/>
      <c r="H101" s="41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</row>
    <row r="102">
      <c r="A102" s="41"/>
      <c r="B102" s="41"/>
      <c r="C102" s="41"/>
      <c r="D102" s="41"/>
      <c r="E102" s="41"/>
      <c r="F102" s="41"/>
      <c r="G102" s="41"/>
      <c r="H102" s="41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</row>
    <row r="103">
      <c r="A103" s="41"/>
      <c r="B103" s="41"/>
      <c r="C103" s="41"/>
      <c r="D103" s="41"/>
      <c r="E103" s="41"/>
      <c r="F103" s="41"/>
      <c r="G103" s="41"/>
      <c r="H103" s="41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</row>
    <row r="104">
      <c r="A104" s="41"/>
      <c r="B104" s="41"/>
      <c r="C104" s="41"/>
      <c r="D104" s="41"/>
      <c r="E104" s="41"/>
      <c r="F104" s="41"/>
      <c r="G104" s="41"/>
      <c r="H104" s="41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</row>
    <row r="105">
      <c r="A105" s="41"/>
      <c r="B105" s="41"/>
      <c r="C105" s="41"/>
      <c r="D105" s="41"/>
      <c r="E105" s="41"/>
      <c r="F105" s="41"/>
      <c r="G105" s="41"/>
      <c r="H105" s="41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</row>
    <row r="106">
      <c r="A106" s="41"/>
      <c r="B106" s="41"/>
      <c r="C106" s="41"/>
      <c r="D106" s="41"/>
      <c r="E106" s="41"/>
      <c r="F106" s="41"/>
      <c r="G106" s="41"/>
      <c r="H106" s="41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</row>
    <row r="107">
      <c r="A107" s="41"/>
      <c r="B107" s="41"/>
      <c r="C107" s="41"/>
      <c r="D107" s="41"/>
      <c r="E107" s="41"/>
      <c r="F107" s="41"/>
      <c r="G107" s="41"/>
      <c r="H107" s="41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</row>
    <row r="108">
      <c r="A108" s="41"/>
      <c r="B108" s="41"/>
      <c r="C108" s="41"/>
      <c r="D108" s="41"/>
      <c r="E108" s="41"/>
      <c r="F108" s="41"/>
      <c r="G108" s="41"/>
      <c r="H108" s="41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</row>
    <row r="109">
      <c r="A109" s="41"/>
      <c r="B109" s="41"/>
      <c r="C109" s="41"/>
      <c r="D109" s="41"/>
      <c r="E109" s="41"/>
      <c r="F109" s="41"/>
      <c r="G109" s="41"/>
      <c r="H109" s="41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</row>
    <row r="110">
      <c r="A110" s="41"/>
      <c r="B110" s="41"/>
      <c r="C110" s="41"/>
      <c r="D110" s="41"/>
      <c r="E110" s="41"/>
      <c r="F110" s="41"/>
      <c r="G110" s="41"/>
      <c r="H110" s="41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</row>
    <row r="111">
      <c r="A111" s="41"/>
      <c r="B111" s="41"/>
      <c r="C111" s="41"/>
      <c r="D111" s="41"/>
      <c r="E111" s="41"/>
      <c r="F111" s="41"/>
      <c r="G111" s="41"/>
      <c r="H111" s="41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</row>
    <row r="112">
      <c r="A112" s="41"/>
      <c r="B112" s="41"/>
      <c r="C112" s="41"/>
      <c r="D112" s="41"/>
      <c r="E112" s="41"/>
      <c r="F112" s="41"/>
      <c r="G112" s="41"/>
      <c r="H112" s="41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</row>
    <row r="113">
      <c r="A113" s="41"/>
      <c r="B113" s="41"/>
      <c r="C113" s="41"/>
      <c r="D113" s="41"/>
      <c r="E113" s="41"/>
      <c r="F113" s="41"/>
      <c r="G113" s="41"/>
      <c r="H113" s="41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</row>
    <row r="114">
      <c r="A114" s="41"/>
      <c r="B114" s="41"/>
      <c r="C114" s="41"/>
      <c r="D114" s="41"/>
      <c r="E114" s="41"/>
      <c r="F114" s="41"/>
      <c r="G114" s="41"/>
      <c r="H114" s="41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</row>
    <row r="115">
      <c r="A115" s="41"/>
      <c r="B115" s="41"/>
      <c r="C115" s="41"/>
      <c r="D115" s="41"/>
      <c r="E115" s="41"/>
      <c r="F115" s="41"/>
      <c r="G115" s="41"/>
      <c r="H115" s="41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</row>
    <row r="116">
      <c r="A116" s="41"/>
      <c r="B116" s="41"/>
      <c r="C116" s="41"/>
      <c r="D116" s="41"/>
      <c r="E116" s="41"/>
      <c r="F116" s="41"/>
      <c r="G116" s="41"/>
      <c r="H116" s="41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</row>
    <row r="117">
      <c r="A117" s="41"/>
      <c r="B117" s="41"/>
      <c r="C117" s="41"/>
      <c r="D117" s="41"/>
      <c r="E117" s="41"/>
      <c r="F117" s="41"/>
      <c r="G117" s="41"/>
      <c r="H117" s="41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</row>
    <row r="118">
      <c r="A118" s="41"/>
      <c r="B118" s="41"/>
      <c r="C118" s="41"/>
      <c r="D118" s="41"/>
      <c r="E118" s="41"/>
      <c r="F118" s="41"/>
      <c r="G118" s="41"/>
      <c r="H118" s="41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</row>
    <row r="119">
      <c r="A119" s="41"/>
      <c r="B119" s="41"/>
      <c r="C119" s="41"/>
      <c r="D119" s="41"/>
      <c r="E119" s="41"/>
      <c r="F119" s="41"/>
      <c r="G119" s="41"/>
      <c r="H119" s="41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</row>
    <row r="120">
      <c r="A120" s="41"/>
      <c r="B120" s="41"/>
      <c r="C120" s="41"/>
      <c r="D120" s="41"/>
      <c r="E120" s="41"/>
      <c r="F120" s="41"/>
      <c r="G120" s="41"/>
      <c r="H120" s="41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</row>
    <row r="121">
      <c r="A121" s="41"/>
      <c r="B121" s="41"/>
      <c r="C121" s="41"/>
      <c r="D121" s="41"/>
      <c r="E121" s="41"/>
      <c r="F121" s="41"/>
      <c r="G121" s="41"/>
      <c r="H121" s="41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</row>
    <row r="122">
      <c r="A122" s="41"/>
      <c r="B122" s="41"/>
      <c r="C122" s="41"/>
      <c r="D122" s="41"/>
      <c r="E122" s="41"/>
      <c r="F122" s="41"/>
      <c r="G122" s="41"/>
      <c r="H122" s="41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</row>
    <row r="123">
      <c r="A123" s="41"/>
      <c r="B123" s="41"/>
      <c r="C123" s="41"/>
      <c r="D123" s="41"/>
      <c r="E123" s="41"/>
      <c r="F123" s="41"/>
      <c r="G123" s="41"/>
      <c r="H123" s="41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</row>
    <row r="124">
      <c r="A124" s="41"/>
      <c r="B124" s="41"/>
      <c r="C124" s="41"/>
      <c r="D124" s="41"/>
      <c r="E124" s="41"/>
      <c r="F124" s="41"/>
      <c r="G124" s="41"/>
      <c r="H124" s="41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</row>
    <row r="125">
      <c r="A125" s="41"/>
      <c r="B125" s="41"/>
      <c r="C125" s="41"/>
      <c r="D125" s="41"/>
      <c r="E125" s="41"/>
      <c r="F125" s="41"/>
      <c r="G125" s="41"/>
      <c r="H125" s="41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</row>
    <row r="126">
      <c r="A126" s="41"/>
      <c r="B126" s="41"/>
      <c r="C126" s="41"/>
      <c r="D126" s="41"/>
      <c r="E126" s="41"/>
      <c r="F126" s="41"/>
      <c r="G126" s="41"/>
      <c r="H126" s="41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</row>
    <row r="127">
      <c r="A127" s="41"/>
      <c r="B127" s="41"/>
      <c r="C127" s="41"/>
      <c r="D127" s="41"/>
      <c r="E127" s="41"/>
      <c r="F127" s="41"/>
      <c r="G127" s="41"/>
      <c r="H127" s="41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</row>
    <row r="128">
      <c r="A128" s="41"/>
      <c r="B128" s="41"/>
      <c r="C128" s="41"/>
      <c r="D128" s="41"/>
      <c r="E128" s="41"/>
      <c r="F128" s="41"/>
      <c r="G128" s="41"/>
      <c r="H128" s="41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</row>
    <row r="129">
      <c r="A129" s="41"/>
      <c r="B129" s="41"/>
      <c r="C129" s="41"/>
      <c r="D129" s="41"/>
      <c r="E129" s="41"/>
      <c r="F129" s="41"/>
      <c r="G129" s="41"/>
      <c r="H129" s="41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</row>
    <row r="130">
      <c r="A130" s="41"/>
      <c r="B130" s="41"/>
      <c r="C130" s="41"/>
      <c r="D130" s="41"/>
      <c r="E130" s="41"/>
      <c r="F130" s="41"/>
      <c r="G130" s="41"/>
      <c r="H130" s="41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</row>
    <row r="131">
      <c r="A131" s="41"/>
      <c r="B131" s="41"/>
      <c r="C131" s="41"/>
      <c r="D131" s="41"/>
      <c r="E131" s="41"/>
      <c r="F131" s="41"/>
      <c r="G131" s="41"/>
      <c r="H131" s="41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</row>
    <row r="132">
      <c r="A132" s="41"/>
      <c r="B132" s="41"/>
      <c r="C132" s="41"/>
      <c r="D132" s="41"/>
      <c r="E132" s="41"/>
      <c r="F132" s="41"/>
      <c r="G132" s="41"/>
      <c r="H132" s="41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</row>
    <row r="133">
      <c r="A133" s="41"/>
      <c r="B133" s="41"/>
      <c r="C133" s="41"/>
      <c r="D133" s="41"/>
      <c r="E133" s="41"/>
      <c r="F133" s="41"/>
      <c r="G133" s="41"/>
      <c r="H133" s="41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</row>
    <row r="134">
      <c r="A134" s="41"/>
      <c r="B134" s="41"/>
      <c r="C134" s="41"/>
      <c r="D134" s="41"/>
      <c r="E134" s="41"/>
      <c r="F134" s="41"/>
      <c r="G134" s="41"/>
      <c r="H134" s="41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</row>
    <row r="135">
      <c r="A135" s="41"/>
      <c r="B135" s="41"/>
      <c r="C135" s="41"/>
      <c r="D135" s="41"/>
      <c r="E135" s="41"/>
      <c r="F135" s="41"/>
      <c r="G135" s="41"/>
      <c r="H135" s="41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</row>
    <row r="136">
      <c r="A136" s="41"/>
      <c r="B136" s="41"/>
      <c r="C136" s="41"/>
      <c r="D136" s="41"/>
      <c r="E136" s="41"/>
      <c r="F136" s="41"/>
      <c r="G136" s="41"/>
      <c r="H136" s="41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</row>
    <row r="137">
      <c r="A137" s="41"/>
      <c r="B137" s="41"/>
      <c r="C137" s="41"/>
      <c r="D137" s="41"/>
      <c r="E137" s="41"/>
      <c r="F137" s="41"/>
      <c r="G137" s="41"/>
      <c r="H137" s="41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</row>
    <row r="138">
      <c r="A138" s="41"/>
      <c r="B138" s="41"/>
      <c r="C138" s="41"/>
      <c r="D138" s="41"/>
      <c r="E138" s="41"/>
      <c r="F138" s="41"/>
      <c r="G138" s="41"/>
      <c r="H138" s="41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</row>
    <row r="139">
      <c r="A139" s="41"/>
      <c r="B139" s="41"/>
      <c r="C139" s="41"/>
      <c r="D139" s="41"/>
      <c r="E139" s="41"/>
      <c r="F139" s="41"/>
      <c r="G139" s="41"/>
      <c r="H139" s="41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</row>
    <row r="140">
      <c r="A140" s="41"/>
      <c r="B140" s="41"/>
      <c r="C140" s="41"/>
      <c r="D140" s="41"/>
      <c r="E140" s="41"/>
      <c r="F140" s="41"/>
      <c r="G140" s="41"/>
      <c r="H140" s="41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</row>
    <row r="141">
      <c r="A141" s="41"/>
      <c r="B141" s="41"/>
      <c r="C141" s="41"/>
      <c r="D141" s="41"/>
      <c r="E141" s="41"/>
      <c r="F141" s="41"/>
      <c r="G141" s="41"/>
      <c r="H141" s="41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</row>
    <row r="142">
      <c r="A142" s="41"/>
      <c r="B142" s="41"/>
      <c r="C142" s="41"/>
      <c r="D142" s="41"/>
      <c r="E142" s="41"/>
      <c r="F142" s="41"/>
      <c r="G142" s="41"/>
      <c r="H142" s="41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</row>
    <row r="143">
      <c r="A143" s="41"/>
      <c r="B143" s="41"/>
      <c r="C143" s="41"/>
      <c r="D143" s="41"/>
      <c r="E143" s="41"/>
      <c r="F143" s="41"/>
      <c r="G143" s="41"/>
      <c r="H143" s="41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</row>
    <row r="144">
      <c r="A144" s="41"/>
      <c r="B144" s="41"/>
      <c r="C144" s="41"/>
      <c r="D144" s="41"/>
      <c r="E144" s="41"/>
      <c r="F144" s="41"/>
      <c r="G144" s="41"/>
      <c r="H144" s="41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</row>
    <row r="145">
      <c r="A145" s="41"/>
      <c r="B145" s="41"/>
      <c r="C145" s="41"/>
      <c r="D145" s="41"/>
      <c r="E145" s="41"/>
      <c r="F145" s="41"/>
      <c r="G145" s="41"/>
      <c r="H145" s="41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</row>
    <row r="146">
      <c r="A146" s="41"/>
      <c r="B146" s="41"/>
      <c r="C146" s="41"/>
      <c r="D146" s="41"/>
      <c r="E146" s="41"/>
      <c r="F146" s="41"/>
      <c r="G146" s="41"/>
      <c r="H146" s="41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</row>
    <row r="147">
      <c r="A147" s="41"/>
      <c r="B147" s="41"/>
      <c r="C147" s="41"/>
      <c r="D147" s="41"/>
      <c r="E147" s="41"/>
      <c r="F147" s="41"/>
      <c r="G147" s="41"/>
      <c r="H147" s="41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</row>
    <row r="148">
      <c r="A148" s="41"/>
      <c r="B148" s="41"/>
      <c r="C148" s="41"/>
      <c r="D148" s="41"/>
      <c r="E148" s="41"/>
      <c r="F148" s="41"/>
      <c r="G148" s="41"/>
      <c r="H148" s="41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</row>
    <row r="149" hidden="1">
      <c r="A149" s="41"/>
      <c r="B149" s="41"/>
      <c r="C149" s="41"/>
      <c r="D149" s="41"/>
      <c r="E149" s="41"/>
      <c r="F149" s="41"/>
      <c r="G149" s="41"/>
      <c r="H149" s="41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</row>
    <row r="150" hidden="1">
      <c r="A150" s="41"/>
      <c r="B150" s="41"/>
      <c r="C150" s="41"/>
      <c r="D150" s="41"/>
      <c r="E150" s="41"/>
      <c r="F150" s="41"/>
      <c r="G150" s="41"/>
      <c r="H150" s="41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</row>
    <row r="151" hidden="1">
      <c r="A151" s="41"/>
      <c r="B151" s="41"/>
      <c r="C151" s="41"/>
      <c r="D151" s="41"/>
      <c r="E151" s="41"/>
      <c r="F151" s="41"/>
      <c r="G151" s="41"/>
      <c r="H151" s="41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</row>
    <row r="152" hidden="1">
      <c r="A152" s="41"/>
      <c r="B152" s="41"/>
      <c r="C152" s="41"/>
      <c r="D152" s="41"/>
      <c r="E152" s="41"/>
      <c r="F152" s="41"/>
      <c r="G152" s="41"/>
      <c r="H152" s="41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</row>
    <row r="153" hidden="1">
      <c r="A153" s="41"/>
      <c r="B153" s="41"/>
      <c r="C153" s="41"/>
      <c r="D153" s="41"/>
      <c r="E153" s="41"/>
      <c r="F153" s="41"/>
      <c r="G153" s="41"/>
      <c r="H153" s="41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</row>
    <row r="154" hidden="1">
      <c r="A154" s="41"/>
      <c r="B154" s="41"/>
      <c r="C154" s="41"/>
      <c r="D154" s="41"/>
      <c r="E154" s="41"/>
      <c r="F154" s="41"/>
      <c r="G154" s="41"/>
      <c r="H154" s="41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</row>
    <row r="155" hidden="1">
      <c r="A155" s="41"/>
      <c r="B155" s="41"/>
      <c r="C155" s="41"/>
      <c r="D155" s="41"/>
      <c r="E155" s="41"/>
      <c r="F155" s="41"/>
      <c r="G155" s="41"/>
      <c r="H155" s="41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</row>
    <row r="156" hidden="1">
      <c r="A156" s="41"/>
      <c r="B156" s="41"/>
      <c r="C156" s="41"/>
      <c r="D156" s="41"/>
      <c r="E156" s="41"/>
      <c r="F156" s="41"/>
      <c r="G156" s="41"/>
      <c r="H156" s="41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</row>
    <row r="157" hidden="1">
      <c r="A157" s="41"/>
      <c r="B157" s="41"/>
      <c r="C157" s="41"/>
      <c r="D157" s="41"/>
      <c r="E157" s="41"/>
      <c r="F157" s="41"/>
      <c r="G157" s="41"/>
      <c r="H157" s="41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</row>
    <row r="158" hidden="1">
      <c r="A158" s="41"/>
      <c r="B158" s="41"/>
      <c r="C158" s="41"/>
      <c r="D158" s="41"/>
      <c r="E158" s="41"/>
      <c r="F158" s="41"/>
      <c r="G158" s="41"/>
      <c r="H158" s="41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</row>
    <row r="159" hidden="1">
      <c r="A159" s="41"/>
      <c r="B159" s="41"/>
      <c r="C159" s="41"/>
      <c r="D159" s="41"/>
      <c r="E159" s="41"/>
      <c r="F159" s="41"/>
      <c r="G159" s="41"/>
      <c r="H159" s="41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</row>
    <row r="160" hidden="1">
      <c r="A160" s="41"/>
      <c r="B160" s="41"/>
      <c r="C160" s="41"/>
      <c r="D160" s="41"/>
      <c r="E160" s="41"/>
      <c r="F160" s="41"/>
      <c r="G160" s="41"/>
      <c r="H160" s="41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</row>
    <row r="161" hidden="1">
      <c r="A161" s="41"/>
      <c r="B161" s="41"/>
      <c r="C161" s="41"/>
      <c r="D161" s="41"/>
      <c r="E161" s="41"/>
      <c r="F161" s="41"/>
      <c r="G161" s="41"/>
      <c r="H161" s="41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</row>
    <row r="162" hidden="1">
      <c r="A162" s="41"/>
      <c r="B162" s="41"/>
      <c r="C162" s="41"/>
      <c r="D162" s="41"/>
      <c r="E162" s="41"/>
      <c r="F162" s="41"/>
      <c r="G162" s="41"/>
      <c r="H162" s="41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</row>
    <row r="163" hidden="1">
      <c r="A163" s="41"/>
      <c r="B163" s="41"/>
      <c r="C163" s="41"/>
      <c r="D163" s="41"/>
      <c r="E163" s="41"/>
      <c r="F163" s="41"/>
      <c r="G163" s="41"/>
      <c r="H163" s="41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</row>
    <row r="164" hidden="1">
      <c r="A164" s="41"/>
      <c r="B164" s="41"/>
      <c r="C164" s="41"/>
      <c r="D164" s="41"/>
      <c r="E164" s="41"/>
      <c r="F164" s="41"/>
      <c r="G164" s="41"/>
      <c r="H164" s="41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</row>
    <row r="165" hidden="1">
      <c r="A165" s="41"/>
      <c r="B165" s="41"/>
      <c r="C165" s="41"/>
      <c r="D165" s="41"/>
      <c r="E165" s="41"/>
      <c r="F165" s="41"/>
      <c r="G165" s="41"/>
      <c r="H165" s="41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</row>
    <row r="166" hidden="1">
      <c r="A166" s="41"/>
      <c r="B166" s="41"/>
      <c r="C166" s="41"/>
      <c r="D166" s="41"/>
      <c r="E166" s="41"/>
      <c r="F166" s="41"/>
      <c r="G166" s="41"/>
      <c r="H166" s="41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</row>
    <row r="167" hidden="1">
      <c r="A167" s="41"/>
      <c r="B167" s="41"/>
      <c r="C167" s="41"/>
      <c r="D167" s="41"/>
      <c r="E167" s="41"/>
      <c r="F167" s="41"/>
      <c r="G167" s="41"/>
      <c r="H167" s="41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</row>
    <row r="168" hidden="1">
      <c r="A168" s="41"/>
      <c r="B168" s="41"/>
      <c r="C168" s="41"/>
      <c r="D168" s="41"/>
      <c r="E168" s="41"/>
      <c r="F168" s="41"/>
      <c r="G168" s="41"/>
      <c r="H168" s="41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</row>
    <row r="169" hidden="1">
      <c r="A169" s="41"/>
      <c r="B169" s="41"/>
      <c r="C169" s="41"/>
      <c r="D169" s="41"/>
      <c r="E169" s="41"/>
      <c r="F169" s="41"/>
      <c r="G169" s="41"/>
      <c r="H169" s="41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</row>
    <row r="170" hidden="1">
      <c r="A170" s="41"/>
      <c r="B170" s="41"/>
      <c r="C170" s="41"/>
      <c r="D170" s="41"/>
      <c r="E170" s="41"/>
      <c r="F170" s="41"/>
      <c r="G170" s="41"/>
      <c r="H170" s="41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</row>
    <row r="171" hidden="1">
      <c r="A171" s="41"/>
      <c r="B171" s="41"/>
      <c r="C171" s="41"/>
      <c r="D171" s="41"/>
      <c r="E171" s="41"/>
      <c r="F171" s="41"/>
      <c r="G171" s="41"/>
      <c r="H171" s="41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</row>
    <row r="172" hidden="1">
      <c r="A172" s="41"/>
      <c r="B172" s="41"/>
      <c r="C172" s="41"/>
      <c r="D172" s="41"/>
      <c r="E172" s="41"/>
      <c r="F172" s="41"/>
      <c r="G172" s="41"/>
      <c r="H172" s="41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</row>
    <row r="173" hidden="1">
      <c r="A173" s="41"/>
      <c r="B173" s="41"/>
      <c r="C173" s="41"/>
      <c r="D173" s="41"/>
      <c r="E173" s="41"/>
      <c r="F173" s="41"/>
      <c r="G173" s="41"/>
      <c r="H173" s="41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</row>
    <row r="174" hidden="1">
      <c r="A174" s="41"/>
      <c r="B174" s="41"/>
      <c r="C174" s="41"/>
      <c r="D174" s="41"/>
      <c r="E174" s="41"/>
      <c r="F174" s="41"/>
      <c r="G174" s="41"/>
      <c r="H174" s="41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</row>
    <row r="175" hidden="1">
      <c r="A175" s="41"/>
      <c r="B175" s="41"/>
      <c r="C175" s="41"/>
      <c r="D175" s="41"/>
      <c r="E175" s="41"/>
      <c r="F175" s="41"/>
      <c r="G175" s="41"/>
      <c r="H175" s="41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</row>
    <row r="176" hidden="1">
      <c r="A176" s="41"/>
      <c r="B176" s="41"/>
      <c r="C176" s="41"/>
      <c r="D176" s="41"/>
      <c r="E176" s="41"/>
      <c r="F176" s="41"/>
      <c r="G176" s="41"/>
      <c r="H176" s="41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</row>
    <row r="177" hidden="1">
      <c r="A177" s="41"/>
      <c r="B177" s="41"/>
      <c r="C177" s="41"/>
      <c r="D177" s="41"/>
      <c r="E177" s="41"/>
      <c r="F177" s="41"/>
      <c r="G177" s="41"/>
      <c r="H177" s="41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</row>
    <row r="178" hidden="1">
      <c r="A178" s="41"/>
      <c r="B178" s="41"/>
      <c r="C178" s="41"/>
      <c r="D178" s="41"/>
      <c r="E178" s="41"/>
      <c r="F178" s="41"/>
      <c r="G178" s="41"/>
      <c r="H178" s="41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</row>
    <row r="179" hidden="1">
      <c r="A179" s="41"/>
      <c r="B179" s="41"/>
      <c r="C179" s="41"/>
      <c r="D179" s="41"/>
      <c r="E179" s="41"/>
      <c r="F179" s="41"/>
      <c r="G179" s="41"/>
      <c r="H179" s="41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</row>
    <row r="180" hidden="1">
      <c r="A180" s="41"/>
      <c r="B180" s="41"/>
      <c r="C180" s="41"/>
      <c r="D180" s="41"/>
      <c r="E180" s="41"/>
      <c r="F180" s="41"/>
      <c r="G180" s="41"/>
      <c r="H180" s="41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</row>
    <row r="181" hidden="1">
      <c r="A181" s="41"/>
      <c r="B181" s="41"/>
      <c r="C181" s="41"/>
      <c r="D181" s="41"/>
      <c r="E181" s="41"/>
      <c r="F181" s="41"/>
      <c r="G181" s="41"/>
      <c r="H181" s="41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</row>
    <row r="182" hidden="1">
      <c r="A182" s="41"/>
      <c r="B182" s="41"/>
      <c r="C182" s="41"/>
      <c r="D182" s="41"/>
      <c r="E182" s="41"/>
      <c r="F182" s="41"/>
      <c r="G182" s="41"/>
      <c r="H182" s="41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</row>
    <row r="183" hidden="1">
      <c r="A183" s="41"/>
      <c r="B183" s="41"/>
      <c r="C183" s="41"/>
      <c r="D183" s="41"/>
      <c r="E183" s="41"/>
      <c r="F183" s="41"/>
      <c r="G183" s="41"/>
      <c r="H183" s="41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</row>
    <row r="184" hidden="1">
      <c r="A184" s="41"/>
      <c r="B184" s="41"/>
      <c r="C184" s="41"/>
      <c r="D184" s="41"/>
      <c r="E184" s="41"/>
      <c r="F184" s="41"/>
      <c r="G184" s="41"/>
      <c r="H184" s="41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</row>
    <row r="185" hidden="1">
      <c r="A185" s="41"/>
      <c r="B185" s="41"/>
      <c r="C185" s="41"/>
      <c r="D185" s="41"/>
      <c r="E185" s="41"/>
      <c r="F185" s="41"/>
      <c r="G185" s="41"/>
      <c r="H185" s="41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</row>
    <row r="186" hidden="1">
      <c r="A186" s="41"/>
      <c r="B186" s="41"/>
      <c r="C186" s="41"/>
      <c r="D186" s="41"/>
      <c r="E186" s="41"/>
      <c r="F186" s="41"/>
      <c r="G186" s="41"/>
      <c r="H186" s="41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</row>
    <row r="187" hidden="1">
      <c r="A187" s="41"/>
      <c r="B187" s="41"/>
      <c r="C187" s="41"/>
      <c r="D187" s="41"/>
      <c r="E187" s="41"/>
      <c r="F187" s="41"/>
      <c r="G187" s="41"/>
      <c r="H187" s="41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</row>
    <row r="188" hidden="1">
      <c r="A188" s="41"/>
      <c r="B188" s="41"/>
      <c r="C188" s="41"/>
      <c r="D188" s="41"/>
      <c r="E188" s="41"/>
      <c r="F188" s="41"/>
      <c r="G188" s="41"/>
      <c r="H188" s="41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</row>
    <row r="189" hidden="1">
      <c r="A189" s="41"/>
      <c r="B189" s="41"/>
      <c r="C189" s="41"/>
      <c r="D189" s="41"/>
      <c r="E189" s="41"/>
      <c r="F189" s="41"/>
      <c r="G189" s="41"/>
      <c r="H189" s="41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</row>
    <row r="190" hidden="1">
      <c r="A190" s="41"/>
      <c r="B190" s="41"/>
      <c r="C190" s="41"/>
      <c r="D190" s="41"/>
      <c r="E190" s="41"/>
      <c r="F190" s="41"/>
      <c r="G190" s="41"/>
      <c r="H190" s="41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</row>
    <row r="191" hidden="1">
      <c r="A191" s="41"/>
      <c r="B191" s="41"/>
      <c r="C191" s="41"/>
      <c r="D191" s="41"/>
      <c r="E191" s="41"/>
      <c r="F191" s="41"/>
      <c r="G191" s="41"/>
      <c r="H191" s="41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</row>
    <row r="192" hidden="1">
      <c r="A192" s="41"/>
      <c r="B192" s="41"/>
      <c r="C192" s="41"/>
      <c r="D192" s="41"/>
      <c r="E192" s="41"/>
      <c r="F192" s="41"/>
      <c r="G192" s="41"/>
      <c r="H192" s="41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</row>
    <row r="193" hidden="1">
      <c r="A193" s="41"/>
      <c r="B193" s="41"/>
      <c r="C193" s="41"/>
      <c r="D193" s="41"/>
      <c r="E193" s="41"/>
      <c r="F193" s="41"/>
      <c r="G193" s="41"/>
      <c r="H193" s="41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</row>
    <row r="194" hidden="1">
      <c r="A194" s="41"/>
      <c r="B194" s="41"/>
      <c r="C194" s="41"/>
      <c r="D194" s="41"/>
      <c r="E194" s="41"/>
      <c r="F194" s="41"/>
      <c r="G194" s="41"/>
      <c r="H194" s="41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</row>
    <row r="195" hidden="1">
      <c r="A195" s="41"/>
      <c r="B195" s="41"/>
      <c r="C195" s="41"/>
      <c r="D195" s="41"/>
      <c r="E195" s="41"/>
      <c r="F195" s="41"/>
      <c r="G195" s="41"/>
      <c r="H195" s="41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</row>
    <row r="196" hidden="1">
      <c r="A196" s="41"/>
      <c r="B196" s="41"/>
      <c r="C196" s="41"/>
      <c r="D196" s="41"/>
      <c r="E196" s="41"/>
      <c r="F196" s="41"/>
      <c r="G196" s="41"/>
      <c r="H196" s="41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</row>
    <row r="197" hidden="1">
      <c r="A197" s="41"/>
      <c r="B197" s="41"/>
      <c r="C197" s="41"/>
      <c r="D197" s="41"/>
      <c r="E197" s="41"/>
      <c r="F197" s="41"/>
      <c r="G197" s="41"/>
      <c r="H197" s="41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</row>
    <row r="198" hidden="1">
      <c r="A198" s="41"/>
      <c r="B198" s="41"/>
      <c r="C198" s="41"/>
      <c r="D198" s="41"/>
      <c r="E198" s="41"/>
      <c r="F198" s="41"/>
      <c r="G198" s="41"/>
      <c r="H198" s="41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</row>
    <row r="199" hidden="1">
      <c r="A199" s="41"/>
      <c r="B199" s="41"/>
      <c r="C199" s="41"/>
      <c r="D199" s="41"/>
      <c r="E199" s="41"/>
      <c r="F199" s="41"/>
      <c r="G199" s="41"/>
      <c r="H199" s="41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</row>
    <row r="200" hidden="1">
      <c r="A200" s="41"/>
      <c r="B200" s="41"/>
      <c r="C200" s="41"/>
      <c r="D200" s="41"/>
      <c r="E200" s="41"/>
      <c r="F200" s="41"/>
      <c r="G200" s="41"/>
      <c r="H200" s="41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</row>
    <row r="201" hidden="1">
      <c r="A201" s="41"/>
      <c r="B201" s="41"/>
      <c r="C201" s="41"/>
      <c r="D201" s="41"/>
      <c r="E201" s="41"/>
      <c r="F201" s="41"/>
      <c r="G201" s="41"/>
      <c r="H201" s="41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</row>
    <row r="202" hidden="1">
      <c r="A202" s="41"/>
      <c r="B202" s="41"/>
      <c r="C202" s="41"/>
      <c r="D202" s="41"/>
      <c r="E202" s="41"/>
      <c r="F202" s="41"/>
      <c r="G202" s="41"/>
      <c r="H202" s="41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</row>
    <row r="203" hidden="1">
      <c r="A203" s="41"/>
      <c r="B203" s="41"/>
      <c r="C203" s="41"/>
      <c r="D203" s="41"/>
      <c r="E203" s="41"/>
      <c r="F203" s="41"/>
      <c r="G203" s="41"/>
      <c r="H203" s="41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</row>
    <row r="204" hidden="1">
      <c r="A204" s="41"/>
      <c r="B204" s="41"/>
      <c r="C204" s="41"/>
      <c r="D204" s="41"/>
      <c r="E204" s="41"/>
      <c r="F204" s="41"/>
      <c r="G204" s="41"/>
      <c r="H204" s="41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</row>
    <row r="205" hidden="1">
      <c r="A205" s="41"/>
      <c r="B205" s="41"/>
      <c r="C205" s="41"/>
      <c r="D205" s="41"/>
      <c r="E205" s="41"/>
      <c r="F205" s="41"/>
      <c r="G205" s="41"/>
      <c r="H205" s="41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</row>
    <row r="206" hidden="1">
      <c r="A206" s="41"/>
      <c r="B206" s="41"/>
      <c r="C206" s="41"/>
      <c r="D206" s="41"/>
      <c r="E206" s="41"/>
      <c r="F206" s="41"/>
      <c r="G206" s="41"/>
      <c r="H206" s="41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</row>
    <row r="207" hidden="1">
      <c r="A207" s="41"/>
      <c r="B207" s="41"/>
      <c r="C207" s="41"/>
      <c r="D207" s="41"/>
      <c r="E207" s="41"/>
      <c r="F207" s="41"/>
      <c r="G207" s="41"/>
      <c r="H207" s="41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</row>
    <row r="208" hidden="1">
      <c r="A208" s="41"/>
      <c r="B208" s="41"/>
      <c r="C208" s="41"/>
      <c r="D208" s="41"/>
      <c r="E208" s="41"/>
      <c r="F208" s="41"/>
      <c r="G208" s="41"/>
      <c r="H208" s="41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</row>
    <row r="209" hidden="1">
      <c r="A209" s="41"/>
      <c r="B209" s="41"/>
      <c r="C209" s="41"/>
      <c r="D209" s="41"/>
      <c r="E209" s="41"/>
      <c r="F209" s="41"/>
      <c r="G209" s="41"/>
      <c r="H209" s="41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</row>
    <row r="210" hidden="1">
      <c r="A210" s="41"/>
      <c r="B210" s="41"/>
      <c r="C210" s="41"/>
      <c r="D210" s="41"/>
      <c r="E210" s="41"/>
      <c r="F210" s="41"/>
      <c r="G210" s="41"/>
      <c r="H210" s="41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</row>
    <row r="211" hidden="1">
      <c r="A211" s="41"/>
      <c r="B211" s="41"/>
      <c r="C211" s="41"/>
      <c r="D211" s="41"/>
      <c r="E211" s="41"/>
      <c r="F211" s="41"/>
      <c r="G211" s="41"/>
      <c r="H211" s="41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</row>
    <row r="212" hidden="1">
      <c r="A212" s="41"/>
      <c r="B212" s="41"/>
      <c r="C212" s="41"/>
      <c r="D212" s="41"/>
      <c r="E212" s="41"/>
      <c r="F212" s="41"/>
      <c r="G212" s="41"/>
      <c r="H212" s="41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</row>
    <row r="213" hidden="1">
      <c r="A213" s="41"/>
      <c r="B213" s="41"/>
      <c r="C213" s="41"/>
      <c r="D213" s="41"/>
      <c r="E213" s="41"/>
      <c r="F213" s="41"/>
      <c r="G213" s="41"/>
      <c r="H213" s="41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</row>
    <row r="214" hidden="1">
      <c r="A214" s="41"/>
      <c r="B214" s="41"/>
      <c r="C214" s="41"/>
      <c r="D214" s="41"/>
      <c r="E214" s="41"/>
      <c r="F214" s="41"/>
      <c r="G214" s="41"/>
      <c r="H214" s="41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</row>
    <row r="215" hidden="1">
      <c r="A215" s="41"/>
      <c r="B215" s="41"/>
      <c r="C215" s="41"/>
      <c r="D215" s="41"/>
      <c r="E215" s="41"/>
      <c r="F215" s="41"/>
      <c r="G215" s="41"/>
      <c r="H215" s="41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</row>
    <row r="216" hidden="1">
      <c r="A216" s="41"/>
      <c r="B216" s="41"/>
      <c r="C216" s="41"/>
      <c r="D216" s="41"/>
      <c r="E216" s="41"/>
      <c r="F216" s="41"/>
      <c r="G216" s="41"/>
      <c r="H216" s="41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</row>
    <row r="217" hidden="1">
      <c r="A217" s="41"/>
      <c r="B217" s="41"/>
      <c r="C217" s="41"/>
      <c r="D217" s="41"/>
      <c r="E217" s="41"/>
      <c r="F217" s="41"/>
      <c r="G217" s="41"/>
      <c r="H217" s="41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</row>
    <row r="218" hidden="1">
      <c r="A218" s="41"/>
      <c r="B218" s="41"/>
      <c r="C218" s="41"/>
      <c r="D218" s="41"/>
      <c r="E218" s="41"/>
      <c r="F218" s="41"/>
      <c r="G218" s="41"/>
      <c r="H218" s="41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</row>
    <row r="219" hidden="1">
      <c r="A219" s="41"/>
      <c r="B219" s="41"/>
      <c r="C219" s="41"/>
      <c r="D219" s="41"/>
      <c r="E219" s="41"/>
      <c r="F219" s="41"/>
      <c r="G219" s="41"/>
      <c r="H219" s="41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</row>
    <row r="220" hidden="1">
      <c r="A220" s="41"/>
      <c r="B220" s="41"/>
      <c r="C220" s="41"/>
      <c r="D220" s="41"/>
      <c r="E220" s="41"/>
      <c r="F220" s="41"/>
      <c r="G220" s="41"/>
      <c r="H220" s="41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</row>
    <row r="221" hidden="1">
      <c r="A221" s="41"/>
      <c r="B221" s="41"/>
      <c r="C221" s="41"/>
      <c r="D221" s="41"/>
      <c r="E221" s="41"/>
      <c r="F221" s="41"/>
      <c r="G221" s="41"/>
      <c r="H221" s="41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</row>
    <row r="222" hidden="1">
      <c r="A222" s="41"/>
      <c r="B222" s="41"/>
      <c r="C222" s="41"/>
      <c r="D222" s="41"/>
      <c r="E222" s="41"/>
      <c r="F222" s="41"/>
      <c r="G222" s="41"/>
      <c r="H222" s="41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</row>
    <row r="223" hidden="1">
      <c r="A223" s="41"/>
      <c r="B223" s="41"/>
      <c r="C223" s="41"/>
      <c r="D223" s="41"/>
      <c r="E223" s="41"/>
      <c r="F223" s="41"/>
      <c r="G223" s="41"/>
      <c r="H223" s="41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</row>
    <row r="224" hidden="1">
      <c r="A224" s="41"/>
      <c r="B224" s="41"/>
      <c r="C224" s="41"/>
      <c r="D224" s="41"/>
      <c r="E224" s="41"/>
      <c r="F224" s="41"/>
      <c r="G224" s="41"/>
      <c r="H224" s="41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</row>
    <row r="225" hidden="1">
      <c r="A225" s="41"/>
      <c r="B225" s="41"/>
      <c r="C225" s="41"/>
      <c r="D225" s="41"/>
      <c r="E225" s="41"/>
      <c r="F225" s="41"/>
      <c r="G225" s="41"/>
      <c r="H225" s="41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</row>
    <row r="226" hidden="1">
      <c r="A226" s="41"/>
      <c r="B226" s="41"/>
      <c r="C226" s="41"/>
      <c r="D226" s="41"/>
      <c r="E226" s="41"/>
      <c r="F226" s="41"/>
      <c r="G226" s="41"/>
      <c r="H226" s="41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</row>
    <row r="227" hidden="1">
      <c r="A227" s="41"/>
      <c r="B227" s="41"/>
      <c r="C227" s="41"/>
      <c r="D227" s="41"/>
      <c r="E227" s="41"/>
      <c r="F227" s="41"/>
      <c r="G227" s="41"/>
      <c r="H227" s="41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</row>
    <row r="228" hidden="1">
      <c r="A228" s="41"/>
      <c r="B228" s="41"/>
      <c r="C228" s="41"/>
      <c r="D228" s="41"/>
      <c r="E228" s="41"/>
      <c r="F228" s="41"/>
      <c r="G228" s="41"/>
      <c r="H228" s="41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</row>
    <row r="229" hidden="1">
      <c r="A229" s="41"/>
      <c r="B229" s="41"/>
      <c r="C229" s="41"/>
      <c r="D229" s="41"/>
      <c r="E229" s="41"/>
      <c r="F229" s="41"/>
      <c r="G229" s="41"/>
      <c r="H229" s="41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</row>
    <row r="230" hidden="1">
      <c r="A230" s="41"/>
      <c r="B230" s="41"/>
      <c r="C230" s="41"/>
      <c r="D230" s="41"/>
      <c r="E230" s="41"/>
      <c r="F230" s="41"/>
      <c r="G230" s="41"/>
      <c r="H230" s="41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</row>
    <row r="231" hidden="1">
      <c r="A231" s="41"/>
      <c r="B231" s="41"/>
      <c r="C231" s="41"/>
      <c r="D231" s="41"/>
      <c r="E231" s="41"/>
      <c r="F231" s="41"/>
      <c r="G231" s="41"/>
      <c r="H231" s="41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</row>
    <row r="232" hidden="1">
      <c r="A232" s="41"/>
      <c r="B232" s="41"/>
      <c r="C232" s="41"/>
      <c r="D232" s="41"/>
      <c r="E232" s="41"/>
      <c r="F232" s="41"/>
      <c r="G232" s="41"/>
      <c r="H232" s="41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</row>
    <row r="233" hidden="1">
      <c r="A233" s="41"/>
      <c r="B233" s="41"/>
      <c r="C233" s="41"/>
      <c r="D233" s="41"/>
      <c r="E233" s="41"/>
      <c r="F233" s="41"/>
      <c r="G233" s="41"/>
      <c r="H233" s="41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</row>
    <row r="234" hidden="1">
      <c r="A234" s="41"/>
      <c r="B234" s="41"/>
      <c r="C234" s="41"/>
      <c r="D234" s="41"/>
      <c r="E234" s="41"/>
      <c r="F234" s="41"/>
      <c r="G234" s="41"/>
      <c r="H234" s="41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</row>
    <row r="235" hidden="1">
      <c r="A235" s="41"/>
      <c r="B235" s="41"/>
      <c r="C235" s="41"/>
      <c r="D235" s="41"/>
      <c r="E235" s="41"/>
      <c r="F235" s="41"/>
      <c r="G235" s="41"/>
      <c r="H235" s="41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</row>
    <row r="236" hidden="1">
      <c r="A236" s="41"/>
      <c r="B236" s="41"/>
      <c r="C236" s="41"/>
      <c r="D236" s="41"/>
      <c r="E236" s="41"/>
      <c r="F236" s="41"/>
      <c r="G236" s="41"/>
      <c r="H236" s="41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</row>
    <row r="237" hidden="1">
      <c r="A237" s="41"/>
      <c r="B237" s="41"/>
      <c r="C237" s="41"/>
      <c r="D237" s="41"/>
      <c r="E237" s="41"/>
      <c r="F237" s="41"/>
      <c r="G237" s="41"/>
      <c r="H237" s="41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</row>
    <row r="238" hidden="1">
      <c r="A238" s="41"/>
      <c r="B238" s="41"/>
      <c r="C238" s="41"/>
      <c r="D238" s="41"/>
      <c r="E238" s="41"/>
      <c r="F238" s="41"/>
      <c r="G238" s="41"/>
      <c r="H238" s="41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</row>
    <row r="239" hidden="1">
      <c r="A239" s="41"/>
      <c r="B239" s="41"/>
      <c r="C239" s="41"/>
      <c r="D239" s="41"/>
      <c r="E239" s="41"/>
      <c r="F239" s="41"/>
      <c r="G239" s="41"/>
      <c r="H239" s="41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</row>
    <row r="240" hidden="1">
      <c r="A240" s="41"/>
      <c r="B240" s="41"/>
      <c r="C240" s="41"/>
      <c r="D240" s="41"/>
      <c r="E240" s="41"/>
      <c r="F240" s="41"/>
      <c r="G240" s="41"/>
      <c r="H240" s="41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</row>
    <row r="241" hidden="1">
      <c r="A241" s="41"/>
      <c r="B241" s="41"/>
      <c r="C241" s="41"/>
      <c r="D241" s="41"/>
      <c r="E241" s="41"/>
      <c r="F241" s="41"/>
      <c r="G241" s="41"/>
      <c r="H241" s="41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</row>
    <row r="242" hidden="1">
      <c r="A242" s="41"/>
      <c r="B242" s="41"/>
      <c r="C242" s="41"/>
      <c r="D242" s="41"/>
      <c r="E242" s="41"/>
      <c r="F242" s="41"/>
      <c r="G242" s="41"/>
      <c r="H242" s="41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</row>
    <row r="243" hidden="1">
      <c r="A243" s="41"/>
      <c r="B243" s="41"/>
      <c r="C243" s="41"/>
      <c r="D243" s="41"/>
      <c r="E243" s="41"/>
      <c r="F243" s="41"/>
      <c r="G243" s="41"/>
      <c r="H243" s="41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</row>
    <row r="244" hidden="1">
      <c r="A244" s="41"/>
      <c r="B244" s="41"/>
      <c r="C244" s="41"/>
      <c r="D244" s="41"/>
      <c r="E244" s="41"/>
      <c r="F244" s="41"/>
      <c r="G244" s="41"/>
      <c r="H244" s="41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</row>
    <row r="245" hidden="1">
      <c r="A245" s="41"/>
      <c r="B245" s="41"/>
      <c r="C245" s="41"/>
      <c r="D245" s="41"/>
      <c r="E245" s="41"/>
      <c r="F245" s="41"/>
      <c r="G245" s="41"/>
      <c r="H245" s="41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</row>
    <row r="246" hidden="1">
      <c r="A246" s="41"/>
      <c r="B246" s="41"/>
      <c r="C246" s="41"/>
      <c r="D246" s="41"/>
      <c r="E246" s="41"/>
      <c r="F246" s="41"/>
      <c r="G246" s="41"/>
      <c r="H246" s="41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</row>
    <row r="247" hidden="1">
      <c r="A247" s="41"/>
      <c r="B247" s="41"/>
      <c r="C247" s="41"/>
      <c r="D247" s="41"/>
      <c r="E247" s="41"/>
      <c r="F247" s="41"/>
      <c r="G247" s="41"/>
      <c r="H247" s="41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</row>
    <row r="248" hidden="1">
      <c r="A248" s="41"/>
      <c r="B248" s="41"/>
      <c r="C248" s="41"/>
      <c r="D248" s="41"/>
      <c r="E248" s="41"/>
      <c r="F248" s="41"/>
      <c r="G248" s="41"/>
      <c r="H248" s="41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</row>
    <row r="249" hidden="1">
      <c r="A249" s="41"/>
      <c r="B249" s="41"/>
      <c r="C249" s="41"/>
      <c r="D249" s="41"/>
      <c r="E249" s="41"/>
      <c r="F249" s="41"/>
      <c r="G249" s="41"/>
      <c r="H249" s="41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</row>
    <row r="250" hidden="1">
      <c r="A250" s="41"/>
      <c r="B250" s="41"/>
      <c r="C250" s="41"/>
      <c r="D250" s="41"/>
      <c r="E250" s="41"/>
      <c r="F250" s="41"/>
      <c r="G250" s="41"/>
      <c r="H250" s="41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</row>
    <row r="251" hidden="1">
      <c r="A251" s="41"/>
      <c r="B251" s="41"/>
      <c r="C251" s="41"/>
      <c r="D251" s="41"/>
      <c r="E251" s="41"/>
      <c r="F251" s="41"/>
      <c r="G251" s="41"/>
      <c r="H251" s="41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</row>
    <row r="252" hidden="1">
      <c r="A252" s="41"/>
      <c r="B252" s="41"/>
      <c r="C252" s="41"/>
      <c r="D252" s="41"/>
      <c r="E252" s="41"/>
      <c r="F252" s="41"/>
      <c r="G252" s="41"/>
      <c r="H252" s="41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</row>
    <row r="253" hidden="1">
      <c r="A253" s="41"/>
      <c r="B253" s="41"/>
      <c r="C253" s="41"/>
      <c r="D253" s="41"/>
      <c r="E253" s="41"/>
      <c r="F253" s="41"/>
      <c r="G253" s="41"/>
      <c r="H253" s="41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</row>
    <row r="254" hidden="1">
      <c r="A254" s="41"/>
      <c r="B254" s="41"/>
      <c r="C254" s="41"/>
      <c r="D254" s="41"/>
      <c r="E254" s="41"/>
      <c r="F254" s="41"/>
      <c r="G254" s="41"/>
      <c r="H254" s="41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</row>
    <row r="255" hidden="1">
      <c r="A255" s="41"/>
      <c r="B255" s="41"/>
      <c r="C255" s="41"/>
      <c r="D255" s="41"/>
      <c r="E255" s="41"/>
      <c r="F255" s="41"/>
      <c r="G255" s="41"/>
      <c r="H255" s="41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</row>
    <row r="256" hidden="1">
      <c r="A256" s="41"/>
      <c r="B256" s="41"/>
      <c r="C256" s="41"/>
      <c r="D256" s="41"/>
      <c r="E256" s="41"/>
      <c r="F256" s="41"/>
      <c r="G256" s="41"/>
      <c r="H256" s="41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</row>
    <row r="257" hidden="1">
      <c r="A257" s="41"/>
      <c r="B257" s="41"/>
      <c r="C257" s="41"/>
      <c r="D257" s="41"/>
      <c r="E257" s="41"/>
      <c r="F257" s="41"/>
      <c r="G257" s="41"/>
      <c r="H257" s="41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</row>
    <row r="258" hidden="1">
      <c r="A258" s="41"/>
      <c r="B258" s="41"/>
      <c r="C258" s="41"/>
      <c r="D258" s="41"/>
      <c r="E258" s="41"/>
      <c r="F258" s="41"/>
      <c r="G258" s="41"/>
      <c r="H258" s="41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</row>
    <row r="259" hidden="1">
      <c r="A259" s="41"/>
      <c r="B259" s="41"/>
      <c r="C259" s="41"/>
      <c r="D259" s="41"/>
      <c r="E259" s="41"/>
      <c r="F259" s="41"/>
      <c r="G259" s="41"/>
      <c r="H259" s="41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</row>
    <row r="260" hidden="1">
      <c r="A260" s="41"/>
      <c r="B260" s="41"/>
      <c r="C260" s="41"/>
      <c r="D260" s="41"/>
      <c r="E260" s="41"/>
      <c r="F260" s="41"/>
      <c r="G260" s="41"/>
      <c r="H260" s="41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</row>
    <row r="261" hidden="1">
      <c r="A261" s="41"/>
      <c r="B261" s="41"/>
      <c r="C261" s="41"/>
      <c r="D261" s="41"/>
      <c r="E261" s="41"/>
      <c r="F261" s="41"/>
      <c r="G261" s="41"/>
      <c r="H261" s="41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</row>
    <row r="262" hidden="1">
      <c r="A262" s="41"/>
      <c r="B262" s="41"/>
      <c r="C262" s="41"/>
      <c r="D262" s="41"/>
      <c r="E262" s="41"/>
      <c r="F262" s="41"/>
      <c r="G262" s="41"/>
      <c r="H262" s="41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</row>
    <row r="263" hidden="1">
      <c r="A263" s="41"/>
      <c r="B263" s="41"/>
      <c r="C263" s="41"/>
      <c r="D263" s="41"/>
      <c r="E263" s="41"/>
      <c r="F263" s="41"/>
      <c r="G263" s="41"/>
      <c r="H263" s="41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</row>
    <row r="264" hidden="1">
      <c r="A264" s="41"/>
      <c r="B264" s="41"/>
      <c r="C264" s="41"/>
      <c r="D264" s="41"/>
      <c r="E264" s="41"/>
      <c r="F264" s="41"/>
      <c r="G264" s="41"/>
      <c r="H264" s="41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</row>
    <row r="265" hidden="1">
      <c r="A265" s="41"/>
      <c r="B265" s="41"/>
      <c r="C265" s="41"/>
      <c r="D265" s="41"/>
      <c r="E265" s="41"/>
      <c r="F265" s="41"/>
      <c r="G265" s="41"/>
      <c r="H265" s="41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</row>
    <row r="266" hidden="1">
      <c r="A266" s="41"/>
      <c r="B266" s="41"/>
      <c r="C266" s="41"/>
      <c r="D266" s="41"/>
      <c r="E266" s="41"/>
      <c r="F266" s="41"/>
      <c r="G266" s="41"/>
      <c r="H266" s="41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</row>
    <row r="267" hidden="1">
      <c r="A267" s="41"/>
      <c r="B267" s="41"/>
      <c r="C267" s="41"/>
      <c r="D267" s="41"/>
      <c r="E267" s="41"/>
      <c r="F267" s="41"/>
      <c r="G267" s="41"/>
      <c r="H267" s="41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</row>
    <row r="268" hidden="1">
      <c r="A268" s="41"/>
      <c r="B268" s="41"/>
      <c r="C268" s="41"/>
      <c r="D268" s="41"/>
      <c r="E268" s="41"/>
      <c r="F268" s="41"/>
      <c r="G268" s="41"/>
      <c r="H268" s="41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</row>
    <row r="269" hidden="1">
      <c r="A269" s="41"/>
      <c r="B269" s="41"/>
      <c r="C269" s="41"/>
      <c r="D269" s="41"/>
      <c r="E269" s="41"/>
      <c r="F269" s="41"/>
      <c r="G269" s="41"/>
      <c r="H269" s="41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</row>
    <row r="270" hidden="1">
      <c r="A270" s="41"/>
      <c r="B270" s="41"/>
      <c r="C270" s="41"/>
      <c r="D270" s="41"/>
      <c r="E270" s="41"/>
      <c r="F270" s="41"/>
      <c r="G270" s="41"/>
      <c r="H270" s="41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</row>
    <row r="271" hidden="1">
      <c r="A271" s="41"/>
      <c r="B271" s="41"/>
      <c r="C271" s="41"/>
      <c r="D271" s="41"/>
      <c r="E271" s="41"/>
      <c r="F271" s="41"/>
      <c r="G271" s="41"/>
      <c r="H271" s="41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</row>
    <row r="272" hidden="1">
      <c r="A272" s="41"/>
      <c r="B272" s="41"/>
      <c r="C272" s="41"/>
      <c r="D272" s="41"/>
      <c r="E272" s="41"/>
      <c r="F272" s="41"/>
      <c r="G272" s="41"/>
      <c r="H272" s="41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</row>
    <row r="273" hidden="1">
      <c r="A273" s="41"/>
      <c r="B273" s="41"/>
      <c r="C273" s="41"/>
      <c r="D273" s="41"/>
      <c r="E273" s="41"/>
      <c r="F273" s="41"/>
      <c r="G273" s="41"/>
      <c r="H273" s="41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</row>
    <row r="274" hidden="1">
      <c r="A274" s="41"/>
      <c r="B274" s="41"/>
      <c r="C274" s="41"/>
      <c r="D274" s="41"/>
      <c r="E274" s="41"/>
      <c r="F274" s="41"/>
      <c r="G274" s="41"/>
      <c r="H274" s="41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</row>
    <row r="275" hidden="1">
      <c r="A275" s="41"/>
      <c r="B275" s="41"/>
      <c r="C275" s="41"/>
      <c r="D275" s="41"/>
      <c r="E275" s="41"/>
      <c r="F275" s="41"/>
      <c r="G275" s="41"/>
      <c r="H275" s="41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</row>
    <row r="276" hidden="1">
      <c r="A276" s="41"/>
      <c r="B276" s="41"/>
      <c r="C276" s="41"/>
      <c r="D276" s="41"/>
      <c r="E276" s="41"/>
      <c r="F276" s="41"/>
      <c r="G276" s="41"/>
      <c r="H276" s="41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</row>
    <row r="277" hidden="1">
      <c r="A277" s="41"/>
      <c r="B277" s="41"/>
      <c r="C277" s="41"/>
      <c r="D277" s="41"/>
      <c r="E277" s="41"/>
      <c r="F277" s="41"/>
      <c r="G277" s="41"/>
      <c r="H277" s="41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</row>
    <row r="278" hidden="1">
      <c r="A278" s="41"/>
      <c r="B278" s="41"/>
      <c r="C278" s="41"/>
      <c r="D278" s="41"/>
      <c r="E278" s="41"/>
      <c r="F278" s="41"/>
      <c r="G278" s="41"/>
      <c r="H278" s="41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</row>
    <row r="279" hidden="1">
      <c r="A279" s="41"/>
      <c r="B279" s="41"/>
      <c r="C279" s="41"/>
      <c r="D279" s="41"/>
      <c r="E279" s="41"/>
      <c r="F279" s="41"/>
      <c r="G279" s="41"/>
      <c r="H279" s="41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</row>
    <row r="280" hidden="1">
      <c r="A280" s="41"/>
      <c r="B280" s="41"/>
      <c r="C280" s="41"/>
      <c r="D280" s="41"/>
      <c r="E280" s="41"/>
      <c r="F280" s="41"/>
      <c r="G280" s="41"/>
      <c r="H280" s="41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</row>
    <row r="281" hidden="1">
      <c r="A281" s="41"/>
      <c r="B281" s="41"/>
      <c r="C281" s="41"/>
      <c r="D281" s="41"/>
      <c r="E281" s="41"/>
      <c r="F281" s="41"/>
      <c r="G281" s="41"/>
      <c r="H281" s="41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</row>
    <row r="282" hidden="1">
      <c r="A282" s="41"/>
      <c r="B282" s="41"/>
      <c r="C282" s="41"/>
      <c r="D282" s="41"/>
      <c r="E282" s="41"/>
      <c r="F282" s="41"/>
      <c r="G282" s="41"/>
      <c r="H282" s="41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</row>
    <row r="283" hidden="1">
      <c r="A283" s="41"/>
      <c r="B283" s="41"/>
      <c r="C283" s="41"/>
      <c r="D283" s="41"/>
      <c r="E283" s="41"/>
      <c r="F283" s="41"/>
      <c r="G283" s="41"/>
      <c r="H283" s="41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</row>
    <row r="284" hidden="1">
      <c r="A284" s="41"/>
      <c r="B284" s="41"/>
      <c r="C284" s="41"/>
      <c r="D284" s="41"/>
      <c r="E284" s="41"/>
      <c r="F284" s="41"/>
      <c r="G284" s="41"/>
      <c r="H284" s="41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</row>
    <row r="285" hidden="1">
      <c r="A285" s="41"/>
      <c r="B285" s="41"/>
      <c r="C285" s="41"/>
      <c r="D285" s="41"/>
      <c r="E285" s="41"/>
      <c r="F285" s="41"/>
      <c r="G285" s="41"/>
      <c r="H285" s="41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</row>
    <row r="286" hidden="1">
      <c r="A286" s="41"/>
      <c r="B286" s="41"/>
      <c r="C286" s="41"/>
      <c r="D286" s="41"/>
      <c r="E286" s="41"/>
      <c r="F286" s="41"/>
      <c r="G286" s="41"/>
      <c r="H286" s="41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</row>
    <row r="287" hidden="1">
      <c r="A287" s="41"/>
      <c r="B287" s="41"/>
      <c r="C287" s="41"/>
      <c r="D287" s="41"/>
      <c r="E287" s="41"/>
      <c r="F287" s="41"/>
      <c r="G287" s="41"/>
      <c r="H287" s="41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</row>
    <row r="288" hidden="1">
      <c r="A288" s="41"/>
      <c r="B288" s="41"/>
      <c r="C288" s="41"/>
      <c r="D288" s="41"/>
      <c r="E288" s="41"/>
      <c r="F288" s="41"/>
      <c r="G288" s="41"/>
      <c r="H288" s="41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</row>
    <row r="289" hidden="1">
      <c r="A289" s="41"/>
      <c r="B289" s="41"/>
      <c r="C289" s="41"/>
      <c r="D289" s="41"/>
      <c r="E289" s="41"/>
      <c r="F289" s="41"/>
      <c r="G289" s="41"/>
      <c r="H289" s="41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</row>
    <row r="290" hidden="1">
      <c r="A290" s="41"/>
      <c r="B290" s="41"/>
      <c r="C290" s="41"/>
      <c r="D290" s="41"/>
      <c r="E290" s="41"/>
      <c r="F290" s="41"/>
      <c r="G290" s="41"/>
      <c r="H290" s="41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</row>
    <row r="291" hidden="1">
      <c r="A291" s="41"/>
      <c r="B291" s="41"/>
      <c r="C291" s="41"/>
      <c r="D291" s="41"/>
      <c r="E291" s="41"/>
      <c r="F291" s="41"/>
      <c r="G291" s="41"/>
      <c r="H291" s="41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</row>
    <row r="292" hidden="1">
      <c r="A292" s="41"/>
      <c r="B292" s="41"/>
      <c r="C292" s="41"/>
      <c r="D292" s="41"/>
      <c r="E292" s="41"/>
      <c r="F292" s="41"/>
      <c r="G292" s="41"/>
      <c r="H292" s="41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</row>
    <row r="293" hidden="1">
      <c r="A293" s="41"/>
      <c r="B293" s="41"/>
      <c r="C293" s="41"/>
      <c r="D293" s="41"/>
      <c r="E293" s="41"/>
      <c r="F293" s="41"/>
      <c r="G293" s="41"/>
      <c r="H293" s="41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</row>
    <row r="294" hidden="1">
      <c r="A294" s="41"/>
      <c r="B294" s="41"/>
      <c r="C294" s="41"/>
      <c r="D294" s="41"/>
      <c r="E294" s="41"/>
      <c r="F294" s="41"/>
      <c r="G294" s="41"/>
      <c r="H294" s="41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</row>
    <row r="295" hidden="1">
      <c r="A295" s="41"/>
      <c r="B295" s="41"/>
      <c r="C295" s="41"/>
      <c r="D295" s="41"/>
      <c r="E295" s="41"/>
      <c r="F295" s="41"/>
      <c r="G295" s="41"/>
      <c r="H295" s="41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</row>
    <row r="296" hidden="1">
      <c r="A296" s="41"/>
      <c r="B296" s="41"/>
      <c r="C296" s="41"/>
      <c r="D296" s="41"/>
      <c r="E296" s="41"/>
      <c r="F296" s="41"/>
      <c r="G296" s="41"/>
      <c r="H296" s="41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</row>
    <row r="297" hidden="1">
      <c r="A297" s="41"/>
      <c r="B297" s="41"/>
      <c r="C297" s="41"/>
      <c r="D297" s="41"/>
      <c r="E297" s="41"/>
      <c r="F297" s="41"/>
      <c r="G297" s="41"/>
      <c r="H297" s="41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</row>
    <row r="298" hidden="1">
      <c r="A298" s="41"/>
      <c r="B298" s="41"/>
      <c r="C298" s="41"/>
      <c r="D298" s="41"/>
      <c r="E298" s="41"/>
      <c r="F298" s="41"/>
      <c r="G298" s="41"/>
      <c r="H298" s="41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</row>
    <row r="299" hidden="1">
      <c r="A299" s="41"/>
      <c r="B299" s="41"/>
      <c r="C299" s="41"/>
      <c r="D299" s="41"/>
      <c r="E299" s="41"/>
      <c r="F299" s="41"/>
      <c r="G299" s="41"/>
      <c r="H299" s="41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</row>
    <row r="300" hidden="1">
      <c r="A300" s="41"/>
      <c r="B300" s="41"/>
      <c r="C300" s="41"/>
      <c r="D300" s="41"/>
      <c r="E300" s="41"/>
      <c r="F300" s="41"/>
      <c r="G300" s="41"/>
      <c r="H300" s="41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</row>
    <row r="301" hidden="1">
      <c r="A301" s="41"/>
      <c r="B301" s="41"/>
      <c r="C301" s="41"/>
      <c r="D301" s="41"/>
      <c r="E301" s="41"/>
      <c r="F301" s="41"/>
      <c r="G301" s="41"/>
      <c r="H301" s="41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</row>
    <row r="302" hidden="1">
      <c r="A302" s="41"/>
      <c r="B302" s="41"/>
      <c r="C302" s="41"/>
      <c r="D302" s="41"/>
      <c r="E302" s="41"/>
      <c r="F302" s="41"/>
      <c r="G302" s="41"/>
      <c r="H302" s="41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</row>
    <row r="303" hidden="1">
      <c r="A303" s="41"/>
      <c r="B303" s="41"/>
      <c r="C303" s="41"/>
      <c r="D303" s="41"/>
      <c r="E303" s="41"/>
      <c r="F303" s="41"/>
      <c r="G303" s="41"/>
      <c r="H303" s="41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</row>
    <row r="304" hidden="1">
      <c r="A304" s="41"/>
      <c r="B304" s="41"/>
      <c r="C304" s="41"/>
      <c r="D304" s="41"/>
      <c r="E304" s="41"/>
      <c r="F304" s="41"/>
      <c r="G304" s="41"/>
      <c r="H304" s="41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</row>
    <row r="305" hidden="1">
      <c r="A305" s="41"/>
      <c r="B305" s="41"/>
      <c r="C305" s="41"/>
      <c r="D305" s="41"/>
      <c r="E305" s="41"/>
      <c r="F305" s="41"/>
      <c r="G305" s="41"/>
      <c r="H305" s="41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</row>
    <row r="306" hidden="1">
      <c r="A306" s="41"/>
      <c r="B306" s="41"/>
      <c r="C306" s="41"/>
      <c r="D306" s="41"/>
      <c r="E306" s="41"/>
      <c r="F306" s="41"/>
      <c r="G306" s="41"/>
      <c r="H306" s="41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</row>
    <row r="307" hidden="1">
      <c r="A307" s="41"/>
      <c r="B307" s="41"/>
      <c r="C307" s="41"/>
      <c r="D307" s="41"/>
      <c r="E307" s="41"/>
      <c r="F307" s="41"/>
      <c r="G307" s="41"/>
      <c r="H307" s="41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</row>
    <row r="308" hidden="1">
      <c r="A308" s="41"/>
      <c r="B308" s="41"/>
      <c r="C308" s="41"/>
      <c r="D308" s="41"/>
      <c r="E308" s="41"/>
      <c r="F308" s="41"/>
      <c r="G308" s="41"/>
      <c r="H308" s="41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</row>
    <row r="309" hidden="1">
      <c r="A309" s="41"/>
      <c r="B309" s="41"/>
      <c r="C309" s="41"/>
      <c r="D309" s="41"/>
      <c r="E309" s="41"/>
      <c r="F309" s="41"/>
      <c r="G309" s="41"/>
      <c r="H309" s="41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</row>
    <row r="310" hidden="1">
      <c r="A310" s="41"/>
      <c r="B310" s="41"/>
      <c r="C310" s="41"/>
      <c r="D310" s="41"/>
      <c r="E310" s="41"/>
      <c r="F310" s="41"/>
      <c r="G310" s="41"/>
      <c r="H310" s="41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</row>
    <row r="311" hidden="1">
      <c r="A311" s="41"/>
      <c r="B311" s="41"/>
      <c r="C311" s="41"/>
      <c r="D311" s="41"/>
      <c r="E311" s="41"/>
      <c r="F311" s="41"/>
      <c r="G311" s="41"/>
      <c r="H311" s="41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</row>
    <row r="312" hidden="1">
      <c r="A312" s="41"/>
      <c r="B312" s="41"/>
      <c r="C312" s="41"/>
      <c r="D312" s="41"/>
      <c r="E312" s="41"/>
      <c r="F312" s="41"/>
      <c r="G312" s="41"/>
      <c r="H312" s="41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</row>
    <row r="313" hidden="1">
      <c r="A313" s="41"/>
      <c r="B313" s="41"/>
      <c r="C313" s="41"/>
      <c r="D313" s="41"/>
      <c r="E313" s="41"/>
      <c r="F313" s="41"/>
      <c r="G313" s="41"/>
      <c r="H313" s="41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</row>
    <row r="314" hidden="1">
      <c r="A314" s="41"/>
      <c r="B314" s="41"/>
      <c r="C314" s="41"/>
      <c r="D314" s="41"/>
      <c r="E314" s="41"/>
      <c r="F314" s="41"/>
      <c r="G314" s="41"/>
      <c r="H314" s="41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</row>
    <row r="315" hidden="1">
      <c r="A315" s="41"/>
      <c r="B315" s="41"/>
      <c r="C315" s="41"/>
      <c r="D315" s="41"/>
      <c r="E315" s="41"/>
      <c r="F315" s="41"/>
      <c r="G315" s="41"/>
      <c r="H315" s="41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</row>
    <row r="316" hidden="1">
      <c r="A316" s="41"/>
      <c r="B316" s="41"/>
      <c r="C316" s="41"/>
      <c r="D316" s="41"/>
      <c r="E316" s="41"/>
      <c r="F316" s="41"/>
      <c r="G316" s="41"/>
      <c r="H316" s="41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</row>
    <row r="317" hidden="1">
      <c r="A317" s="41"/>
      <c r="B317" s="41"/>
      <c r="C317" s="41"/>
      <c r="D317" s="41"/>
      <c r="E317" s="41"/>
      <c r="F317" s="41"/>
      <c r="G317" s="41"/>
      <c r="H317" s="41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</row>
    <row r="318" hidden="1">
      <c r="A318" s="41"/>
      <c r="B318" s="41"/>
      <c r="C318" s="41"/>
      <c r="D318" s="41"/>
      <c r="E318" s="41"/>
      <c r="F318" s="41"/>
      <c r="G318" s="41"/>
      <c r="H318" s="41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</row>
    <row r="319" hidden="1">
      <c r="A319" s="41"/>
      <c r="B319" s="41"/>
      <c r="C319" s="41"/>
      <c r="D319" s="41"/>
      <c r="E319" s="41"/>
      <c r="F319" s="41"/>
      <c r="G319" s="41"/>
      <c r="H319" s="41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</row>
    <row r="320" hidden="1">
      <c r="A320" s="41"/>
      <c r="B320" s="41"/>
      <c r="C320" s="41"/>
      <c r="D320" s="41"/>
      <c r="E320" s="41"/>
      <c r="F320" s="41"/>
      <c r="G320" s="41"/>
      <c r="H320" s="41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</row>
    <row r="321" hidden="1">
      <c r="A321" s="41"/>
      <c r="B321" s="41"/>
      <c r="C321" s="41"/>
      <c r="D321" s="41"/>
      <c r="E321" s="41"/>
      <c r="F321" s="41"/>
      <c r="G321" s="41"/>
      <c r="H321" s="41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</row>
    <row r="322" hidden="1">
      <c r="A322" s="41"/>
      <c r="B322" s="41"/>
      <c r="C322" s="41"/>
      <c r="D322" s="41"/>
      <c r="E322" s="41"/>
      <c r="F322" s="41"/>
      <c r="G322" s="41"/>
      <c r="H322" s="41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</row>
    <row r="323" hidden="1">
      <c r="A323" s="41"/>
      <c r="B323" s="41"/>
      <c r="C323" s="41"/>
      <c r="D323" s="41"/>
      <c r="E323" s="41"/>
      <c r="F323" s="41"/>
      <c r="G323" s="41"/>
      <c r="H323" s="41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</row>
    <row r="324" hidden="1">
      <c r="A324" s="41"/>
      <c r="B324" s="41"/>
      <c r="C324" s="41"/>
      <c r="D324" s="41"/>
      <c r="E324" s="41"/>
      <c r="F324" s="41"/>
      <c r="G324" s="41"/>
      <c r="H324" s="41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</row>
    <row r="325" hidden="1">
      <c r="A325" s="41"/>
      <c r="B325" s="41"/>
      <c r="C325" s="41"/>
      <c r="D325" s="41"/>
      <c r="E325" s="41"/>
      <c r="F325" s="41"/>
      <c r="G325" s="41"/>
      <c r="H325" s="41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</row>
    <row r="326" hidden="1">
      <c r="A326" s="41"/>
      <c r="B326" s="41"/>
      <c r="C326" s="41"/>
      <c r="D326" s="41"/>
      <c r="E326" s="41"/>
      <c r="F326" s="41"/>
      <c r="G326" s="41"/>
      <c r="H326" s="41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</row>
    <row r="327" hidden="1">
      <c r="A327" s="41"/>
      <c r="B327" s="41"/>
      <c r="C327" s="41"/>
      <c r="D327" s="41"/>
      <c r="E327" s="41"/>
      <c r="F327" s="41"/>
      <c r="G327" s="41"/>
      <c r="H327" s="41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</row>
    <row r="328" hidden="1">
      <c r="A328" s="41"/>
      <c r="B328" s="41"/>
      <c r="C328" s="41"/>
      <c r="D328" s="41"/>
      <c r="E328" s="41"/>
      <c r="F328" s="41"/>
      <c r="G328" s="41"/>
      <c r="H328" s="41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</row>
    <row r="329" hidden="1">
      <c r="A329" s="41"/>
      <c r="B329" s="41"/>
      <c r="C329" s="41"/>
      <c r="D329" s="41"/>
      <c r="E329" s="41"/>
      <c r="F329" s="41"/>
      <c r="G329" s="41"/>
      <c r="H329" s="41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</row>
    <row r="330" hidden="1">
      <c r="A330" s="41"/>
      <c r="B330" s="41"/>
      <c r="C330" s="41"/>
      <c r="D330" s="41"/>
      <c r="E330" s="41"/>
      <c r="F330" s="41"/>
      <c r="G330" s="41"/>
      <c r="H330" s="41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</row>
    <row r="331" hidden="1">
      <c r="A331" s="41"/>
      <c r="B331" s="41"/>
      <c r="C331" s="41"/>
      <c r="D331" s="41"/>
      <c r="E331" s="41"/>
      <c r="F331" s="41"/>
      <c r="G331" s="41"/>
      <c r="H331" s="41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</row>
    <row r="332" hidden="1">
      <c r="A332" s="41"/>
      <c r="B332" s="41"/>
      <c r="C332" s="41"/>
      <c r="D332" s="41"/>
      <c r="E332" s="41"/>
      <c r="F332" s="41"/>
      <c r="G332" s="41"/>
      <c r="H332" s="41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</row>
    <row r="333" hidden="1">
      <c r="A333" s="41"/>
      <c r="B333" s="41"/>
      <c r="C333" s="41"/>
      <c r="D333" s="41"/>
      <c r="E333" s="41"/>
      <c r="F333" s="41"/>
      <c r="G333" s="41"/>
      <c r="H333" s="41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</row>
    <row r="334" hidden="1">
      <c r="A334" s="41"/>
      <c r="B334" s="41"/>
      <c r="C334" s="41"/>
      <c r="D334" s="41"/>
      <c r="E334" s="41"/>
      <c r="F334" s="41"/>
      <c r="G334" s="41"/>
      <c r="H334" s="41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</row>
    <row r="335" hidden="1">
      <c r="A335" s="41"/>
      <c r="B335" s="41"/>
      <c r="C335" s="41"/>
      <c r="D335" s="41"/>
      <c r="E335" s="41"/>
      <c r="F335" s="41"/>
      <c r="G335" s="41"/>
      <c r="H335" s="41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</row>
    <row r="336" hidden="1">
      <c r="A336" s="41"/>
      <c r="B336" s="41"/>
      <c r="C336" s="41"/>
      <c r="D336" s="41"/>
      <c r="E336" s="41"/>
      <c r="F336" s="41"/>
      <c r="G336" s="41"/>
      <c r="H336" s="41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</row>
    <row r="337" hidden="1">
      <c r="A337" s="41"/>
      <c r="B337" s="41"/>
      <c r="C337" s="41"/>
      <c r="D337" s="41"/>
      <c r="E337" s="41"/>
      <c r="F337" s="41"/>
      <c r="G337" s="41"/>
      <c r="H337" s="41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</row>
    <row r="338" hidden="1">
      <c r="A338" s="41"/>
      <c r="B338" s="41"/>
      <c r="C338" s="41"/>
      <c r="D338" s="41"/>
      <c r="E338" s="41"/>
      <c r="F338" s="41"/>
      <c r="G338" s="41"/>
      <c r="H338" s="41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</row>
    <row r="339" hidden="1">
      <c r="A339" s="41"/>
      <c r="B339" s="41"/>
      <c r="C339" s="41"/>
      <c r="D339" s="41"/>
      <c r="E339" s="41"/>
      <c r="F339" s="41"/>
      <c r="G339" s="41"/>
      <c r="H339" s="41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</row>
    <row r="340" hidden="1">
      <c r="A340" s="41"/>
      <c r="B340" s="41"/>
      <c r="C340" s="41"/>
      <c r="D340" s="41"/>
      <c r="E340" s="41"/>
      <c r="F340" s="41"/>
      <c r="G340" s="41"/>
      <c r="H340" s="41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</row>
    <row r="341" hidden="1">
      <c r="A341" s="41"/>
      <c r="B341" s="41"/>
      <c r="C341" s="41"/>
      <c r="D341" s="41"/>
      <c r="E341" s="41"/>
      <c r="F341" s="41"/>
      <c r="G341" s="41"/>
      <c r="H341" s="41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</row>
    <row r="342" hidden="1">
      <c r="A342" s="41"/>
      <c r="B342" s="41"/>
      <c r="C342" s="41"/>
      <c r="D342" s="41"/>
      <c r="E342" s="41"/>
      <c r="F342" s="41"/>
      <c r="G342" s="41"/>
      <c r="H342" s="41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</row>
    <row r="343" hidden="1">
      <c r="A343" s="41"/>
      <c r="B343" s="41"/>
      <c r="C343" s="41"/>
      <c r="D343" s="41"/>
      <c r="E343" s="41"/>
      <c r="F343" s="41"/>
      <c r="G343" s="41"/>
      <c r="H343" s="41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</row>
    <row r="344" hidden="1">
      <c r="A344" s="41"/>
      <c r="B344" s="41"/>
      <c r="C344" s="41"/>
      <c r="D344" s="41"/>
      <c r="E344" s="41"/>
      <c r="F344" s="41"/>
      <c r="G344" s="41"/>
      <c r="H344" s="41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</row>
    <row r="345" hidden="1">
      <c r="A345" s="41"/>
      <c r="B345" s="41"/>
      <c r="C345" s="41"/>
      <c r="D345" s="41"/>
      <c r="E345" s="41"/>
      <c r="F345" s="41"/>
      <c r="G345" s="41"/>
      <c r="H345" s="41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</row>
    <row r="346" hidden="1">
      <c r="A346" s="41"/>
      <c r="B346" s="41"/>
      <c r="C346" s="41"/>
      <c r="D346" s="41"/>
      <c r="E346" s="41"/>
      <c r="F346" s="41"/>
      <c r="G346" s="41"/>
      <c r="H346" s="41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</row>
    <row r="347" hidden="1">
      <c r="A347" s="41"/>
      <c r="B347" s="41"/>
      <c r="C347" s="41"/>
      <c r="D347" s="41"/>
      <c r="E347" s="41"/>
      <c r="F347" s="41"/>
      <c r="G347" s="41"/>
      <c r="H347" s="41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</row>
    <row r="348" hidden="1">
      <c r="A348" s="41"/>
      <c r="B348" s="41"/>
      <c r="C348" s="41"/>
      <c r="D348" s="41"/>
      <c r="E348" s="41"/>
      <c r="F348" s="41"/>
      <c r="G348" s="41"/>
      <c r="H348" s="41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</row>
    <row r="349" hidden="1">
      <c r="A349" s="41"/>
      <c r="B349" s="41"/>
      <c r="C349" s="41"/>
      <c r="D349" s="41"/>
      <c r="E349" s="41"/>
      <c r="F349" s="41"/>
      <c r="G349" s="41"/>
      <c r="H349" s="41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</row>
    <row r="350" hidden="1">
      <c r="A350" s="41"/>
      <c r="B350" s="41"/>
      <c r="C350" s="41"/>
      <c r="D350" s="41"/>
      <c r="E350" s="41"/>
      <c r="F350" s="41"/>
      <c r="G350" s="41"/>
      <c r="H350" s="41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</row>
    <row r="351" hidden="1">
      <c r="A351" s="41"/>
      <c r="B351" s="41"/>
      <c r="C351" s="41"/>
      <c r="D351" s="41"/>
      <c r="E351" s="41"/>
      <c r="F351" s="41"/>
      <c r="G351" s="41"/>
      <c r="H351" s="41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</row>
    <row r="352" hidden="1">
      <c r="A352" s="41"/>
      <c r="B352" s="41"/>
      <c r="C352" s="41"/>
      <c r="D352" s="41"/>
      <c r="E352" s="41"/>
      <c r="F352" s="41"/>
      <c r="G352" s="41"/>
      <c r="H352" s="41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</row>
    <row r="353" hidden="1">
      <c r="A353" s="41"/>
      <c r="B353" s="41"/>
      <c r="C353" s="41"/>
      <c r="D353" s="41"/>
      <c r="E353" s="41"/>
      <c r="F353" s="41"/>
      <c r="G353" s="41"/>
      <c r="H353" s="41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</row>
    <row r="354" hidden="1">
      <c r="A354" s="41"/>
      <c r="B354" s="41"/>
      <c r="C354" s="41"/>
      <c r="D354" s="41"/>
      <c r="E354" s="41"/>
      <c r="F354" s="41"/>
      <c r="G354" s="41"/>
      <c r="H354" s="41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</row>
    <row r="355" hidden="1">
      <c r="A355" s="41"/>
      <c r="B355" s="41"/>
      <c r="C355" s="41"/>
      <c r="D355" s="41"/>
      <c r="E355" s="41"/>
      <c r="F355" s="41"/>
      <c r="G355" s="41"/>
      <c r="H355" s="41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</row>
    <row r="356" hidden="1">
      <c r="A356" s="41"/>
      <c r="B356" s="41"/>
      <c r="C356" s="41"/>
      <c r="D356" s="41"/>
      <c r="E356" s="41"/>
      <c r="F356" s="41"/>
      <c r="G356" s="41"/>
      <c r="H356" s="41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</row>
    <row r="357" hidden="1">
      <c r="A357" s="41"/>
      <c r="B357" s="41"/>
      <c r="C357" s="41"/>
      <c r="D357" s="41"/>
      <c r="E357" s="41"/>
      <c r="F357" s="41"/>
      <c r="G357" s="41"/>
      <c r="H357" s="41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</row>
    <row r="358" hidden="1">
      <c r="A358" s="41"/>
      <c r="B358" s="41"/>
      <c r="C358" s="41"/>
      <c r="D358" s="41"/>
      <c r="E358" s="41"/>
      <c r="F358" s="41"/>
      <c r="G358" s="41"/>
      <c r="H358" s="41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</row>
    <row r="359" hidden="1">
      <c r="A359" s="41"/>
      <c r="B359" s="41"/>
      <c r="C359" s="41"/>
      <c r="D359" s="41"/>
      <c r="E359" s="41"/>
      <c r="F359" s="41"/>
      <c r="G359" s="41"/>
      <c r="H359" s="41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</row>
    <row r="360" hidden="1">
      <c r="A360" s="41"/>
      <c r="B360" s="41"/>
      <c r="C360" s="41"/>
      <c r="D360" s="41"/>
      <c r="E360" s="41"/>
      <c r="F360" s="41"/>
      <c r="G360" s="41"/>
      <c r="H360" s="41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</row>
    <row r="361" hidden="1">
      <c r="A361" s="41"/>
      <c r="B361" s="41"/>
      <c r="C361" s="41"/>
      <c r="D361" s="41"/>
      <c r="E361" s="41"/>
      <c r="F361" s="41"/>
      <c r="G361" s="41"/>
      <c r="H361" s="41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</row>
    <row r="362" hidden="1">
      <c r="A362" s="41"/>
      <c r="B362" s="41"/>
      <c r="C362" s="41"/>
      <c r="D362" s="41"/>
      <c r="E362" s="41"/>
      <c r="F362" s="41"/>
      <c r="G362" s="41"/>
      <c r="H362" s="41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</row>
    <row r="363" hidden="1">
      <c r="A363" s="41"/>
      <c r="B363" s="41"/>
      <c r="C363" s="41"/>
      <c r="D363" s="41"/>
      <c r="E363" s="41"/>
      <c r="F363" s="41"/>
      <c r="G363" s="41"/>
      <c r="H363" s="41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</row>
    <row r="364" hidden="1">
      <c r="A364" s="41"/>
      <c r="B364" s="41"/>
      <c r="C364" s="41"/>
      <c r="D364" s="41"/>
      <c r="E364" s="41"/>
      <c r="F364" s="41"/>
      <c r="G364" s="41"/>
      <c r="H364" s="41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</row>
    <row r="365" hidden="1">
      <c r="A365" s="41"/>
      <c r="B365" s="41"/>
      <c r="C365" s="41"/>
      <c r="D365" s="41"/>
      <c r="E365" s="41"/>
      <c r="F365" s="41"/>
      <c r="G365" s="41"/>
      <c r="H365" s="41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</row>
    <row r="366" hidden="1">
      <c r="A366" s="41"/>
      <c r="B366" s="41"/>
      <c r="C366" s="41"/>
      <c r="D366" s="41"/>
      <c r="E366" s="41"/>
      <c r="F366" s="41"/>
      <c r="G366" s="41"/>
      <c r="H366" s="41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</row>
    <row r="367" hidden="1">
      <c r="A367" s="41"/>
      <c r="B367" s="41"/>
      <c r="C367" s="41"/>
      <c r="D367" s="41"/>
      <c r="E367" s="41"/>
      <c r="F367" s="41"/>
      <c r="G367" s="41"/>
      <c r="H367" s="41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</row>
    <row r="368" hidden="1">
      <c r="A368" s="41"/>
      <c r="B368" s="41"/>
      <c r="C368" s="41"/>
      <c r="D368" s="41"/>
      <c r="E368" s="41"/>
      <c r="F368" s="41"/>
      <c r="G368" s="41"/>
      <c r="H368" s="41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</row>
    <row r="369" hidden="1">
      <c r="A369" s="41"/>
      <c r="B369" s="41"/>
      <c r="C369" s="41"/>
      <c r="D369" s="41"/>
      <c r="E369" s="41"/>
      <c r="F369" s="41"/>
      <c r="G369" s="41"/>
      <c r="H369" s="41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</row>
    <row r="370" hidden="1">
      <c r="A370" s="41"/>
      <c r="B370" s="41"/>
      <c r="C370" s="41"/>
      <c r="D370" s="41"/>
      <c r="E370" s="41"/>
      <c r="F370" s="41"/>
      <c r="G370" s="41"/>
      <c r="H370" s="41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</row>
    <row r="371" hidden="1">
      <c r="A371" s="41"/>
      <c r="B371" s="41"/>
      <c r="C371" s="41"/>
      <c r="D371" s="41"/>
      <c r="E371" s="41"/>
      <c r="F371" s="41"/>
      <c r="G371" s="41"/>
      <c r="H371" s="41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</row>
    <row r="372" hidden="1">
      <c r="A372" s="41"/>
      <c r="B372" s="41"/>
      <c r="C372" s="41"/>
      <c r="D372" s="41"/>
      <c r="E372" s="41"/>
      <c r="F372" s="41"/>
      <c r="G372" s="41"/>
      <c r="H372" s="41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</row>
    <row r="373" hidden="1">
      <c r="A373" s="41"/>
      <c r="B373" s="41"/>
      <c r="C373" s="41"/>
      <c r="D373" s="41"/>
      <c r="E373" s="41"/>
      <c r="F373" s="41"/>
      <c r="G373" s="41"/>
      <c r="H373" s="41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</row>
    <row r="374" hidden="1">
      <c r="A374" s="41"/>
      <c r="B374" s="41"/>
      <c r="C374" s="41"/>
      <c r="D374" s="41"/>
      <c r="E374" s="41"/>
      <c r="F374" s="41"/>
      <c r="G374" s="41"/>
      <c r="H374" s="41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</row>
    <row r="375" hidden="1">
      <c r="A375" s="41"/>
      <c r="B375" s="41"/>
      <c r="C375" s="41"/>
      <c r="D375" s="41"/>
      <c r="E375" s="41"/>
      <c r="F375" s="41"/>
      <c r="G375" s="41"/>
      <c r="H375" s="41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</row>
    <row r="376" hidden="1">
      <c r="A376" s="41"/>
      <c r="B376" s="41"/>
      <c r="C376" s="41"/>
      <c r="D376" s="41"/>
      <c r="E376" s="41"/>
      <c r="F376" s="41"/>
      <c r="G376" s="41"/>
      <c r="H376" s="41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</row>
    <row r="377" hidden="1">
      <c r="A377" s="41"/>
      <c r="B377" s="41"/>
      <c r="C377" s="41"/>
      <c r="D377" s="41"/>
      <c r="E377" s="41"/>
      <c r="F377" s="41"/>
      <c r="G377" s="41"/>
      <c r="H377" s="41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</row>
    <row r="378" hidden="1">
      <c r="A378" s="41"/>
      <c r="B378" s="41"/>
      <c r="C378" s="41"/>
      <c r="D378" s="41"/>
      <c r="E378" s="41"/>
      <c r="F378" s="41"/>
      <c r="G378" s="41"/>
      <c r="H378" s="41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</row>
    <row r="379" hidden="1">
      <c r="A379" s="41"/>
      <c r="B379" s="41"/>
      <c r="C379" s="41"/>
      <c r="D379" s="41"/>
      <c r="E379" s="41"/>
      <c r="F379" s="41"/>
      <c r="G379" s="41"/>
      <c r="H379" s="41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</row>
    <row r="380" hidden="1">
      <c r="A380" s="41"/>
      <c r="B380" s="41"/>
      <c r="C380" s="41"/>
      <c r="D380" s="41"/>
      <c r="E380" s="41"/>
      <c r="F380" s="41"/>
      <c r="G380" s="41"/>
      <c r="H380" s="41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</row>
    <row r="381" hidden="1">
      <c r="A381" s="41"/>
      <c r="B381" s="41"/>
      <c r="C381" s="41"/>
      <c r="D381" s="41"/>
      <c r="E381" s="41"/>
      <c r="F381" s="41"/>
      <c r="G381" s="41"/>
      <c r="H381" s="41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</row>
    <row r="382" hidden="1">
      <c r="A382" s="41"/>
      <c r="B382" s="41"/>
      <c r="C382" s="41"/>
      <c r="D382" s="41"/>
      <c r="E382" s="41"/>
      <c r="F382" s="41"/>
      <c r="G382" s="41"/>
      <c r="H382" s="41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</row>
    <row r="383" hidden="1">
      <c r="A383" s="41"/>
      <c r="B383" s="41"/>
      <c r="C383" s="41"/>
      <c r="D383" s="41"/>
      <c r="E383" s="41"/>
      <c r="F383" s="41"/>
      <c r="G383" s="41"/>
      <c r="H383" s="41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</row>
    <row r="384" hidden="1">
      <c r="A384" s="41"/>
      <c r="B384" s="41"/>
      <c r="C384" s="41"/>
      <c r="D384" s="41"/>
      <c r="E384" s="41"/>
      <c r="F384" s="41"/>
      <c r="G384" s="41"/>
      <c r="H384" s="41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</row>
    <row r="385" hidden="1">
      <c r="A385" s="41"/>
      <c r="B385" s="41"/>
      <c r="C385" s="41"/>
      <c r="D385" s="41"/>
      <c r="E385" s="41"/>
      <c r="F385" s="41"/>
      <c r="G385" s="41"/>
      <c r="H385" s="41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</row>
    <row r="386" hidden="1">
      <c r="A386" s="41"/>
      <c r="B386" s="41"/>
      <c r="C386" s="41"/>
      <c r="D386" s="41"/>
      <c r="E386" s="41"/>
      <c r="F386" s="41"/>
      <c r="G386" s="41"/>
      <c r="H386" s="41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</row>
    <row r="387" hidden="1">
      <c r="A387" s="41"/>
      <c r="B387" s="41"/>
      <c r="C387" s="41"/>
      <c r="D387" s="41"/>
      <c r="E387" s="41"/>
      <c r="F387" s="41"/>
      <c r="G387" s="41"/>
      <c r="H387" s="41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</row>
    <row r="388" hidden="1">
      <c r="A388" s="41"/>
      <c r="B388" s="41"/>
      <c r="C388" s="41"/>
      <c r="D388" s="41"/>
      <c r="E388" s="41"/>
      <c r="F388" s="41"/>
      <c r="G388" s="41"/>
      <c r="H388" s="41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</row>
    <row r="389" hidden="1">
      <c r="A389" s="41"/>
      <c r="B389" s="41"/>
      <c r="C389" s="41"/>
      <c r="D389" s="41"/>
      <c r="E389" s="41"/>
      <c r="F389" s="41"/>
      <c r="G389" s="41"/>
      <c r="H389" s="41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</row>
    <row r="390" hidden="1">
      <c r="A390" s="41"/>
      <c r="B390" s="41"/>
      <c r="C390" s="41"/>
      <c r="D390" s="41"/>
      <c r="E390" s="41"/>
      <c r="F390" s="41"/>
      <c r="G390" s="41"/>
      <c r="H390" s="41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</row>
    <row r="391" hidden="1">
      <c r="A391" s="41"/>
      <c r="B391" s="41"/>
      <c r="C391" s="41"/>
      <c r="D391" s="41"/>
      <c r="E391" s="41"/>
      <c r="F391" s="41"/>
      <c r="G391" s="41"/>
      <c r="H391" s="41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</row>
    <row r="392" hidden="1">
      <c r="A392" s="41"/>
      <c r="B392" s="41"/>
      <c r="C392" s="41"/>
      <c r="D392" s="41"/>
      <c r="E392" s="41"/>
      <c r="F392" s="41"/>
      <c r="G392" s="41"/>
      <c r="H392" s="41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</row>
    <row r="393" hidden="1">
      <c r="A393" s="41"/>
      <c r="B393" s="41"/>
      <c r="C393" s="41"/>
      <c r="D393" s="41"/>
      <c r="E393" s="41"/>
      <c r="F393" s="41"/>
      <c r="G393" s="41"/>
      <c r="H393" s="41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</row>
    <row r="394" hidden="1">
      <c r="A394" s="41"/>
      <c r="B394" s="41"/>
      <c r="C394" s="41"/>
      <c r="D394" s="41"/>
      <c r="E394" s="41"/>
      <c r="F394" s="41"/>
      <c r="G394" s="41"/>
      <c r="H394" s="41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</row>
    <row r="395" hidden="1">
      <c r="A395" s="41"/>
      <c r="B395" s="41"/>
      <c r="C395" s="41"/>
      <c r="D395" s="41"/>
      <c r="E395" s="41"/>
      <c r="F395" s="41"/>
      <c r="G395" s="41"/>
      <c r="H395" s="41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</row>
    <row r="396" hidden="1">
      <c r="A396" s="41"/>
      <c r="B396" s="41"/>
      <c r="C396" s="41"/>
      <c r="D396" s="41"/>
      <c r="E396" s="41"/>
      <c r="F396" s="41"/>
      <c r="G396" s="41"/>
      <c r="H396" s="41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</row>
    <row r="397" hidden="1">
      <c r="A397" s="41"/>
      <c r="B397" s="41"/>
      <c r="C397" s="41"/>
      <c r="D397" s="41"/>
      <c r="E397" s="41"/>
      <c r="F397" s="41"/>
      <c r="G397" s="41"/>
      <c r="H397" s="41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</row>
    <row r="398" hidden="1">
      <c r="A398" s="41"/>
      <c r="B398" s="41"/>
      <c r="C398" s="41"/>
      <c r="D398" s="41"/>
      <c r="E398" s="41"/>
      <c r="F398" s="41"/>
      <c r="G398" s="41"/>
      <c r="H398" s="41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</row>
    <row r="399" hidden="1">
      <c r="A399" s="41"/>
      <c r="B399" s="41"/>
      <c r="C399" s="41"/>
      <c r="D399" s="41"/>
      <c r="E399" s="41"/>
      <c r="F399" s="41"/>
      <c r="G399" s="41"/>
      <c r="H399" s="41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</row>
    <row r="400" hidden="1">
      <c r="A400" s="41"/>
      <c r="B400" s="41"/>
      <c r="C400" s="41"/>
      <c r="D400" s="41"/>
      <c r="E400" s="41"/>
      <c r="F400" s="41"/>
      <c r="G400" s="41"/>
      <c r="H400" s="41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</row>
    <row r="401" hidden="1">
      <c r="A401" s="41"/>
      <c r="B401" s="41"/>
      <c r="C401" s="41"/>
      <c r="D401" s="41"/>
      <c r="E401" s="41"/>
      <c r="F401" s="41"/>
      <c r="G401" s="41"/>
      <c r="H401" s="41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</row>
    <row r="402" hidden="1">
      <c r="A402" s="41"/>
      <c r="B402" s="41"/>
      <c r="C402" s="41"/>
      <c r="D402" s="41"/>
      <c r="E402" s="41"/>
      <c r="F402" s="41"/>
      <c r="G402" s="41"/>
      <c r="H402" s="41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</row>
    <row r="403" hidden="1">
      <c r="A403" s="41"/>
      <c r="B403" s="41"/>
      <c r="C403" s="41"/>
      <c r="D403" s="41"/>
      <c r="E403" s="41"/>
      <c r="F403" s="41"/>
      <c r="G403" s="41"/>
      <c r="H403" s="41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</row>
    <row r="404" hidden="1">
      <c r="A404" s="41"/>
      <c r="B404" s="41"/>
      <c r="C404" s="41"/>
      <c r="D404" s="41"/>
      <c r="E404" s="41"/>
      <c r="F404" s="41"/>
      <c r="G404" s="41"/>
      <c r="H404" s="41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</row>
    <row r="405" hidden="1">
      <c r="A405" s="41"/>
      <c r="B405" s="41"/>
      <c r="C405" s="41"/>
      <c r="D405" s="41"/>
      <c r="E405" s="41"/>
      <c r="F405" s="41"/>
      <c r="G405" s="41"/>
      <c r="H405" s="41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</row>
    <row r="406" hidden="1">
      <c r="A406" s="41"/>
      <c r="B406" s="41"/>
      <c r="C406" s="41"/>
      <c r="D406" s="41"/>
      <c r="E406" s="41"/>
      <c r="F406" s="41"/>
      <c r="G406" s="41"/>
      <c r="H406" s="41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</row>
    <row r="407" hidden="1">
      <c r="A407" s="41"/>
      <c r="B407" s="41"/>
      <c r="C407" s="41"/>
      <c r="D407" s="41"/>
      <c r="E407" s="41"/>
      <c r="F407" s="41"/>
      <c r="G407" s="41"/>
      <c r="H407" s="41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</row>
    <row r="408" hidden="1">
      <c r="A408" s="41"/>
      <c r="B408" s="41"/>
      <c r="C408" s="41"/>
      <c r="D408" s="41"/>
      <c r="E408" s="41"/>
      <c r="F408" s="41"/>
      <c r="G408" s="41"/>
      <c r="H408" s="41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</row>
    <row r="409" hidden="1">
      <c r="A409" s="41"/>
      <c r="B409" s="41"/>
      <c r="C409" s="41"/>
      <c r="D409" s="41"/>
      <c r="E409" s="41"/>
      <c r="F409" s="41"/>
      <c r="G409" s="41"/>
      <c r="H409" s="41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</row>
    <row r="410" hidden="1">
      <c r="A410" s="41"/>
      <c r="B410" s="41"/>
      <c r="C410" s="41"/>
      <c r="D410" s="41"/>
      <c r="E410" s="41"/>
      <c r="F410" s="41"/>
      <c r="G410" s="41"/>
      <c r="H410" s="41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</row>
    <row r="411" hidden="1">
      <c r="A411" s="41"/>
      <c r="B411" s="41"/>
      <c r="C411" s="41"/>
      <c r="D411" s="41"/>
      <c r="E411" s="41"/>
      <c r="F411" s="41"/>
      <c r="G411" s="41"/>
      <c r="H411" s="41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</row>
    <row r="412" hidden="1">
      <c r="A412" s="41"/>
      <c r="B412" s="41"/>
      <c r="C412" s="41"/>
      <c r="D412" s="41"/>
      <c r="E412" s="41"/>
      <c r="F412" s="41"/>
      <c r="G412" s="41"/>
      <c r="H412" s="41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</row>
    <row r="413" hidden="1">
      <c r="A413" s="41"/>
      <c r="B413" s="41"/>
      <c r="C413" s="41"/>
      <c r="D413" s="41"/>
      <c r="E413" s="41"/>
      <c r="F413" s="41"/>
      <c r="G413" s="41"/>
      <c r="H413" s="41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</row>
    <row r="414" hidden="1">
      <c r="A414" s="41"/>
      <c r="B414" s="41"/>
      <c r="C414" s="41"/>
      <c r="D414" s="41"/>
      <c r="E414" s="41"/>
      <c r="F414" s="41"/>
      <c r="G414" s="41"/>
      <c r="H414" s="41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</row>
    <row r="415" hidden="1">
      <c r="A415" s="41"/>
      <c r="B415" s="41"/>
      <c r="C415" s="41"/>
      <c r="D415" s="41"/>
      <c r="E415" s="41"/>
      <c r="F415" s="41"/>
      <c r="G415" s="41"/>
      <c r="H415" s="41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</row>
    <row r="416" hidden="1">
      <c r="A416" s="41"/>
      <c r="B416" s="41"/>
      <c r="C416" s="41"/>
      <c r="D416" s="41"/>
      <c r="E416" s="41"/>
      <c r="F416" s="41"/>
      <c r="G416" s="41"/>
      <c r="H416" s="41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</row>
    <row r="417" hidden="1">
      <c r="A417" s="41"/>
      <c r="B417" s="41"/>
      <c r="C417" s="41"/>
      <c r="D417" s="41"/>
      <c r="E417" s="41"/>
      <c r="F417" s="41"/>
      <c r="G417" s="41"/>
      <c r="H417" s="41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</row>
    <row r="418" hidden="1">
      <c r="A418" s="41"/>
      <c r="B418" s="41"/>
      <c r="C418" s="41"/>
      <c r="D418" s="41"/>
      <c r="E418" s="41"/>
      <c r="F418" s="41"/>
      <c r="G418" s="41"/>
      <c r="H418" s="41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</row>
    <row r="419" hidden="1">
      <c r="A419" s="41"/>
      <c r="B419" s="41"/>
      <c r="C419" s="41"/>
      <c r="D419" s="41"/>
      <c r="E419" s="41"/>
      <c r="F419" s="41"/>
      <c r="G419" s="41"/>
      <c r="H419" s="41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</row>
    <row r="420" hidden="1">
      <c r="A420" s="41"/>
      <c r="B420" s="41"/>
      <c r="C420" s="41"/>
      <c r="D420" s="41"/>
      <c r="E420" s="41"/>
      <c r="F420" s="41"/>
      <c r="G420" s="41"/>
      <c r="H420" s="41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</row>
    <row r="421" hidden="1">
      <c r="A421" s="41"/>
      <c r="B421" s="41"/>
      <c r="C421" s="41"/>
      <c r="D421" s="41"/>
      <c r="E421" s="41"/>
      <c r="F421" s="41"/>
      <c r="G421" s="41"/>
      <c r="H421" s="41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</row>
    <row r="422" hidden="1">
      <c r="A422" s="41"/>
      <c r="B422" s="41"/>
      <c r="C422" s="41"/>
      <c r="D422" s="41"/>
      <c r="E422" s="41"/>
      <c r="F422" s="41"/>
      <c r="G422" s="41"/>
      <c r="H422" s="41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</row>
    <row r="423" hidden="1">
      <c r="A423" s="41"/>
      <c r="B423" s="41"/>
      <c r="C423" s="41"/>
      <c r="D423" s="41"/>
      <c r="E423" s="41"/>
      <c r="F423" s="41"/>
      <c r="G423" s="41"/>
      <c r="H423" s="41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</row>
    <row r="424" hidden="1">
      <c r="A424" s="41"/>
      <c r="B424" s="41"/>
      <c r="C424" s="41"/>
      <c r="D424" s="41"/>
      <c r="E424" s="41"/>
      <c r="F424" s="41"/>
      <c r="G424" s="41"/>
      <c r="H424" s="41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</row>
    <row r="425" hidden="1">
      <c r="A425" s="41"/>
      <c r="B425" s="41"/>
      <c r="C425" s="41"/>
      <c r="D425" s="41"/>
      <c r="E425" s="41"/>
      <c r="F425" s="41"/>
      <c r="G425" s="41"/>
      <c r="H425" s="41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</row>
    <row r="426" hidden="1">
      <c r="A426" s="41"/>
      <c r="B426" s="41"/>
      <c r="C426" s="41"/>
      <c r="D426" s="41"/>
      <c r="E426" s="41"/>
      <c r="F426" s="41"/>
      <c r="G426" s="41"/>
      <c r="H426" s="41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</row>
    <row r="427" hidden="1">
      <c r="A427" s="41"/>
      <c r="B427" s="41"/>
      <c r="C427" s="41"/>
      <c r="D427" s="41"/>
      <c r="E427" s="41"/>
      <c r="F427" s="41"/>
      <c r="G427" s="41"/>
      <c r="H427" s="41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</row>
    <row r="428" hidden="1">
      <c r="A428" s="41"/>
      <c r="B428" s="41"/>
      <c r="C428" s="41"/>
      <c r="D428" s="41"/>
      <c r="E428" s="41"/>
      <c r="F428" s="41"/>
      <c r="G428" s="41"/>
      <c r="H428" s="41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</row>
    <row r="429" hidden="1">
      <c r="A429" s="41"/>
      <c r="B429" s="41"/>
      <c r="C429" s="41"/>
      <c r="D429" s="41"/>
      <c r="E429" s="41"/>
      <c r="F429" s="41"/>
      <c r="G429" s="41"/>
      <c r="H429" s="41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</row>
    <row r="430" hidden="1">
      <c r="A430" s="41"/>
      <c r="B430" s="41"/>
      <c r="C430" s="41"/>
      <c r="D430" s="41"/>
      <c r="E430" s="41"/>
      <c r="F430" s="41"/>
      <c r="G430" s="41"/>
      <c r="H430" s="41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</row>
    <row r="431" hidden="1">
      <c r="A431" s="41"/>
      <c r="B431" s="41"/>
      <c r="C431" s="41"/>
      <c r="D431" s="41"/>
      <c r="E431" s="41"/>
      <c r="F431" s="41"/>
      <c r="G431" s="41"/>
      <c r="H431" s="41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</row>
    <row r="432" hidden="1">
      <c r="A432" s="41"/>
      <c r="B432" s="41"/>
      <c r="C432" s="41"/>
      <c r="D432" s="41"/>
      <c r="E432" s="41"/>
      <c r="F432" s="41"/>
      <c r="G432" s="41"/>
      <c r="H432" s="41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</row>
    <row r="433" hidden="1">
      <c r="A433" s="41"/>
      <c r="B433" s="41"/>
      <c r="C433" s="41"/>
      <c r="D433" s="41"/>
      <c r="E433" s="41"/>
      <c r="F433" s="41"/>
      <c r="G433" s="41"/>
      <c r="H433" s="41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</row>
    <row r="434" hidden="1">
      <c r="A434" s="41"/>
      <c r="B434" s="41"/>
      <c r="C434" s="41"/>
      <c r="D434" s="41"/>
      <c r="E434" s="41"/>
      <c r="F434" s="41"/>
      <c r="G434" s="41"/>
      <c r="H434" s="41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</row>
    <row r="435" hidden="1">
      <c r="A435" s="41"/>
      <c r="B435" s="41"/>
      <c r="C435" s="41"/>
      <c r="D435" s="41"/>
      <c r="E435" s="41"/>
      <c r="F435" s="41"/>
      <c r="G435" s="41"/>
      <c r="H435" s="41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</row>
    <row r="436" hidden="1">
      <c r="A436" s="41"/>
      <c r="B436" s="41"/>
      <c r="C436" s="41"/>
      <c r="D436" s="41"/>
      <c r="E436" s="41"/>
      <c r="F436" s="41"/>
      <c r="G436" s="41"/>
      <c r="H436" s="41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</row>
    <row r="437" hidden="1">
      <c r="A437" s="41"/>
      <c r="B437" s="41"/>
      <c r="C437" s="41"/>
      <c r="D437" s="41"/>
      <c r="E437" s="41"/>
      <c r="F437" s="41"/>
      <c r="G437" s="41"/>
      <c r="H437" s="41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</row>
    <row r="438" hidden="1">
      <c r="A438" s="41"/>
      <c r="B438" s="41"/>
      <c r="C438" s="41"/>
      <c r="D438" s="41"/>
      <c r="E438" s="41"/>
      <c r="F438" s="41"/>
      <c r="G438" s="41"/>
      <c r="H438" s="41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</row>
    <row r="439" hidden="1">
      <c r="A439" s="41"/>
      <c r="B439" s="41"/>
      <c r="C439" s="41"/>
      <c r="D439" s="41"/>
      <c r="E439" s="41"/>
      <c r="F439" s="41"/>
      <c r="G439" s="41"/>
      <c r="H439" s="41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</row>
    <row r="440" hidden="1">
      <c r="A440" s="41"/>
      <c r="B440" s="41"/>
      <c r="C440" s="41"/>
      <c r="D440" s="41"/>
      <c r="E440" s="41"/>
      <c r="F440" s="41"/>
      <c r="G440" s="41"/>
      <c r="H440" s="41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</row>
    <row r="441" hidden="1">
      <c r="A441" s="41"/>
      <c r="B441" s="41"/>
      <c r="C441" s="41"/>
      <c r="D441" s="41"/>
      <c r="E441" s="41"/>
      <c r="F441" s="41"/>
      <c r="G441" s="41"/>
      <c r="H441" s="41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</row>
    <row r="442" hidden="1">
      <c r="A442" s="41"/>
      <c r="B442" s="41"/>
      <c r="C442" s="41"/>
      <c r="D442" s="41"/>
      <c r="E442" s="41"/>
      <c r="F442" s="41"/>
      <c r="G442" s="41"/>
      <c r="H442" s="41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</row>
    <row r="443" hidden="1">
      <c r="A443" s="41"/>
      <c r="B443" s="41"/>
      <c r="C443" s="41"/>
      <c r="D443" s="41"/>
      <c r="E443" s="41"/>
      <c r="F443" s="41"/>
      <c r="G443" s="41"/>
      <c r="H443" s="41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</row>
    <row r="444" hidden="1">
      <c r="A444" s="41"/>
      <c r="B444" s="41"/>
      <c r="C444" s="41"/>
      <c r="D444" s="41"/>
      <c r="E444" s="41"/>
      <c r="F444" s="41"/>
      <c r="G444" s="41"/>
      <c r="H444" s="41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</row>
    <row r="445" hidden="1">
      <c r="A445" s="41"/>
      <c r="B445" s="41"/>
      <c r="C445" s="41"/>
      <c r="D445" s="41"/>
      <c r="E445" s="41"/>
      <c r="F445" s="41"/>
      <c r="G445" s="41"/>
      <c r="H445" s="41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</row>
    <row r="446" hidden="1">
      <c r="A446" s="41"/>
      <c r="B446" s="41"/>
      <c r="C446" s="41"/>
      <c r="D446" s="41"/>
      <c r="E446" s="41"/>
      <c r="F446" s="41"/>
      <c r="G446" s="41"/>
      <c r="H446" s="41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</row>
    <row r="447" hidden="1">
      <c r="A447" s="41"/>
      <c r="B447" s="41"/>
      <c r="C447" s="41"/>
      <c r="D447" s="41"/>
      <c r="E447" s="41"/>
      <c r="F447" s="41"/>
      <c r="G447" s="41"/>
      <c r="H447" s="41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</row>
    <row r="448" hidden="1">
      <c r="A448" s="41"/>
      <c r="B448" s="41"/>
      <c r="C448" s="41"/>
      <c r="D448" s="41"/>
      <c r="E448" s="41"/>
      <c r="F448" s="41"/>
      <c r="G448" s="41"/>
      <c r="H448" s="41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</row>
    <row r="449" hidden="1">
      <c r="A449" s="41"/>
      <c r="B449" s="41"/>
      <c r="C449" s="41"/>
      <c r="D449" s="41"/>
      <c r="E449" s="41"/>
      <c r="F449" s="41"/>
      <c r="G449" s="41"/>
      <c r="H449" s="41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</row>
    <row r="450" hidden="1">
      <c r="A450" s="41"/>
      <c r="B450" s="41"/>
      <c r="C450" s="41"/>
      <c r="D450" s="41"/>
      <c r="E450" s="41"/>
      <c r="F450" s="41"/>
      <c r="G450" s="41"/>
      <c r="H450" s="41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</row>
    <row r="451" hidden="1">
      <c r="A451" s="41"/>
      <c r="B451" s="41"/>
      <c r="C451" s="41"/>
      <c r="D451" s="41"/>
      <c r="E451" s="41"/>
      <c r="F451" s="41"/>
      <c r="G451" s="41"/>
      <c r="H451" s="41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</row>
    <row r="452" hidden="1">
      <c r="A452" s="41"/>
      <c r="B452" s="41"/>
      <c r="C452" s="41"/>
      <c r="D452" s="41"/>
      <c r="E452" s="41"/>
      <c r="F452" s="41"/>
      <c r="G452" s="41"/>
      <c r="H452" s="41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</row>
    <row r="453" hidden="1">
      <c r="A453" s="41"/>
      <c r="B453" s="41"/>
      <c r="C453" s="41"/>
      <c r="D453" s="41"/>
      <c r="E453" s="41"/>
      <c r="F453" s="41"/>
      <c r="G453" s="41"/>
      <c r="H453" s="41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</row>
    <row r="454" hidden="1">
      <c r="A454" s="41"/>
      <c r="B454" s="41"/>
      <c r="C454" s="41"/>
      <c r="D454" s="41"/>
      <c r="E454" s="41"/>
      <c r="F454" s="41"/>
      <c r="G454" s="41"/>
      <c r="H454" s="41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</row>
    <row r="455" hidden="1">
      <c r="A455" s="41"/>
      <c r="B455" s="41"/>
      <c r="C455" s="41"/>
      <c r="D455" s="41"/>
      <c r="E455" s="41"/>
      <c r="F455" s="41"/>
      <c r="G455" s="41"/>
      <c r="H455" s="41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</row>
    <row r="456" hidden="1">
      <c r="A456" s="41"/>
      <c r="B456" s="41"/>
      <c r="C456" s="41"/>
      <c r="D456" s="41"/>
      <c r="E456" s="41"/>
      <c r="F456" s="41"/>
      <c r="G456" s="41"/>
      <c r="H456" s="41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</row>
    <row r="457" hidden="1">
      <c r="A457" s="41"/>
      <c r="B457" s="41"/>
      <c r="C457" s="41"/>
      <c r="D457" s="41"/>
      <c r="E457" s="41"/>
      <c r="F457" s="41"/>
      <c r="G457" s="41"/>
      <c r="H457" s="41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</row>
    <row r="458" hidden="1">
      <c r="A458" s="41"/>
      <c r="B458" s="41"/>
      <c r="C458" s="41"/>
      <c r="D458" s="41"/>
      <c r="E458" s="41"/>
      <c r="F458" s="41"/>
      <c r="G458" s="41"/>
      <c r="H458" s="41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</row>
    <row r="459" hidden="1">
      <c r="A459" s="41"/>
      <c r="B459" s="41"/>
      <c r="C459" s="41"/>
      <c r="D459" s="41"/>
      <c r="E459" s="41"/>
      <c r="F459" s="41"/>
      <c r="G459" s="41"/>
      <c r="H459" s="41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</row>
    <row r="460" hidden="1">
      <c r="A460" s="41"/>
      <c r="B460" s="41"/>
      <c r="C460" s="41"/>
      <c r="D460" s="41"/>
      <c r="E460" s="41"/>
      <c r="F460" s="41"/>
      <c r="G460" s="41"/>
      <c r="H460" s="41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</row>
    <row r="461" hidden="1">
      <c r="A461" s="41"/>
      <c r="B461" s="41"/>
      <c r="C461" s="41"/>
      <c r="D461" s="41"/>
      <c r="E461" s="41"/>
      <c r="F461" s="41"/>
      <c r="G461" s="41"/>
      <c r="H461" s="41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</row>
    <row r="462" hidden="1">
      <c r="A462" s="41"/>
      <c r="B462" s="41"/>
      <c r="C462" s="41"/>
      <c r="D462" s="41"/>
      <c r="E462" s="41"/>
      <c r="F462" s="41"/>
      <c r="G462" s="41"/>
      <c r="H462" s="41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</row>
    <row r="463" hidden="1">
      <c r="A463" s="41"/>
      <c r="B463" s="41"/>
      <c r="C463" s="41"/>
      <c r="D463" s="41"/>
      <c r="E463" s="41"/>
      <c r="F463" s="41"/>
      <c r="G463" s="41"/>
      <c r="H463" s="41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</row>
    <row r="464" hidden="1">
      <c r="A464" s="41"/>
      <c r="B464" s="41"/>
      <c r="C464" s="41"/>
      <c r="D464" s="41"/>
      <c r="E464" s="41"/>
      <c r="F464" s="41"/>
      <c r="G464" s="41"/>
      <c r="H464" s="41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</row>
    <row r="465" hidden="1">
      <c r="A465" s="41"/>
      <c r="B465" s="41"/>
      <c r="C465" s="41"/>
      <c r="D465" s="41"/>
      <c r="E465" s="41"/>
      <c r="F465" s="41"/>
      <c r="G465" s="41"/>
      <c r="H465" s="41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</row>
    <row r="466" hidden="1">
      <c r="A466" s="41"/>
      <c r="B466" s="41"/>
      <c r="C466" s="41"/>
      <c r="D466" s="41"/>
      <c r="E466" s="41"/>
      <c r="F466" s="41"/>
      <c r="G466" s="41"/>
      <c r="H466" s="41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</row>
    <row r="467" hidden="1">
      <c r="A467" s="41"/>
      <c r="B467" s="41"/>
      <c r="C467" s="41"/>
      <c r="D467" s="41"/>
      <c r="E467" s="41"/>
      <c r="F467" s="41"/>
      <c r="G467" s="41"/>
      <c r="H467" s="41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</row>
    <row r="468" hidden="1">
      <c r="A468" s="41"/>
      <c r="B468" s="41"/>
      <c r="C468" s="41"/>
      <c r="D468" s="41"/>
      <c r="E468" s="41"/>
      <c r="F468" s="41"/>
      <c r="G468" s="41"/>
      <c r="H468" s="41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</row>
    <row r="469" hidden="1">
      <c r="A469" s="41"/>
      <c r="B469" s="41"/>
      <c r="C469" s="41"/>
      <c r="D469" s="41"/>
      <c r="E469" s="41"/>
      <c r="F469" s="41"/>
      <c r="G469" s="41"/>
      <c r="H469" s="41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</row>
    <row r="470" hidden="1">
      <c r="A470" s="41"/>
      <c r="B470" s="41"/>
      <c r="C470" s="41"/>
      <c r="D470" s="41"/>
      <c r="E470" s="41"/>
      <c r="F470" s="41"/>
      <c r="G470" s="41"/>
      <c r="H470" s="41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</row>
    <row r="471" hidden="1">
      <c r="A471" s="41"/>
      <c r="B471" s="41"/>
      <c r="C471" s="41"/>
      <c r="D471" s="41"/>
      <c r="E471" s="41"/>
      <c r="F471" s="41"/>
      <c r="G471" s="41"/>
      <c r="H471" s="41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</row>
    <row r="472" hidden="1">
      <c r="A472" s="41"/>
      <c r="B472" s="41"/>
      <c r="C472" s="41"/>
      <c r="D472" s="41"/>
      <c r="E472" s="41"/>
      <c r="F472" s="41"/>
      <c r="G472" s="41"/>
      <c r="H472" s="41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</row>
    <row r="473" hidden="1">
      <c r="A473" s="41"/>
      <c r="B473" s="41"/>
      <c r="C473" s="41"/>
      <c r="D473" s="41"/>
      <c r="E473" s="41"/>
      <c r="F473" s="41"/>
      <c r="G473" s="41"/>
      <c r="H473" s="41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</row>
    <row r="474" hidden="1">
      <c r="A474" s="41"/>
      <c r="B474" s="41"/>
      <c r="C474" s="41"/>
      <c r="D474" s="41"/>
      <c r="E474" s="41"/>
      <c r="F474" s="41"/>
      <c r="G474" s="41"/>
      <c r="H474" s="41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</row>
    <row r="475" hidden="1">
      <c r="A475" s="41"/>
      <c r="B475" s="41"/>
      <c r="C475" s="41"/>
      <c r="D475" s="41"/>
      <c r="E475" s="41"/>
      <c r="F475" s="41"/>
      <c r="G475" s="41"/>
      <c r="H475" s="41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</row>
    <row r="476" hidden="1">
      <c r="A476" s="41"/>
      <c r="B476" s="41"/>
      <c r="C476" s="41"/>
      <c r="D476" s="41"/>
      <c r="E476" s="41"/>
      <c r="F476" s="41"/>
      <c r="G476" s="41"/>
      <c r="H476" s="41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</row>
    <row r="477" hidden="1">
      <c r="A477" s="41"/>
      <c r="B477" s="41"/>
      <c r="C477" s="41"/>
      <c r="D477" s="41"/>
      <c r="E477" s="41"/>
      <c r="F477" s="41"/>
      <c r="G477" s="41"/>
      <c r="H477" s="41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</row>
    <row r="478" hidden="1">
      <c r="A478" s="41"/>
      <c r="B478" s="41"/>
      <c r="C478" s="41"/>
      <c r="D478" s="41"/>
      <c r="E478" s="41"/>
      <c r="F478" s="41"/>
      <c r="G478" s="41"/>
      <c r="H478" s="41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</row>
    <row r="479" hidden="1">
      <c r="A479" s="41"/>
      <c r="B479" s="41"/>
      <c r="C479" s="41"/>
      <c r="D479" s="41"/>
      <c r="E479" s="41"/>
      <c r="F479" s="41"/>
      <c r="G479" s="41"/>
      <c r="H479" s="41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</row>
    <row r="480" hidden="1">
      <c r="A480" s="41"/>
      <c r="B480" s="41"/>
      <c r="C480" s="41"/>
      <c r="D480" s="41"/>
      <c r="E480" s="41"/>
      <c r="F480" s="41"/>
      <c r="G480" s="41"/>
      <c r="H480" s="41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</row>
    <row r="481" hidden="1">
      <c r="A481" s="41"/>
      <c r="B481" s="41"/>
      <c r="C481" s="41"/>
      <c r="D481" s="41"/>
      <c r="E481" s="41"/>
      <c r="F481" s="41"/>
      <c r="G481" s="41"/>
      <c r="H481" s="41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</row>
    <row r="482" hidden="1">
      <c r="A482" s="41"/>
      <c r="B482" s="41"/>
      <c r="C482" s="41"/>
      <c r="D482" s="41"/>
      <c r="E482" s="41"/>
      <c r="F482" s="41"/>
      <c r="G482" s="41"/>
      <c r="H482" s="41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</row>
    <row r="483" hidden="1">
      <c r="A483" s="41"/>
      <c r="B483" s="41"/>
      <c r="C483" s="41"/>
      <c r="D483" s="41"/>
      <c r="E483" s="41"/>
      <c r="F483" s="41"/>
      <c r="G483" s="41"/>
      <c r="H483" s="41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</row>
    <row r="484" hidden="1">
      <c r="A484" s="41"/>
      <c r="B484" s="41"/>
      <c r="C484" s="41"/>
      <c r="D484" s="41"/>
      <c r="E484" s="41"/>
      <c r="F484" s="41"/>
      <c r="G484" s="41"/>
      <c r="H484" s="41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</row>
    <row r="485" hidden="1">
      <c r="A485" s="41"/>
      <c r="B485" s="41"/>
      <c r="C485" s="41"/>
      <c r="D485" s="41"/>
      <c r="E485" s="41"/>
      <c r="F485" s="41"/>
      <c r="G485" s="41"/>
      <c r="H485" s="41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</row>
    <row r="486" hidden="1">
      <c r="A486" s="41"/>
      <c r="B486" s="41"/>
      <c r="C486" s="41"/>
      <c r="D486" s="41"/>
      <c r="E486" s="41"/>
      <c r="F486" s="41"/>
      <c r="G486" s="41"/>
      <c r="H486" s="41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</row>
    <row r="487" hidden="1">
      <c r="A487" s="41"/>
      <c r="B487" s="41"/>
      <c r="C487" s="41"/>
      <c r="D487" s="41"/>
      <c r="E487" s="41"/>
      <c r="F487" s="41"/>
      <c r="G487" s="41"/>
      <c r="H487" s="41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</row>
    <row r="488" hidden="1">
      <c r="A488" s="41"/>
      <c r="B488" s="41"/>
      <c r="C488" s="41"/>
      <c r="D488" s="41"/>
      <c r="E488" s="41"/>
      <c r="F488" s="41"/>
      <c r="G488" s="41"/>
      <c r="H488" s="41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</row>
    <row r="489" hidden="1">
      <c r="A489" s="41"/>
      <c r="B489" s="41"/>
      <c r="C489" s="41"/>
      <c r="D489" s="41"/>
      <c r="E489" s="41"/>
      <c r="F489" s="41"/>
      <c r="G489" s="41"/>
      <c r="H489" s="41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</row>
    <row r="490" hidden="1">
      <c r="A490" s="41"/>
      <c r="B490" s="41"/>
      <c r="C490" s="41"/>
      <c r="D490" s="41"/>
      <c r="E490" s="41"/>
      <c r="F490" s="41"/>
      <c r="G490" s="41"/>
      <c r="H490" s="41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</row>
    <row r="491" hidden="1">
      <c r="A491" s="41"/>
      <c r="B491" s="41"/>
      <c r="C491" s="41"/>
      <c r="D491" s="41"/>
      <c r="E491" s="41"/>
      <c r="F491" s="41"/>
      <c r="G491" s="41"/>
      <c r="H491" s="41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</row>
    <row r="492" hidden="1">
      <c r="A492" s="41"/>
      <c r="B492" s="41"/>
      <c r="C492" s="41"/>
      <c r="D492" s="41"/>
      <c r="E492" s="41"/>
      <c r="F492" s="41"/>
      <c r="G492" s="41"/>
      <c r="H492" s="41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</row>
    <row r="493" hidden="1">
      <c r="A493" s="41"/>
      <c r="B493" s="41"/>
      <c r="C493" s="41"/>
      <c r="D493" s="41"/>
      <c r="E493" s="41"/>
      <c r="F493" s="41"/>
      <c r="G493" s="41"/>
      <c r="H493" s="41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</row>
    <row r="494" hidden="1">
      <c r="A494" s="41"/>
      <c r="B494" s="41"/>
      <c r="C494" s="41"/>
      <c r="D494" s="41"/>
      <c r="E494" s="41"/>
      <c r="F494" s="41"/>
      <c r="G494" s="41"/>
      <c r="H494" s="41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</row>
    <row r="495" hidden="1">
      <c r="A495" s="41"/>
      <c r="B495" s="41"/>
      <c r="C495" s="41"/>
      <c r="D495" s="41"/>
      <c r="E495" s="41"/>
      <c r="F495" s="41"/>
      <c r="G495" s="41"/>
      <c r="H495" s="41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</row>
    <row r="496" hidden="1">
      <c r="A496" s="41"/>
      <c r="B496" s="41"/>
      <c r="C496" s="41"/>
      <c r="D496" s="41"/>
      <c r="E496" s="41"/>
      <c r="F496" s="41"/>
      <c r="G496" s="41"/>
      <c r="H496" s="41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</row>
    <row r="497" hidden="1">
      <c r="A497" s="41"/>
      <c r="B497" s="41"/>
      <c r="C497" s="41"/>
      <c r="D497" s="41"/>
      <c r="E497" s="41"/>
      <c r="F497" s="41"/>
      <c r="G497" s="41"/>
      <c r="H497" s="41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</row>
    <row r="498" hidden="1">
      <c r="A498" s="41"/>
      <c r="B498" s="41"/>
      <c r="C498" s="41"/>
      <c r="D498" s="41"/>
      <c r="E498" s="41"/>
      <c r="F498" s="41"/>
      <c r="G498" s="41"/>
      <c r="H498" s="41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</row>
    <row r="499" hidden="1">
      <c r="A499" s="41"/>
      <c r="B499" s="41"/>
      <c r="C499" s="41"/>
      <c r="D499" s="41"/>
      <c r="E499" s="41"/>
      <c r="F499" s="41"/>
      <c r="G499" s="41"/>
      <c r="H499" s="41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</row>
    <row r="500" hidden="1">
      <c r="A500" s="41"/>
      <c r="B500" s="41"/>
      <c r="C500" s="41"/>
      <c r="D500" s="41"/>
      <c r="E500" s="41"/>
      <c r="F500" s="41"/>
      <c r="G500" s="41"/>
      <c r="H500" s="41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</row>
    <row r="501" hidden="1">
      <c r="A501" s="41"/>
      <c r="B501" s="41"/>
      <c r="C501" s="41"/>
      <c r="D501" s="41"/>
      <c r="E501" s="41"/>
      <c r="F501" s="41"/>
      <c r="G501" s="41"/>
      <c r="H501" s="41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</row>
    <row r="502" hidden="1">
      <c r="A502" s="41"/>
      <c r="B502" s="41"/>
      <c r="C502" s="41"/>
      <c r="D502" s="41"/>
      <c r="E502" s="41"/>
      <c r="F502" s="41"/>
      <c r="G502" s="41"/>
      <c r="H502" s="41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</row>
    <row r="503" hidden="1">
      <c r="A503" s="41"/>
      <c r="B503" s="41"/>
      <c r="C503" s="41"/>
      <c r="D503" s="41"/>
      <c r="E503" s="41"/>
      <c r="F503" s="41"/>
      <c r="G503" s="41"/>
      <c r="H503" s="41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</row>
    <row r="504" hidden="1">
      <c r="A504" s="41"/>
      <c r="B504" s="41"/>
      <c r="C504" s="41"/>
      <c r="D504" s="41"/>
      <c r="E504" s="41"/>
      <c r="F504" s="41"/>
      <c r="G504" s="41"/>
      <c r="H504" s="41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</row>
    <row r="505" hidden="1">
      <c r="A505" s="41"/>
      <c r="B505" s="41"/>
      <c r="C505" s="41"/>
      <c r="D505" s="41"/>
      <c r="E505" s="41"/>
      <c r="F505" s="41"/>
      <c r="G505" s="41"/>
      <c r="H505" s="41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</row>
    <row r="506" hidden="1">
      <c r="A506" s="41"/>
      <c r="B506" s="41"/>
      <c r="C506" s="41"/>
      <c r="D506" s="41"/>
      <c r="E506" s="41"/>
      <c r="F506" s="41"/>
      <c r="G506" s="41"/>
      <c r="H506" s="41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</row>
    <row r="507" hidden="1">
      <c r="A507" s="41"/>
      <c r="B507" s="41"/>
      <c r="C507" s="41"/>
      <c r="D507" s="41"/>
      <c r="E507" s="41"/>
      <c r="F507" s="41"/>
      <c r="G507" s="41"/>
      <c r="H507" s="41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</row>
    <row r="508" hidden="1">
      <c r="A508" s="41"/>
      <c r="B508" s="41"/>
      <c r="C508" s="41"/>
      <c r="D508" s="41"/>
      <c r="E508" s="41"/>
      <c r="F508" s="41"/>
      <c r="G508" s="41"/>
      <c r="H508" s="41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</row>
    <row r="509" hidden="1">
      <c r="A509" s="41"/>
      <c r="B509" s="41"/>
      <c r="C509" s="41"/>
      <c r="D509" s="41"/>
      <c r="E509" s="41"/>
      <c r="F509" s="41"/>
      <c r="G509" s="41"/>
      <c r="H509" s="41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</row>
    <row r="510" hidden="1">
      <c r="A510" s="41"/>
      <c r="B510" s="41"/>
      <c r="C510" s="41"/>
      <c r="D510" s="41"/>
      <c r="E510" s="41"/>
      <c r="F510" s="41"/>
      <c r="G510" s="41"/>
      <c r="H510" s="41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</row>
    <row r="511" hidden="1">
      <c r="A511" s="41"/>
      <c r="B511" s="41"/>
      <c r="C511" s="41"/>
      <c r="D511" s="41"/>
      <c r="E511" s="41"/>
      <c r="F511" s="41"/>
      <c r="G511" s="41"/>
      <c r="H511" s="41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</row>
    <row r="512" hidden="1">
      <c r="A512" s="41"/>
      <c r="B512" s="41"/>
      <c r="C512" s="41"/>
      <c r="D512" s="41"/>
      <c r="E512" s="41"/>
      <c r="F512" s="41"/>
      <c r="G512" s="41"/>
      <c r="H512" s="41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</row>
    <row r="513" hidden="1">
      <c r="A513" s="41"/>
      <c r="B513" s="41"/>
      <c r="C513" s="41"/>
      <c r="D513" s="41"/>
      <c r="E513" s="41"/>
      <c r="F513" s="41"/>
      <c r="G513" s="41"/>
      <c r="H513" s="41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</row>
    <row r="514" hidden="1">
      <c r="A514" s="41"/>
      <c r="B514" s="41"/>
      <c r="C514" s="41"/>
      <c r="D514" s="41"/>
      <c r="E514" s="41"/>
      <c r="F514" s="41"/>
      <c r="G514" s="41"/>
      <c r="H514" s="41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</row>
    <row r="515" hidden="1">
      <c r="A515" s="41"/>
      <c r="B515" s="41"/>
      <c r="C515" s="41"/>
      <c r="D515" s="41"/>
      <c r="E515" s="41"/>
      <c r="F515" s="41"/>
      <c r="G515" s="41"/>
      <c r="H515" s="41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</row>
    <row r="516" hidden="1">
      <c r="A516" s="41"/>
      <c r="B516" s="41"/>
      <c r="C516" s="41"/>
      <c r="D516" s="41"/>
      <c r="E516" s="41"/>
      <c r="F516" s="41"/>
      <c r="G516" s="41"/>
      <c r="H516" s="41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</row>
    <row r="517" hidden="1">
      <c r="A517" s="41"/>
      <c r="B517" s="41"/>
      <c r="C517" s="41"/>
      <c r="D517" s="41"/>
      <c r="E517" s="41"/>
      <c r="F517" s="41"/>
      <c r="G517" s="41"/>
      <c r="H517" s="41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</row>
    <row r="518" hidden="1">
      <c r="A518" s="41"/>
      <c r="B518" s="41"/>
      <c r="C518" s="41"/>
      <c r="D518" s="41"/>
      <c r="E518" s="41"/>
      <c r="F518" s="41"/>
      <c r="G518" s="41"/>
      <c r="H518" s="41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</row>
    <row r="519" hidden="1">
      <c r="A519" s="41"/>
      <c r="B519" s="41"/>
      <c r="C519" s="41"/>
      <c r="D519" s="41"/>
      <c r="E519" s="41"/>
      <c r="F519" s="41"/>
      <c r="G519" s="41"/>
      <c r="H519" s="41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</row>
    <row r="520" hidden="1">
      <c r="A520" s="41"/>
      <c r="B520" s="41"/>
      <c r="C520" s="41"/>
      <c r="D520" s="41"/>
      <c r="E520" s="41"/>
      <c r="F520" s="41"/>
      <c r="G520" s="41"/>
      <c r="H520" s="41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</row>
    <row r="521" hidden="1">
      <c r="A521" s="41"/>
      <c r="B521" s="41"/>
      <c r="C521" s="41"/>
      <c r="D521" s="41"/>
      <c r="E521" s="41"/>
      <c r="F521" s="41"/>
      <c r="G521" s="41"/>
      <c r="H521" s="41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</row>
    <row r="522" hidden="1">
      <c r="A522" s="41"/>
      <c r="B522" s="41"/>
      <c r="C522" s="41"/>
      <c r="D522" s="41"/>
      <c r="E522" s="41"/>
      <c r="F522" s="41"/>
      <c r="G522" s="41"/>
      <c r="H522" s="41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</row>
    <row r="523" hidden="1">
      <c r="A523" s="41"/>
      <c r="B523" s="41"/>
      <c r="C523" s="41"/>
      <c r="D523" s="41"/>
      <c r="E523" s="41"/>
      <c r="F523" s="41"/>
      <c r="G523" s="41"/>
      <c r="H523" s="41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</row>
    <row r="524" hidden="1">
      <c r="A524" s="41"/>
      <c r="B524" s="41"/>
      <c r="C524" s="41"/>
      <c r="D524" s="41"/>
      <c r="E524" s="41"/>
      <c r="F524" s="41"/>
      <c r="G524" s="41"/>
      <c r="H524" s="41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</row>
    <row r="525" hidden="1">
      <c r="A525" s="41"/>
      <c r="B525" s="41"/>
      <c r="C525" s="41"/>
      <c r="D525" s="41"/>
      <c r="E525" s="41"/>
      <c r="F525" s="41"/>
      <c r="G525" s="41"/>
      <c r="H525" s="41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</row>
    <row r="526" hidden="1">
      <c r="A526" s="41"/>
      <c r="B526" s="41"/>
      <c r="C526" s="41"/>
      <c r="D526" s="41"/>
      <c r="E526" s="41"/>
      <c r="F526" s="41"/>
      <c r="G526" s="41"/>
      <c r="H526" s="41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</row>
    <row r="527" hidden="1">
      <c r="A527" s="41"/>
      <c r="B527" s="41"/>
      <c r="C527" s="41"/>
      <c r="D527" s="41"/>
      <c r="E527" s="41"/>
      <c r="F527" s="41"/>
      <c r="G527" s="41"/>
      <c r="H527" s="41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</row>
    <row r="528" hidden="1">
      <c r="A528" s="41"/>
      <c r="B528" s="41"/>
      <c r="C528" s="41"/>
      <c r="D528" s="41"/>
      <c r="E528" s="41"/>
      <c r="F528" s="41"/>
      <c r="G528" s="41"/>
      <c r="H528" s="41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</row>
    <row r="529" hidden="1">
      <c r="A529" s="41"/>
      <c r="B529" s="41"/>
      <c r="C529" s="41"/>
      <c r="D529" s="41"/>
      <c r="E529" s="41"/>
      <c r="F529" s="41"/>
      <c r="G529" s="41"/>
      <c r="H529" s="41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</row>
    <row r="530" hidden="1">
      <c r="A530" s="41"/>
      <c r="B530" s="41"/>
      <c r="C530" s="41"/>
      <c r="D530" s="41"/>
      <c r="E530" s="41"/>
      <c r="F530" s="41"/>
      <c r="G530" s="41"/>
      <c r="H530" s="41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</row>
    <row r="531" hidden="1">
      <c r="A531" s="41"/>
      <c r="B531" s="41"/>
      <c r="C531" s="41"/>
      <c r="D531" s="41"/>
      <c r="E531" s="41"/>
      <c r="F531" s="41"/>
      <c r="G531" s="41"/>
      <c r="H531" s="41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</row>
    <row r="532" hidden="1">
      <c r="A532" s="41"/>
      <c r="B532" s="41"/>
      <c r="C532" s="41"/>
      <c r="D532" s="41"/>
      <c r="E532" s="41"/>
      <c r="F532" s="41"/>
      <c r="G532" s="41"/>
      <c r="H532" s="41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</row>
    <row r="533" hidden="1">
      <c r="A533" s="41"/>
      <c r="B533" s="41"/>
      <c r="C533" s="41"/>
      <c r="D533" s="41"/>
      <c r="E533" s="41"/>
      <c r="F533" s="41"/>
      <c r="G533" s="41"/>
      <c r="H533" s="41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</row>
    <row r="534" hidden="1">
      <c r="A534" s="41"/>
      <c r="B534" s="41"/>
      <c r="C534" s="41"/>
      <c r="D534" s="41"/>
      <c r="E534" s="41"/>
      <c r="F534" s="41"/>
      <c r="G534" s="41"/>
      <c r="H534" s="41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</row>
    <row r="535" hidden="1">
      <c r="A535" s="41"/>
      <c r="B535" s="41"/>
      <c r="C535" s="41"/>
      <c r="D535" s="41"/>
      <c r="E535" s="41"/>
      <c r="F535" s="41"/>
      <c r="G535" s="41"/>
      <c r="H535" s="41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</row>
    <row r="536" hidden="1">
      <c r="A536" s="41"/>
      <c r="B536" s="41"/>
      <c r="C536" s="41"/>
      <c r="D536" s="41"/>
      <c r="E536" s="41"/>
      <c r="F536" s="41"/>
      <c r="G536" s="41"/>
      <c r="H536" s="41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</row>
    <row r="537" hidden="1">
      <c r="A537" s="41"/>
      <c r="B537" s="41"/>
      <c r="C537" s="41"/>
      <c r="D537" s="41"/>
      <c r="E537" s="41"/>
      <c r="F537" s="41"/>
      <c r="G537" s="41"/>
      <c r="H537" s="41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</row>
    <row r="538" hidden="1">
      <c r="A538" s="41"/>
      <c r="B538" s="41"/>
      <c r="C538" s="41"/>
      <c r="D538" s="41"/>
      <c r="E538" s="41"/>
      <c r="F538" s="41"/>
      <c r="G538" s="41"/>
      <c r="H538" s="41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</row>
    <row r="539" hidden="1">
      <c r="A539" s="41"/>
      <c r="B539" s="41"/>
      <c r="C539" s="41"/>
      <c r="D539" s="41"/>
      <c r="E539" s="41"/>
      <c r="F539" s="41"/>
      <c r="G539" s="41"/>
      <c r="H539" s="41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</row>
    <row r="540" hidden="1">
      <c r="A540" s="41"/>
      <c r="B540" s="41"/>
      <c r="C540" s="41"/>
      <c r="D540" s="41"/>
      <c r="E540" s="41"/>
      <c r="F540" s="41"/>
      <c r="G540" s="41"/>
      <c r="H540" s="41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</row>
    <row r="541" hidden="1">
      <c r="A541" s="41"/>
      <c r="B541" s="41"/>
      <c r="C541" s="41"/>
      <c r="D541" s="41"/>
      <c r="E541" s="41"/>
      <c r="F541" s="41"/>
      <c r="G541" s="41"/>
      <c r="H541" s="41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</row>
    <row r="542" hidden="1">
      <c r="A542" s="41"/>
      <c r="B542" s="41"/>
      <c r="C542" s="41"/>
      <c r="D542" s="41"/>
      <c r="E542" s="41"/>
      <c r="F542" s="41"/>
      <c r="G542" s="41"/>
      <c r="H542" s="41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</row>
    <row r="543" hidden="1">
      <c r="A543" s="41"/>
      <c r="B543" s="41"/>
      <c r="C543" s="41"/>
      <c r="D543" s="41"/>
      <c r="E543" s="41"/>
      <c r="F543" s="41"/>
      <c r="G543" s="41"/>
      <c r="H543" s="41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</row>
    <row r="544" hidden="1">
      <c r="A544" s="41"/>
      <c r="B544" s="41"/>
      <c r="C544" s="41"/>
      <c r="D544" s="41"/>
      <c r="E544" s="41"/>
      <c r="F544" s="41"/>
      <c r="G544" s="41"/>
      <c r="H544" s="41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</row>
    <row r="545" hidden="1">
      <c r="A545" s="41"/>
      <c r="B545" s="41"/>
      <c r="C545" s="41"/>
      <c r="D545" s="41"/>
      <c r="E545" s="41"/>
      <c r="F545" s="41"/>
      <c r="G545" s="41"/>
      <c r="H545" s="41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</row>
    <row r="546" hidden="1">
      <c r="A546" s="41"/>
      <c r="B546" s="41"/>
      <c r="C546" s="41"/>
      <c r="D546" s="41"/>
      <c r="E546" s="41"/>
      <c r="F546" s="41"/>
      <c r="G546" s="41"/>
      <c r="H546" s="41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</row>
    <row r="547" hidden="1">
      <c r="A547" s="41"/>
      <c r="B547" s="41"/>
      <c r="C547" s="41"/>
      <c r="D547" s="41"/>
      <c r="E547" s="41"/>
      <c r="F547" s="41"/>
      <c r="G547" s="41"/>
      <c r="H547" s="41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</row>
    <row r="548" hidden="1">
      <c r="A548" s="41"/>
      <c r="B548" s="41"/>
      <c r="C548" s="41"/>
      <c r="D548" s="41"/>
      <c r="E548" s="41"/>
      <c r="F548" s="41"/>
      <c r="G548" s="41"/>
      <c r="H548" s="41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</row>
    <row r="549" hidden="1">
      <c r="A549" s="41"/>
      <c r="B549" s="41"/>
      <c r="C549" s="41"/>
      <c r="D549" s="41"/>
      <c r="E549" s="41"/>
      <c r="F549" s="41"/>
      <c r="G549" s="41"/>
      <c r="H549" s="41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</row>
    <row r="550" hidden="1">
      <c r="A550" s="41"/>
      <c r="B550" s="41"/>
      <c r="C550" s="41"/>
      <c r="D550" s="41"/>
      <c r="E550" s="41"/>
      <c r="F550" s="41"/>
      <c r="G550" s="41"/>
      <c r="H550" s="41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</row>
    <row r="551" hidden="1">
      <c r="A551" s="41"/>
      <c r="B551" s="41"/>
      <c r="C551" s="41"/>
      <c r="D551" s="41"/>
      <c r="E551" s="41"/>
      <c r="F551" s="41"/>
      <c r="G551" s="41"/>
      <c r="H551" s="41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</row>
    <row r="552" hidden="1">
      <c r="A552" s="41"/>
      <c r="B552" s="41"/>
      <c r="C552" s="41"/>
      <c r="D552" s="41"/>
      <c r="E552" s="41"/>
      <c r="F552" s="41"/>
      <c r="G552" s="41"/>
      <c r="H552" s="41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</row>
    <row r="553" hidden="1">
      <c r="A553" s="41"/>
      <c r="B553" s="41"/>
      <c r="C553" s="41"/>
      <c r="D553" s="41"/>
      <c r="E553" s="41"/>
      <c r="F553" s="41"/>
      <c r="G553" s="41"/>
      <c r="H553" s="41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</row>
    <row r="554" hidden="1">
      <c r="A554" s="41"/>
      <c r="B554" s="41"/>
      <c r="C554" s="41"/>
      <c r="D554" s="41"/>
      <c r="E554" s="41"/>
      <c r="F554" s="41"/>
      <c r="G554" s="41"/>
      <c r="H554" s="41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</row>
    <row r="555" hidden="1">
      <c r="A555" s="41"/>
      <c r="B555" s="41"/>
      <c r="C555" s="41"/>
      <c r="D555" s="41"/>
      <c r="E555" s="41"/>
      <c r="F555" s="41"/>
      <c r="G555" s="41"/>
      <c r="H555" s="41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</row>
    <row r="556" hidden="1">
      <c r="A556" s="41"/>
      <c r="B556" s="41"/>
      <c r="C556" s="41"/>
      <c r="D556" s="41"/>
      <c r="E556" s="41"/>
      <c r="F556" s="41"/>
      <c r="G556" s="41"/>
      <c r="H556" s="41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</row>
    <row r="557" hidden="1">
      <c r="A557" s="41"/>
      <c r="B557" s="41"/>
      <c r="C557" s="41"/>
      <c r="D557" s="41"/>
      <c r="E557" s="41"/>
      <c r="F557" s="41"/>
      <c r="G557" s="41"/>
      <c r="H557" s="41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</row>
    <row r="558" hidden="1">
      <c r="A558" s="41"/>
      <c r="B558" s="41"/>
      <c r="C558" s="41"/>
      <c r="D558" s="41"/>
      <c r="E558" s="41"/>
      <c r="F558" s="41"/>
      <c r="G558" s="41"/>
      <c r="H558" s="41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</row>
    <row r="559" hidden="1">
      <c r="A559" s="41"/>
      <c r="B559" s="41"/>
      <c r="C559" s="41"/>
      <c r="D559" s="41"/>
      <c r="E559" s="41"/>
      <c r="F559" s="41"/>
      <c r="G559" s="41"/>
      <c r="H559" s="41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</row>
    <row r="560" hidden="1">
      <c r="A560" s="41"/>
      <c r="B560" s="41"/>
      <c r="C560" s="41"/>
      <c r="D560" s="41"/>
      <c r="E560" s="41"/>
      <c r="F560" s="41"/>
      <c r="G560" s="41"/>
      <c r="H560" s="41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</row>
    <row r="561" hidden="1">
      <c r="A561" s="41"/>
      <c r="B561" s="41"/>
      <c r="C561" s="41"/>
      <c r="D561" s="41"/>
      <c r="E561" s="41"/>
      <c r="F561" s="41"/>
      <c r="G561" s="41"/>
      <c r="H561" s="41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</row>
    <row r="562" hidden="1">
      <c r="A562" s="41"/>
      <c r="B562" s="41"/>
      <c r="C562" s="41"/>
      <c r="D562" s="41"/>
      <c r="E562" s="41"/>
      <c r="F562" s="41"/>
      <c r="G562" s="41"/>
      <c r="H562" s="41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</row>
    <row r="563" hidden="1">
      <c r="A563" s="41"/>
      <c r="B563" s="41"/>
      <c r="C563" s="41"/>
      <c r="D563" s="41"/>
      <c r="E563" s="41"/>
      <c r="F563" s="41"/>
      <c r="G563" s="41"/>
      <c r="H563" s="41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</row>
    <row r="564" hidden="1">
      <c r="A564" s="41"/>
      <c r="B564" s="41"/>
      <c r="C564" s="41"/>
      <c r="D564" s="41"/>
      <c r="E564" s="41"/>
      <c r="F564" s="41"/>
      <c r="G564" s="41"/>
      <c r="H564" s="41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</row>
    <row r="565" hidden="1">
      <c r="A565" s="41"/>
      <c r="B565" s="41"/>
      <c r="C565" s="41"/>
      <c r="D565" s="41"/>
      <c r="E565" s="41"/>
      <c r="F565" s="41"/>
      <c r="G565" s="41"/>
      <c r="H565" s="41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</row>
    <row r="566" hidden="1">
      <c r="A566" s="41"/>
      <c r="B566" s="41"/>
      <c r="C566" s="41"/>
      <c r="D566" s="41"/>
      <c r="E566" s="41"/>
      <c r="F566" s="41"/>
      <c r="G566" s="41"/>
      <c r="H566" s="41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</row>
    <row r="567" hidden="1">
      <c r="A567" s="41"/>
      <c r="B567" s="41"/>
      <c r="C567" s="41"/>
      <c r="D567" s="41"/>
      <c r="E567" s="41"/>
      <c r="F567" s="41"/>
      <c r="G567" s="41"/>
      <c r="H567" s="41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</row>
    <row r="568" hidden="1">
      <c r="A568" s="41"/>
      <c r="B568" s="41"/>
      <c r="C568" s="41"/>
      <c r="D568" s="41"/>
      <c r="E568" s="41"/>
      <c r="F568" s="41"/>
      <c r="G568" s="41"/>
      <c r="H568" s="41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</row>
    <row r="569" hidden="1">
      <c r="A569" s="41"/>
      <c r="B569" s="41"/>
      <c r="C569" s="41"/>
      <c r="D569" s="41"/>
      <c r="E569" s="41"/>
      <c r="F569" s="41"/>
      <c r="G569" s="41"/>
      <c r="H569" s="41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</row>
    <row r="570" hidden="1">
      <c r="A570" s="41"/>
      <c r="B570" s="41"/>
      <c r="C570" s="41"/>
      <c r="D570" s="41"/>
      <c r="E570" s="41"/>
      <c r="F570" s="41"/>
      <c r="G570" s="41"/>
      <c r="H570" s="41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</row>
    <row r="571" hidden="1">
      <c r="A571" s="41"/>
      <c r="B571" s="41"/>
      <c r="C571" s="41"/>
      <c r="D571" s="41"/>
      <c r="E571" s="41"/>
      <c r="F571" s="41"/>
      <c r="G571" s="41"/>
      <c r="H571" s="41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</row>
    <row r="572" hidden="1">
      <c r="A572" s="41"/>
      <c r="B572" s="41"/>
      <c r="C572" s="41"/>
      <c r="D572" s="41"/>
      <c r="E572" s="41"/>
      <c r="F572" s="41"/>
      <c r="G572" s="41"/>
      <c r="H572" s="41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</row>
    <row r="573" hidden="1">
      <c r="A573" s="41"/>
      <c r="B573" s="41"/>
      <c r="C573" s="41"/>
      <c r="D573" s="41"/>
      <c r="E573" s="41"/>
      <c r="F573" s="41"/>
      <c r="G573" s="41"/>
      <c r="H573" s="41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</row>
    <row r="574" hidden="1">
      <c r="A574" s="41"/>
      <c r="B574" s="41"/>
      <c r="C574" s="41"/>
      <c r="D574" s="41"/>
      <c r="E574" s="41"/>
      <c r="F574" s="41"/>
      <c r="G574" s="41"/>
      <c r="H574" s="41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</row>
    <row r="575" hidden="1">
      <c r="A575" s="41"/>
      <c r="B575" s="41"/>
      <c r="C575" s="41"/>
      <c r="D575" s="41"/>
      <c r="E575" s="41"/>
      <c r="F575" s="41"/>
      <c r="G575" s="41"/>
      <c r="H575" s="41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</row>
    <row r="576" hidden="1">
      <c r="A576" s="41"/>
      <c r="B576" s="41"/>
      <c r="C576" s="41"/>
      <c r="D576" s="41"/>
      <c r="E576" s="41"/>
      <c r="F576" s="41"/>
      <c r="G576" s="41"/>
      <c r="H576" s="41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</row>
    <row r="577" hidden="1">
      <c r="A577" s="41"/>
      <c r="B577" s="41"/>
      <c r="C577" s="41"/>
      <c r="D577" s="41"/>
      <c r="E577" s="41"/>
      <c r="F577" s="41"/>
      <c r="G577" s="41"/>
      <c r="H577" s="41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</row>
    <row r="578" hidden="1">
      <c r="A578" s="41"/>
      <c r="B578" s="41"/>
      <c r="C578" s="41"/>
      <c r="D578" s="41"/>
      <c r="E578" s="41"/>
      <c r="F578" s="41"/>
      <c r="G578" s="41"/>
      <c r="H578" s="41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</row>
    <row r="579" hidden="1">
      <c r="A579" s="41"/>
      <c r="B579" s="41"/>
      <c r="C579" s="41"/>
      <c r="D579" s="41"/>
      <c r="E579" s="41"/>
      <c r="F579" s="41"/>
      <c r="G579" s="41"/>
      <c r="H579" s="41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</row>
    <row r="580" hidden="1">
      <c r="A580" s="41"/>
      <c r="B580" s="41"/>
      <c r="C580" s="41"/>
      <c r="D580" s="41"/>
      <c r="E580" s="41"/>
      <c r="F580" s="41"/>
      <c r="G580" s="41"/>
      <c r="H580" s="41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</row>
    <row r="581" hidden="1">
      <c r="A581" s="41"/>
      <c r="B581" s="41"/>
      <c r="C581" s="41"/>
      <c r="D581" s="41"/>
      <c r="E581" s="41"/>
      <c r="F581" s="41"/>
      <c r="G581" s="41"/>
      <c r="H581" s="41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</row>
    <row r="582" hidden="1">
      <c r="A582" s="41"/>
      <c r="B582" s="41"/>
      <c r="C582" s="41"/>
      <c r="D582" s="41"/>
      <c r="E582" s="41"/>
      <c r="F582" s="41"/>
      <c r="G582" s="41"/>
      <c r="H582" s="41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</row>
    <row r="583" hidden="1">
      <c r="A583" s="41"/>
      <c r="B583" s="41"/>
      <c r="C583" s="41"/>
      <c r="D583" s="41"/>
      <c r="E583" s="41"/>
      <c r="F583" s="41"/>
      <c r="G583" s="41"/>
      <c r="H583" s="41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</row>
    <row r="584" hidden="1">
      <c r="A584" s="41"/>
      <c r="B584" s="41"/>
      <c r="C584" s="41"/>
      <c r="D584" s="41"/>
      <c r="E584" s="41"/>
      <c r="F584" s="41"/>
      <c r="G584" s="41"/>
      <c r="H584" s="41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</row>
    <row r="585" hidden="1">
      <c r="A585" s="41"/>
      <c r="B585" s="41"/>
      <c r="C585" s="41"/>
      <c r="D585" s="41"/>
      <c r="E585" s="41"/>
      <c r="F585" s="41"/>
      <c r="G585" s="41"/>
      <c r="H585" s="41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</row>
    <row r="586" hidden="1">
      <c r="A586" s="41"/>
      <c r="B586" s="41"/>
      <c r="C586" s="41"/>
      <c r="D586" s="41"/>
      <c r="E586" s="41"/>
      <c r="F586" s="41"/>
      <c r="G586" s="41"/>
      <c r="H586" s="41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</row>
    <row r="587" hidden="1">
      <c r="A587" s="41"/>
      <c r="B587" s="41"/>
      <c r="C587" s="41"/>
      <c r="D587" s="41"/>
      <c r="E587" s="41"/>
      <c r="F587" s="41"/>
      <c r="G587" s="41"/>
      <c r="H587" s="41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</row>
    <row r="588" hidden="1">
      <c r="A588" s="41"/>
      <c r="B588" s="41"/>
      <c r="C588" s="41"/>
      <c r="D588" s="41"/>
      <c r="E588" s="41"/>
      <c r="F588" s="41"/>
      <c r="G588" s="41"/>
      <c r="H588" s="41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</row>
    <row r="589" hidden="1">
      <c r="A589" s="41"/>
      <c r="B589" s="41"/>
      <c r="C589" s="41"/>
      <c r="D589" s="41"/>
      <c r="E589" s="41"/>
      <c r="F589" s="41"/>
      <c r="G589" s="41"/>
      <c r="H589" s="41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</row>
    <row r="590" hidden="1">
      <c r="A590" s="41"/>
      <c r="B590" s="41"/>
      <c r="C590" s="41"/>
      <c r="D590" s="41"/>
      <c r="E590" s="41"/>
      <c r="F590" s="41"/>
      <c r="G590" s="41"/>
      <c r="H590" s="41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</row>
    <row r="591" hidden="1">
      <c r="A591" s="41"/>
      <c r="B591" s="41"/>
      <c r="C591" s="41"/>
      <c r="D591" s="41"/>
      <c r="E591" s="41"/>
      <c r="F591" s="41"/>
      <c r="G591" s="41"/>
      <c r="H591" s="41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</row>
    <row r="592" hidden="1">
      <c r="A592" s="41"/>
      <c r="B592" s="41"/>
      <c r="C592" s="41"/>
      <c r="D592" s="41"/>
      <c r="E592" s="41"/>
      <c r="F592" s="41"/>
      <c r="G592" s="41"/>
      <c r="H592" s="41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</row>
    <row r="593" hidden="1">
      <c r="A593" s="41"/>
      <c r="B593" s="41"/>
      <c r="C593" s="41"/>
      <c r="D593" s="41"/>
      <c r="E593" s="41"/>
      <c r="F593" s="41"/>
      <c r="G593" s="41"/>
      <c r="H593" s="41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</row>
    <row r="594" hidden="1">
      <c r="A594" s="41"/>
      <c r="B594" s="41"/>
      <c r="C594" s="41"/>
      <c r="D594" s="41"/>
      <c r="E594" s="41"/>
      <c r="F594" s="41"/>
      <c r="G594" s="41"/>
      <c r="H594" s="41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</row>
    <row r="595" hidden="1">
      <c r="A595" s="41"/>
      <c r="B595" s="41"/>
      <c r="C595" s="41"/>
      <c r="D595" s="41"/>
      <c r="E595" s="41"/>
      <c r="F595" s="41"/>
      <c r="G595" s="41"/>
      <c r="H595" s="41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</row>
    <row r="596" hidden="1">
      <c r="A596" s="41"/>
      <c r="B596" s="41"/>
      <c r="C596" s="41"/>
      <c r="D596" s="41"/>
      <c r="E596" s="41"/>
      <c r="F596" s="41"/>
      <c r="G596" s="41"/>
      <c r="H596" s="41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</row>
    <row r="597" hidden="1">
      <c r="A597" s="41"/>
      <c r="B597" s="41"/>
      <c r="C597" s="41"/>
      <c r="D597" s="41"/>
      <c r="E597" s="41"/>
      <c r="F597" s="41"/>
      <c r="G597" s="41"/>
      <c r="H597" s="41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</row>
    <row r="598" hidden="1">
      <c r="A598" s="41"/>
      <c r="B598" s="41"/>
      <c r="C598" s="41"/>
      <c r="D598" s="41"/>
      <c r="E598" s="41"/>
      <c r="F598" s="41"/>
      <c r="G598" s="41"/>
      <c r="H598" s="41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</row>
    <row r="599" hidden="1">
      <c r="A599" s="41"/>
      <c r="B599" s="41"/>
      <c r="C599" s="41"/>
      <c r="D599" s="41"/>
      <c r="E599" s="41"/>
      <c r="F599" s="41"/>
      <c r="G599" s="41"/>
      <c r="H599" s="41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</row>
    <row r="600" hidden="1">
      <c r="A600" s="41"/>
      <c r="B600" s="41"/>
      <c r="C600" s="41"/>
      <c r="D600" s="41"/>
      <c r="E600" s="41"/>
      <c r="F600" s="41"/>
      <c r="G600" s="41"/>
      <c r="H600" s="41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</row>
    <row r="601" hidden="1">
      <c r="A601" s="41"/>
      <c r="B601" s="41"/>
      <c r="C601" s="41"/>
      <c r="D601" s="41"/>
      <c r="E601" s="41"/>
      <c r="F601" s="41"/>
      <c r="G601" s="41"/>
      <c r="H601" s="41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</row>
    <row r="602" hidden="1">
      <c r="A602" s="41"/>
      <c r="B602" s="41"/>
      <c r="C602" s="41"/>
      <c r="D602" s="41"/>
      <c r="E602" s="41"/>
      <c r="F602" s="41"/>
      <c r="G602" s="41"/>
      <c r="H602" s="41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</row>
    <row r="603" hidden="1">
      <c r="A603" s="41"/>
      <c r="B603" s="41"/>
      <c r="C603" s="41"/>
      <c r="D603" s="41"/>
      <c r="E603" s="41"/>
      <c r="F603" s="41"/>
      <c r="G603" s="41"/>
      <c r="H603" s="41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</row>
    <row r="604" hidden="1">
      <c r="A604" s="41"/>
      <c r="B604" s="41"/>
      <c r="C604" s="41"/>
      <c r="D604" s="41"/>
      <c r="E604" s="41"/>
      <c r="F604" s="41"/>
      <c r="G604" s="41"/>
      <c r="H604" s="41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</row>
    <row r="605" hidden="1">
      <c r="A605" s="41"/>
      <c r="B605" s="41"/>
      <c r="C605" s="41"/>
      <c r="D605" s="41"/>
      <c r="E605" s="41"/>
      <c r="F605" s="41"/>
      <c r="G605" s="41"/>
      <c r="H605" s="41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</row>
    <row r="606" hidden="1">
      <c r="A606" s="41"/>
      <c r="B606" s="41"/>
      <c r="C606" s="41"/>
      <c r="D606" s="41"/>
      <c r="E606" s="41"/>
      <c r="F606" s="41"/>
      <c r="G606" s="41"/>
      <c r="H606" s="41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</row>
    <row r="607" hidden="1">
      <c r="A607" s="41"/>
      <c r="B607" s="41"/>
      <c r="C607" s="41"/>
      <c r="D607" s="41"/>
      <c r="E607" s="41"/>
      <c r="F607" s="41"/>
      <c r="G607" s="41"/>
      <c r="H607" s="41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</row>
    <row r="608" hidden="1">
      <c r="A608" s="41"/>
      <c r="B608" s="41"/>
      <c r="C608" s="41"/>
      <c r="D608" s="41"/>
      <c r="E608" s="41"/>
      <c r="F608" s="41"/>
      <c r="G608" s="41"/>
      <c r="H608" s="41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</row>
    <row r="609" hidden="1">
      <c r="A609" s="41"/>
      <c r="B609" s="41"/>
      <c r="C609" s="41"/>
      <c r="D609" s="41"/>
      <c r="E609" s="41"/>
      <c r="F609" s="41"/>
      <c r="G609" s="41"/>
      <c r="H609" s="41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</row>
    <row r="610" hidden="1">
      <c r="A610" s="41"/>
      <c r="B610" s="41"/>
      <c r="C610" s="41"/>
      <c r="D610" s="41"/>
      <c r="E610" s="41"/>
      <c r="F610" s="41"/>
      <c r="G610" s="41"/>
      <c r="H610" s="41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</row>
    <row r="611" hidden="1">
      <c r="A611" s="41"/>
      <c r="B611" s="41"/>
      <c r="C611" s="41"/>
      <c r="D611" s="41"/>
      <c r="E611" s="41"/>
      <c r="F611" s="41"/>
      <c r="G611" s="41"/>
      <c r="H611" s="41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</row>
    <row r="612" hidden="1">
      <c r="A612" s="41"/>
      <c r="B612" s="41"/>
      <c r="C612" s="41"/>
      <c r="D612" s="41"/>
      <c r="E612" s="41"/>
      <c r="F612" s="41"/>
      <c r="G612" s="41"/>
      <c r="H612" s="41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</row>
    <row r="613" hidden="1">
      <c r="A613" s="41"/>
      <c r="B613" s="41"/>
      <c r="C613" s="41"/>
      <c r="D613" s="41"/>
      <c r="E613" s="41"/>
      <c r="F613" s="41"/>
      <c r="G613" s="41"/>
      <c r="H613" s="41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</row>
    <row r="614" hidden="1">
      <c r="A614" s="41"/>
      <c r="B614" s="41"/>
      <c r="C614" s="41"/>
      <c r="D614" s="41"/>
      <c r="E614" s="41"/>
      <c r="F614" s="41"/>
      <c r="G614" s="41"/>
      <c r="H614" s="41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</row>
    <row r="615" hidden="1">
      <c r="A615" s="41"/>
      <c r="B615" s="41"/>
      <c r="C615" s="41"/>
      <c r="D615" s="41"/>
      <c r="E615" s="41"/>
      <c r="F615" s="41"/>
      <c r="G615" s="41"/>
      <c r="H615" s="41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</row>
    <row r="616" hidden="1">
      <c r="A616" s="41"/>
      <c r="B616" s="41"/>
      <c r="C616" s="41"/>
      <c r="D616" s="41"/>
      <c r="E616" s="41"/>
      <c r="F616" s="41"/>
      <c r="G616" s="41"/>
      <c r="H616" s="41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</row>
    <row r="617" hidden="1">
      <c r="A617" s="41"/>
      <c r="B617" s="41"/>
      <c r="C617" s="41"/>
      <c r="D617" s="41"/>
      <c r="E617" s="41"/>
      <c r="F617" s="41"/>
      <c r="G617" s="41"/>
      <c r="H617" s="41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</row>
    <row r="618" hidden="1">
      <c r="A618" s="41"/>
      <c r="B618" s="41"/>
      <c r="C618" s="41"/>
      <c r="D618" s="41"/>
      <c r="E618" s="41"/>
      <c r="F618" s="41"/>
      <c r="G618" s="41"/>
      <c r="H618" s="41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</row>
    <row r="619" hidden="1">
      <c r="A619" s="41"/>
      <c r="B619" s="41"/>
      <c r="C619" s="41"/>
      <c r="D619" s="41"/>
      <c r="E619" s="41"/>
      <c r="F619" s="41"/>
      <c r="G619" s="41"/>
      <c r="H619" s="41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</row>
    <row r="620" hidden="1">
      <c r="A620" s="41"/>
      <c r="B620" s="41"/>
      <c r="C620" s="41"/>
      <c r="D620" s="41"/>
      <c r="E620" s="41"/>
      <c r="F620" s="41"/>
      <c r="G620" s="41"/>
      <c r="H620" s="41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</row>
    <row r="621" hidden="1">
      <c r="A621" s="41"/>
      <c r="B621" s="41"/>
      <c r="C621" s="41"/>
      <c r="D621" s="41"/>
      <c r="E621" s="41"/>
      <c r="F621" s="41"/>
      <c r="G621" s="41"/>
      <c r="H621" s="41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</row>
    <row r="622" hidden="1">
      <c r="A622" s="41"/>
      <c r="B622" s="41"/>
      <c r="C622" s="41"/>
      <c r="D622" s="41"/>
      <c r="E622" s="41"/>
      <c r="F622" s="41"/>
      <c r="G622" s="41"/>
      <c r="H622" s="41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</row>
    <row r="623" hidden="1">
      <c r="A623" s="41"/>
      <c r="B623" s="41"/>
      <c r="C623" s="41"/>
      <c r="D623" s="41"/>
      <c r="E623" s="41"/>
      <c r="F623" s="41"/>
      <c r="G623" s="41"/>
      <c r="H623" s="41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</row>
    <row r="624" hidden="1">
      <c r="A624" s="41"/>
      <c r="B624" s="41"/>
      <c r="C624" s="41"/>
      <c r="D624" s="41"/>
      <c r="E624" s="41"/>
      <c r="F624" s="41"/>
      <c r="G624" s="41"/>
      <c r="H624" s="41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</row>
    <row r="625" hidden="1">
      <c r="A625" s="41"/>
      <c r="B625" s="41"/>
      <c r="C625" s="41"/>
      <c r="D625" s="41"/>
      <c r="E625" s="41"/>
      <c r="F625" s="41"/>
      <c r="G625" s="41"/>
      <c r="H625" s="41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</row>
    <row r="626" hidden="1">
      <c r="A626" s="41"/>
      <c r="B626" s="41"/>
      <c r="C626" s="41"/>
      <c r="D626" s="41"/>
      <c r="E626" s="41"/>
      <c r="F626" s="41"/>
      <c r="G626" s="41"/>
      <c r="H626" s="41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</row>
    <row r="627" hidden="1">
      <c r="A627" s="41"/>
      <c r="B627" s="41"/>
      <c r="C627" s="41"/>
      <c r="D627" s="41"/>
      <c r="E627" s="41"/>
      <c r="F627" s="41"/>
      <c r="G627" s="41"/>
      <c r="H627" s="41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</row>
    <row r="628" hidden="1">
      <c r="A628" s="41"/>
      <c r="B628" s="41"/>
      <c r="C628" s="41"/>
      <c r="D628" s="41"/>
      <c r="E628" s="41"/>
      <c r="F628" s="41"/>
      <c r="G628" s="41"/>
      <c r="H628" s="41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</row>
    <row r="629" hidden="1">
      <c r="A629" s="41"/>
      <c r="B629" s="41"/>
      <c r="C629" s="41"/>
      <c r="D629" s="41"/>
      <c r="E629" s="41"/>
      <c r="F629" s="41"/>
      <c r="G629" s="41"/>
      <c r="H629" s="41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</row>
    <row r="630" hidden="1">
      <c r="A630" s="41"/>
      <c r="B630" s="41"/>
      <c r="C630" s="41"/>
      <c r="D630" s="41"/>
      <c r="E630" s="41"/>
      <c r="F630" s="41"/>
      <c r="G630" s="41"/>
      <c r="H630" s="41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</row>
    <row r="631" hidden="1">
      <c r="A631" s="41"/>
      <c r="B631" s="41"/>
      <c r="C631" s="41"/>
      <c r="D631" s="41"/>
      <c r="E631" s="41"/>
      <c r="F631" s="41"/>
      <c r="G631" s="41"/>
      <c r="H631" s="41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</row>
    <row r="632" hidden="1">
      <c r="A632" s="41"/>
      <c r="B632" s="41"/>
      <c r="C632" s="41"/>
      <c r="D632" s="41"/>
      <c r="E632" s="41"/>
      <c r="F632" s="41"/>
      <c r="G632" s="41"/>
      <c r="H632" s="41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</row>
    <row r="633" hidden="1">
      <c r="A633" s="41"/>
      <c r="B633" s="41"/>
      <c r="C633" s="41"/>
      <c r="D633" s="41"/>
      <c r="E633" s="41"/>
      <c r="F633" s="41"/>
      <c r="G633" s="41"/>
      <c r="H633" s="41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</row>
    <row r="634" hidden="1">
      <c r="A634" s="41"/>
      <c r="B634" s="41"/>
      <c r="C634" s="41"/>
      <c r="D634" s="41"/>
      <c r="E634" s="41"/>
      <c r="F634" s="41"/>
      <c r="G634" s="41"/>
      <c r="H634" s="41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</row>
    <row r="635" hidden="1">
      <c r="A635" s="41"/>
      <c r="B635" s="41"/>
      <c r="C635" s="41"/>
      <c r="D635" s="41"/>
      <c r="E635" s="41"/>
      <c r="F635" s="41"/>
      <c r="G635" s="41"/>
      <c r="H635" s="41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</row>
    <row r="636" hidden="1">
      <c r="A636" s="41"/>
      <c r="B636" s="41"/>
      <c r="C636" s="41"/>
      <c r="D636" s="41"/>
      <c r="E636" s="41"/>
      <c r="F636" s="41"/>
      <c r="G636" s="41"/>
      <c r="H636" s="41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</row>
    <row r="637" hidden="1">
      <c r="A637" s="41"/>
      <c r="B637" s="41"/>
      <c r="C637" s="41"/>
      <c r="D637" s="41"/>
      <c r="E637" s="41"/>
      <c r="F637" s="41"/>
      <c r="G637" s="41"/>
      <c r="H637" s="41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</row>
    <row r="638" hidden="1">
      <c r="A638" s="41"/>
      <c r="B638" s="41"/>
      <c r="C638" s="41"/>
      <c r="D638" s="41"/>
      <c r="E638" s="41"/>
      <c r="F638" s="41"/>
      <c r="G638" s="41"/>
      <c r="H638" s="41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</row>
    <row r="639" hidden="1">
      <c r="A639" s="41"/>
      <c r="B639" s="41"/>
      <c r="C639" s="41"/>
      <c r="D639" s="41"/>
      <c r="E639" s="41"/>
      <c r="F639" s="41"/>
      <c r="G639" s="41"/>
      <c r="H639" s="41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</row>
    <row r="640" hidden="1">
      <c r="A640" s="41"/>
      <c r="B640" s="41"/>
      <c r="C640" s="41"/>
      <c r="D640" s="41"/>
      <c r="E640" s="41"/>
      <c r="F640" s="41"/>
      <c r="G640" s="41"/>
      <c r="H640" s="41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</row>
    <row r="641" hidden="1">
      <c r="A641" s="41"/>
      <c r="B641" s="41"/>
      <c r="C641" s="41"/>
      <c r="D641" s="41"/>
      <c r="E641" s="41"/>
      <c r="F641" s="41"/>
      <c r="G641" s="41"/>
      <c r="H641" s="41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</row>
    <row r="642" hidden="1">
      <c r="A642" s="41"/>
      <c r="B642" s="41"/>
      <c r="C642" s="41"/>
      <c r="D642" s="41"/>
      <c r="E642" s="41"/>
      <c r="F642" s="41"/>
      <c r="G642" s="41"/>
      <c r="H642" s="41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</row>
    <row r="643" hidden="1">
      <c r="A643" s="41"/>
      <c r="B643" s="41"/>
      <c r="C643" s="41"/>
      <c r="D643" s="41"/>
      <c r="E643" s="41"/>
      <c r="F643" s="41"/>
      <c r="G643" s="41"/>
      <c r="H643" s="41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</row>
    <row r="644" hidden="1">
      <c r="A644" s="41"/>
      <c r="B644" s="41"/>
      <c r="C644" s="41"/>
      <c r="D644" s="41"/>
      <c r="E644" s="41"/>
      <c r="F644" s="41"/>
      <c r="G644" s="41"/>
      <c r="H644" s="41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</row>
    <row r="645" hidden="1">
      <c r="A645" s="41"/>
      <c r="B645" s="41"/>
      <c r="C645" s="41"/>
      <c r="D645" s="41"/>
      <c r="E645" s="41"/>
      <c r="F645" s="41"/>
      <c r="G645" s="41"/>
      <c r="H645" s="41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</row>
    <row r="646" hidden="1">
      <c r="A646" s="41"/>
      <c r="B646" s="41"/>
      <c r="C646" s="41"/>
      <c r="D646" s="41"/>
      <c r="E646" s="41"/>
      <c r="F646" s="41"/>
      <c r="G646" s="41"/>
      <c r="H646" s="41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</row>
    <row r="647" hidden="1">
      <c r="A647" s="41"/>
      <c r="B647" s="41"/>
      <c r="C647" s="41"/>
      <c r="D647" s="41"/>
      <c r="E647" s="41"/>
      <c r="F647" s="41"/>
      <c r="G647" s="41"/>
      <c r="H647" s="41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</row>
    <row r="648" hidden="1">
      <c r="A648" s="41"/>
      <c r="B648" s="41"/>
      <c r="C648" s="41"/>
      <c r="D648" s="41"/>
      <c r="E648" s="41"/>
      <c r="F648" s="41"/>
      <c r="G648" s="41"/>
      <c r="H648" s="41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</row>
    <row r="649" hidden="1">
      <c r="A649" s="41"/>
      <c r="B649" s="41"/>
      <c r="C649" s="41"/>
      <c r="D649" s="41"/>
      <c r="E649" s="41"/>
      <c r="F649" s="41"/>
      <c r="G649" s="41"/>
      <c r="H649" s="41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</row>
    <row r="650" hidden="1">
      <c r="A650" s="41"/>
      <c r="B650" s="41"/>
      <c r="C650" s="41"/>
      <c r="D650" s="41"/>
      <c r="E650" s="41"/>
      <c r="F650" s="41"/>
      <c r="G650" s="41"/>
      <c r="H650" s="41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</row>
    <row r="651" hidden="1">
      <c r="A651" s="41"/>
      <c r="B651" s="41"/>
      <c r="C651" s="41"/>
      <c r="D651" s="41"/>
      <c r="E651" s="41"/>
      <c r="F651" s="41"/>
      <c r="G651" s="41"/>
      <c r="H651" s="41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</row>
    <row r="652" hidden="1">
      <c r="A652" s="41"/>
      <c r="B652" s="41"/>
      <c r="C652" s="41"/>
      <c r="D652" s="41"/>
      <c r="E652" s="41"/>
      <c r="F652" s="41"/>
      <c r="G652" s="41"/>
      <c r="H652" s="41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</row>
    <row r="653" hidden="1">
      <c r="A653" s="41"/>
      <c r="B653" s="41"/>
      <c r="C653" s="41"/>
      <c r="D653" s="41"/>
      <c r="E653" s="41"/>
      <c r="F653" s="41"/>
      <c r="G653" s="41"/>
      <c r="H653" s="41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</row>
    <row r="654" hidden="1">
      <c r="A654" s="41"/>
      <c r="B654" s="41"/>
      <c r="C654" s="41"/>
      <c r="D654" s="41"/>
      <c r="E654" s="41"/>
      <c r="F654" s="41"/>
      <c r="G654" s="41"/>
      <c r="H654" s="41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</row>
    <row r="655" hidden="1">
      <c r="A655" s="41"/>
      <c r="B655" s="41"/>
      <c r="C655" s="41"/>
      <c r="D655" s="41"/>
      <c r="E655" s="41"/>
      <c r="F655" s="41"/>
      <c r="G655" s="41"/>
      <c r="H655" s="41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</row>
    <row r="656" hidden="1">
      <c r="A656" s="41"/>
      <c r="B656" s="41"/>
      <c r="C656" s="41"/>
      <c r="D656" s="41"/>
      <c r="E656" s="41"/>
      <c r="F656" s="41"/>
      <c r="G656" s="41"/>
      <c r="H656" s="41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</row>
    <row r="657" hidden="1">
      <c r="A657" s="41"/>
      <c r="B657" s="41"/>
      <c r="C657" s="41"/>
      <c r="D657" s="41"/>
      <c r="E657" s="41"/>
      <c r="F657" s="41"/>
      <c r="G657" s="41"/>
      <c r="H657" s="41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</row>
    <row r="658" hidden="1">
      <c r="A658" s="41"/>
      <c r="B658" s="41"/>
      <c r="C658" s="41"/>
      <c r="D658" s="41"/>
      <c r="E658" s="41"/>
      <c r="F658" s="41"/>
      <c r="G658" s="41"/>
      <c r="H658" s="41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</row>
    <row r="659" hidden="1">
      <c r="A659" s="41"/>
      <c r="B659" s="41"/>
      <c r="C659" s="41"/>
      <c r="D659" s="41"/>
      <c r="E659" s="41"/>
      <c r="F659" s="41"/>
      <c r="G659" s="41"/>
      <c r="H659" s="41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</row>
    <row r="660" hidden="1">
      <c r="A660" s="41"/>
      <c r="B660" s="41"/>
      <c r="C660" s="41"/>
      <c r="D660" s="41"/>
      <c r="E660" s="41"/>
      <c r="F660" s="41"/>
      <c r="G660" s="41"/>
      <c r="H660" s="41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</row>
    <row r="661" hidden="1">
      <c r="A661" s="41"/>
      <c r="B661" s="41"/>
      <c r="C661" s="41"/>
      <c r="D661" s="41"/>
      <c r="E661" s="41"/>
      <c r="F661" s="41"/>
      <c r="G661" s="41"/>
      <c r="H661" s="41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</row>
    <row r="662" hidden="1">
      <c r="A662" s="41"/>
      <c r="B662" s="41"/>
      <c r="C662" s="41"/>
      <c r="D662" s="41"/>
      <c r="E662" s="41"/>
      <c r="F662" s="41"/>
      <c r="G662" s="41"/>
      <c r="H662" s="41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</row>
    <row r="663" hidden="1">
      <c r="A663" s="41"/>
      <c r="B663" s="41"/>
      <c r="C663" s="41"/>
      <c r="D663" s="41"/>
      <c r="E663" s="41"/>
      <c r="F663" s="41"/>
      <c r="G663" s="41"/>
      <c r="H663" s="41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</row>
    <row r="664" hidden="1">
      <c r="A664" s="41"/>
      <c r="B664" s="41"/>
      <c r="C664" s="41"/>
      <c r="D664" s="41"/>
      <c r="E664" s="41"/>
      <c r="F664" s="41"/>
      <c r="G664" s="41"/>
      <c r="H664" s="41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</row>
    <row r="665" hidden="1">
      <c r="A665" s="41"/>
      <c r="B665" s="41"/>
      <c r="C665" s="41"/>
      <c r="D665" s="41"/>
      <c r="E665" s="41"/>
      <c r="F665" s="41"/>
      <c r="G665" s="41"/>
      <c r="H665" s="41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</row>
    <row r="666" hidden="1">
      <c r="A666" s="41"/>
      <c r="B666" s="41"/>
      <c r="C666" s="41"/>
      <c r="D666" s="41"/>
      <c r="E666" s="41"/>
      <c r="F666" s="41"/>
      <c r="G666" s="41"/>
      <c r="H666" s="41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</row>
    <row r="667" hidden="1">
      <c r="A667" s="41"/>
      <c r="B667" s="41"/>
      <c r="C667" s="41"/>
      <c r="D667" s="41"/>
      <c r="E667" s="41"/>
      <c r="F667" s="41"/>
      <c r="G667" s="41"/>
      <c r="H667" s="41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</row>
    <row r="668" hidden="1">
      <c r="A668" s="41"/>
      <c r="B668" s="41"/>
      <c r="C668" s="41"/>
      <c r="D668" s="41"/>
      <c r="E668" s="41"/>
      <c r="F668" s="41"/>
      <c r="G668" s="41"/>
      <c r="H668" s="41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</row>
    <row r="669" hidden="1">
      <c r="A669" s="41"/>
      <c r="B669" s="41"/>
      <c r="C669" s="41"/>
      <c r="D669" s="41"/>
      <c r="E669" s="41"/>
      <c r="F669" s="41"/>
      <c r="G669" s="41"/>
      <c r="H669" s="41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</row>
    <row r="670" hidden="1">
      <c r="A670" s="41"/>
      <c r="B670" s="41"/>
      <c r="C670" s="41"/>
      <c r="D670" s="41"/>
      <c r="E670" s="41"/>
      <c r="F670" s="41"/>
      <c r="G670" s="41"/>
      <c r="H670" s="41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</row>
    <row r="671" hidden="1">
      <c r="A671" s="41"/>
      <c r="B671" s="41"/>
      <c r="C671" s="41"/>
      <c r="D671" s="41"/>
      <c r="E671" s="41"/>
      <c r="F671" s="41"/>
      <c r="G671" s="41"/>
      <c r="H671" s="41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</row>
    <row r="672" hidden="1">
      <c r="A672" s="41"/>
      <c r="B672" s="41"/>
      <c r="C672" s="41"/>
      <c r="D672" s="41"/>
      <c r="E672" s="41"/>
      <c r="F672" s="41"/>
      <c r="G672" s="41"/>
      <c r="H672" s="41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</row>
    <row r="673" hidden="1">
      <c r="A673" s="41"/>
      <c r="B673" s="41"/>
      <c r="C673" s="41"/>
      <c r="D673" s="41"/>
      <c r="E673" s="41"/>
      <c r="F673" s="41"/>
      <c r="G673" s="41"/>
      <c r="H673" s="41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</row>
    <row r="674" hidden="1">
      <c r="A674" s="41"/>
      <c r="B674" s="41"/>
      <c r="C674" s="41"/>
      <c r="D674" s="41"/>
      <c r="E674" s="41"/>
      <c r="F674" s="41"/>
      <c r="G674" s="41"/>
      <c r="H674" s="41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</row>
    <row r="675" hidden="1">
      <c r="A675" s="41"/>
      <c r="B675" s="41"/>
      <c r="C675" s="41"/>
      <c r="D675" s="41"/>
      <c r="E675" s="41"/>
      <c r="F675" s="41"/>
      <c r="G675" s="41"/>
      <c r="H675" s="41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</row>
    <row r="676" hidden="1">
      <c r="A676" s="41"/>
      <c r="B676" s="41"/>
      <c r="C676" s="41"/>
      <c r="D676" s="41"/>
      <c r="E676" s="41"/>
      <c r="F676" s="41"/>
      <c r="G676" s="41"/>
      <c r="H676" s="41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</row>
    <row r="677" hidden="1">
      <c r="A677" s="41"/>
      <c r="B677" s="41"/>
      <c r="C677" s="41"/>
      <c r="D677" s="41"/>
      <c r="E677" s="41"/>
      <c r="F677" s="41"/>
      <c r="G677" s="41"/>
      <c r="H677" s="41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</row>
    <row r="678" hidden="1">
      <c r="A678" s="41"/>
      <c r="B678" s="41"/>
      <c r="C678" s="41"/>
      <c r="D678" s="41"/>
      <c r="E678" s="41"/>
      <c r="F678" s="41"/>
      <c r="G678" s="41"/>
      <c r="H678" s="41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</row>
    <row r="679" hidden="1">
      <c r="A679" s="41"/>
      <c r="B679" s="41"/>
      <c r="C679" s="41"/>
      <c r="D679" s="41"/>
      <c r="E679" s="41"/>
      <c r="F679" s="41"/>
      <c r="G679" s="41"/>
      <c r="H679" s="41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</row>
    <row r="680" hidden="1">
      <c r="A680" s="41"/>
      <c r="B680" s="41"/>
      <c r="C680" s="41"/>
      <c r="D680" s="41"/>
      <c r="E680" s="41"/>
      <c r="F680" s="41"/>
      <c r="G680" s="41"/>
      <c r="H680" s="41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</row>
    <row r="681" hidden="1">
      <c r="A681" s="41"/>
      <c r="B681" s="41"/>
      <c r="C681" s="41"/>
      <c r="D681" s="41"/>
      <c r="E681" s="41"/>
      <c r="F681" s="41"/>
      <c r="G681" s="41"/>
      <c r="H681" s="41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</row>
    <row r="682" hidden="1">
      <c r="A682" s="41"/>
      <c r="B682" s="41"/>
      <c r="C682" s="41"/>
      <c r="D682" s="41"/>
      <c r="E682" s="41"/>
      <c r="F682" s="41"/>
      <c r="G682" s="41"/>
      <c r="H682" s="41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</row>
    <row r="683" hidden="1">
      <c r="A683" s="41"/>
      <c r="B683" s="41"/>
      <c r="C683" s="41"/>
      <c r="D683" s="41"/>
      <c r="E683" s="41"/>
      <c r="F683" s="41"/>
      <c r="G683" s="41"/>
      <c r="H683" s="41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</row>
    <row r="684" hidden="1">
      <c r="A684" s="41"/>
      <c r="B684" s="41"/>
      <c r="C684" s="41"/>
      <c r="D684" s="41"/>
      <c r="E684" s="41"/>
      <c r="F684" s="41"/>
      <c r="G684" s="41"/>
      <c r="H684" s="41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</row>
    <row r="685" hidden="1">
      <c r="A685" s="41"/>
      <c r="B685" s="41"/>
      <c r="C685" s="41"/>
      <c r="D685" s="41"/>
      <c r="E685" s="41"/>
      <c r="F685" s="41"/>
      <c r="G685" s="41"/>
      <c r="H685" s="41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</row>
    <row r="686" hidden="1">
      <c r="A686" s="41"/>
      <c r="B686" s="41"/>
      <c r="C686" s="41"/>
      <c r="D686" s="41"/>
      <c r="E686" s="41"/>
      <c r="F686" s="41"/>
      <c r="G686" s="41"/>
      <c r="H686" s="41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</row>
    <row r="687" hidden="1">
      <c r="A687" s="41"/>
      <c r="B687" s="41"/>
      <c r="C687" s="41"/>
      <c r="D687" s="41"/>
      <c r="E687" s="41"/>
      <c r="F687" s="41"/>
      <c r="G687" s="41"/>
      <c r="H687" s="41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</row>
    <row r="688" hidden="1">
      <c r="A688" s="41"/>
      <c r="B688" s="41"/>
      <c r="C688" s="41"/>
      <c r="D688" s="41"/>
      <c r="E688" s="41"/>
      <c r="F688" s="41"/>
      <c r="G688" s="41"/>
      <c r="H688" s="41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</row>
    <row r="689" hidden="1">
      <c r="A689" s="41"/>
      <c r="B689" s="41"/>
      <c r="C689" s="41"/>
      <c r="D689" s="41"/>
      <c r="E689" s="41"/>
      <c r="F689" s="41"/>
      <c r="G689" s="41"/>
      <c r="H689" s="41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</row>
    <row r="690" hidden="1">
      <c r="A690" s="41"/>
      <c r="B690" s="41"/>
      <c r="C690" s="41"/>
      <c r="D690" s="41"/>
      <c r="E690" s="41"/>
      <c r="F690" s="41"/>
      <c r="G690" s="41"/>
      <c r="H690" s="41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</row>
    <row r="691" hidden="1">
      <c r="A691" s="41"/>
      <c r="B691" s="41"/>
      <c r="C691" s="41"/>
      <c r="D691" s="41"/>
      <c r="E691" s="41"/>
      <c r="F691" s="41"/>
      <c r="G691" s="41"/>
      <c r="H691" s="41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</row>
    <row r="692" hidden="1">
      <c r="A692" s="41"/>
      <c r="B692" s="41"/>
      <c r="C692" s="41"/>
      <c r="D692" s="41"/>
      <c r="E692" s="41"/>
      <c r="F692" s="41"/>
      <c r="G692" s="41"/>
      <c r="H692" s="41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</row>
    <row r="693" hidden="1">
      <c r="A693" s="41"/>
      <c r="B693" s="41"/>
      <c r="C693" s="41"/>
      <c r="D693" s="41"/>
      <c r="E693" s="41"/>
      <c r="F693" s="41"/>
      <c r="G693" s="41"/>
      <c r="H693" s="41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</row>
    <row r="694" hidden="1">
      <c r="A694" s="41"/>
      <c r="B694" s="41"/>
      <c r="C694" s="41"/>
      <c r="D694" s="41"/>
      <c r="E694" s="41"/>
      <c r="F694" s="41"/>
      <c r="G694" s="41"/>
      <c r="H694" s="41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</row>
    <row r="695" hidden="1">
      <c r="A695" s="41"/>
      <c r="B695" s="41"/>
      <c r="C695" s="41"/>
      <c r="D695" s="41"/>
      <c r="E695" s="41"/>
      <c r="F695" s="41"/>
      <c r="G695" s="41"/>
      <c r="H695" s="41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</row>
    <row r="696" hidden="1">
      <c r="A696" s="41"/>
      <c r="B696" s="41"/>
      <c r="C696" s="41"/>
      <c r="D696" s="41"/>
      <c r="E696" s="41"/>
      <c r="F696" s="41"/>
      <c r="G696" s="41"/>
      <c r="H696" s="41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</row>
    <row r="697" hidden="1">
      <c r="A697" s="41"/>
      <c r="B697" s="41"/>
      <c r="C697" s="41"/>
      <c r="D697" s="41"/>
      <c r="E697" s="41"/>
      <c r="F697" s="41"/>
      <c r="G697" s="41"/>
      <c r="H697" s="41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</row>
    <row r="698" hidden="1">
      <c r="A698" s="41"/>
      <c r="B698" s="41"/>
      <c r="C698" s="41"/>
      <c r="D698" s="41"/>
      <c r="E698" s="41"/>
      <c r="F698" s="41"/>
      <c r="G698" s="41"/>
      <c r="H698" s="41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</row>
    <row r="699" hidden="1">
      <c r="A699" s="41"/>
      <c r="B699" s="41"/>
      <c r="C699" s="41"/>
      <c r="D699" s="41"/>
      <c r="E699" s="41"/>
      <c r="F699" s="41"/>
      <c r="G699" s="41"/>
      <c r="H699" s="41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</row>
    <row r="700" hidden="1">
      <c r="A700" s="41"/>
      <c r="B700" s="41"/>
      <c r="C700" s="41"/>
      <c r="D700" s="41"/>
      <c r="E700" s="41"/>
      <c r="F700" s="41"/>
      <c r="G700" s="41"/>
      <c r="H700" s="41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</row>
    <row r="701" hidden="1">
      <c r="A701" s="41"/>
      <c r="B701" s="41"/>
      <c r="C701" s="41"/>
      <c r="D701" s="41"/>
      <c r="E701" s="41"/>
      <c r="F701" s="41"/>
      <c r="G701" s="41"/>
      <c r="H701" s="41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</row>
    <row r="702" hidden="1">
      <c r="A702" s="41"/>
      <c r="B702" s="41"/>
      <c r="C702" s="41"/>
      <c r="D702" s="41"/>
      <c r="E702" s="41"/>
      <c r="F702" s="41"/>
      <c r="G702" s="41"/>
      <c r="H702" s="41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</row>
    <row r="703" hidden="1">
      <c r="A703" s="41"/>
      <c r="B703" s="41"/>
      <c r="C703" s="41"/>
      <c r="D703" s="41"/>
      <c r="E703" s="41"/>
      <c r="F703" s="41"/>
      <c r="G703" s="41"/>
      <c r="H703" s="41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</row>
    <row r="704" hidden="1">
      <c r="A704" s="41"/>
      <c r="B704" s="41"/>
      <c r="C704" s="41"/>
      <c r="D704" s="41"/>
      <c r="E704" s="41"/>
      <c r="F704" s="41"/>
      <c r="G704" s="41"/>
      <c r="H704" s="41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</row>
    <row r="705" hidden="1">
      <c r="A705" s="41"/>
      <c r="B705" s="41"/>
      <c r="C705" s="41"/>
      <c r="D705" s="41"/>
      <c r="E705" s="41"/>
      <c r="F705" s="41"/>
      <c r="G705" s="41"/>
      <c r="H705" s="41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</row>
    <row r="706" hidden="1">
      <c r="A706" s="41"/>
      <c r="B706" s="41"/>
      <c r="C706" s="41"/>
      <c r="D706" s="41"/>
      <c r="E706" s="41"/>
      <c r="F706" s="41"/>
      <c r="G706" s="41"/>
      <c r="H706" s="41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</row>
    <row r="707" hidden="1">
      <c r="A707" s="41"/>
      <c r="B707" s="41"/>
      <c r="C707" s="41"/>
      <c r="D707" s="41"/>
      <c r="E707" s="41"/>
      <c r="F707" s="41"/>
      <c r="G707" s="41"/>
      <c r="H707" s="41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</row>
    <row r="708" hidden="1">
      <c r="A708" s="41"/>
      <c r="B708" s="41"/>
      <c r="C708" s="41"/>
      <c r="D708" s="41"/>
      <c r="E708" s="41"/>
      <c r="F708" s="41"/>
      <c r="G708" s="41"/>
      <c r="H708" s="41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</row>
    <row r="709" hidden="1">
      <c r="A709" s="41"/>
      <c r="B709" s="41"/>
      <c r="C709" s="41"/>
      <c r="D709" s="41"/>
      <c r="E709" s="41"/>
      <c r="F709" s="41"/>
      <c r="G709" s="41"/>
      <c r="H709" s="41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</row>
    <row r="710" hidden="1">
      <c r="A710" s="41"/>
      <c r="B710" s="41"/>
      <c r="C710" s="41"/>
      <c r="D710" s="41"/>
      <c r="E710" s="41"/>
      <c r="F710" s="41"/>
      <c r="G710" s="41"/>
      <c r="H710" s="41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</row>
    <row r="711" hidden="1">
      <c r="A711" s="41"/>
      <c r="B711" s="41"/>
      <c r="C711" s="41"/>
      <c r="D711" s="41"/>
      <c r="E711" s="41"/>
      <c r="F711" s="41"/>
      <c r="G711" s="41"/>
      <c r="H711" s="41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</row>
    <row r="712" hidden="1">
      <c r="A712" s="41"/>
      <c r="B712" s="41"/>
      <c r="C712" s="41"/>
      <c r="D712" s="41"/>
      <c r="E712" s="41"/>
      <c r="F712" s="41"/>
      <c r="G712" s="41"/>
      <c r="H712" s="41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</row>
    <row r="713" hidden="1">
      <c r="A713" s="41"/>
      <c r="B713" s="41"/>
      <c r="C713" s="41"/>
      <c r="D713" s="41"/>
      <c r="E713" s="41"/>
      <c r="F713" s="41"/>
      <c r="G713" s="41"/>
      <c r="H713" s="41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</row>
    <row r="714" hidden="1">
      <c r="A714" s="41"/>
      <c r="B714" s="41"/>
      <c r="C714" s="41"/>
      <c r="D714" s="41"/>
      <c r="E714" s="41"/>
      <c r="F714" s="41"/>
      <c r="G714" s="41"/>
      <c r="H714" s="41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</row>
    <row r="715" hidden="1">
      <c r="A715" s="41"/>
      <c r="B715" s="41"/>
      <c r="C715" s="41"/>
      <c r="D715" s="41"/>
      <c r="E715" s="41"/>
      <c r="F715" s="41"/>
      <c r="G715" s="41"/>
      <c r="H715" s="41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</row>
    <row r="716" hidden="1">
      <c r="A716" s="41"/>
      <c r="B716" s="41"/>
      <c r="C716" s="41"/>
      <c r="D716" s="41"/>
      <c r="E716" s="41"/>
      <c r="F716" s="41"/>
      <c r="G716" s="41"/>
      <c r="H716" s="41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</row>
    <row r="717" hidden="1">
      <c r="A717" s="41"/>
      <c r="B717" s="41"/>
      <c r="C717" s="41"/>
      <c r="D717" s="41"/>
      <c r="E717" s="41"/>
      <c r="F717" s="41"/>
      <c r="G717" s="41"/>
      <c r="H717" s="41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</row>
    <row r="718" hidden="1">
      <c r="A718" s="41"/>
      <c r="B718" s="41"/>
      <c r="C718" s="41"/>
      <c r="D718" s="41"/>
      <c r="E718" s="41"/>
      <c r="F718" s="41"/>
      <c r="G718" s="41"/>
      <c r="H718" s="41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</row>
    <row r="719" hidden="1">
      <c r="A719" s="41"/>
      <c r="B719" s="41"/>
      <c r="C719" s="41"/>
      <c r="D719" s="41"/>
      <c r="E719" s="41"/>
      <c r="F719" s="41"/>
      <c r="G719" s="41"/>
      <c r="H719" s="41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</row>
    <row r="720" hidden="1">
      <c r="A720" s="41"/>
      <c r="B720" s="41"/>
      <c r="C720" s="41"/>
      <c r="D720" s="41"/>
      <c r="E720" s="41"/>
      <c r="F720" s="41"/>
      <c r="G720" s="41"/>
      <c r="H720" s="41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</row>
    <row r="721" hidden="1">
      <c r="A721" s="41"/>
      <c r="B721" s="41"/>
      <c r="C721" s="41"/>
      <c r="D721" s="41"/>
      <c r="E721" s="41"/>
      <c r="F721" s="41"/>
      <c r="G721" s="41"/>
      <c r="H721" s="41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</row>
    <row r="722" hidden="1">
      <c r="A722" s="41"/>
      <c r="B722" s="41"/>
      <c r="C722" s="41"/>
      <c r="D722" s="41"/>
      <c r="E722" s="41"/>
      <c r="F722" s="41"/>
      <c r="G722" s="41"/>
      <c r="H722" s="41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</row>
    <row r="723" hidden="1">
      <c r="A723" s="41"/>
      <c r="B723" s="41"/>
      <c r="C723" s="41"/>
      <c r="D723" s="41"/>
      <c r="E723" s="41"/>
      <c r="F723" s="41"/>
      <c r="G723" s="41"/>
      <c r="H723" s="41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</row>
    <row r="724" hidden="1">
      <c r="A724" s="41"/>
      <c r="B724" s="41"/>
      <c r="C724" s="41"/>
      <c r="D724" s="41"/>
      <c r="E724" s="41"/>
      <c r="F724" s="41"/>
      <c r="G724" s="41"/>
      <c r="H724" s="41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</row>
    <row r="725" hidden="1">
      <c r="A725" s="41"/>
      <c r="B725" s="41"/>
      <c r="C725" s="41"/>
      <c r="D725" s="41"/>
      <c r="E725" s="41"/>
      <c r="F725" s="41"/>
      <c r="G725" s="41"/>
      <c r="H725" s="41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</row>
    <row r="726" hidden="1">
      <c r="A726" s="41"/>
      <c r="B726" s="41"/>
      <c r="C726" s="41"/>
      <c r="D726" s="41"/>
      <c r="E726" s="41"/>
      <c r="F726" s="41"/>
      <c r="G726" s="41"/>
      <c r="H726" s="41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</row>
    <row r="727" hidden="1">
      <c r="A727" s="41"/>
      <c r="B727" s="41"/>
      <c r="C727" s="41"/>
      <c r="D727" s="41"/>
      <c r="E727" s="41"/>
      <c r="F727" s="41"/>
      <c r="G727" s="41"/>
      <c r="H727" s="41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</row>
    <row r="728" hidden="1">
      <c r="A728" s="41"/>
      <c r="B728" s="41"/>
      <c r="C728" s="41"/>
      <c r="D728" s="41"/>
      <c r="E728" s="41"/>
      <c r="F728" s="41"/>
      <c r="G728" s="41"/>
      <c r="H728" s="41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</row>
    <row r="729" hidden="1">
      <c r="A729" s="41"/>
      <c r="B729" s="41"/>
      <c r="C729" s="41"/>
      <c r="D729" s="41"/>
      <c r="E729" s="41"/>
      <c r="F729" s="41"/>
      <c r="G729" s="41"/>
      <c r="H729" s="41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</row>
    <row r="730" hidden="1">
      <c r="A730" s="41"/>
      <c r="B730" s="41"/>
      <c r="C730" s="41"/>
      <c r="D730" s="41"/>
      <c r="E730" s="41"/>
      <c r="F730" s="41"/>
      <c r="G730" s="41"/>
      <c r="H730" s="41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</row>
    <row r="731" hidden="1">
      <c r="A731" s="41"/>
      <c r="B731" s="41"/>
      <c r="C731" s="41"/>
      <c r="D731" s="41"/>
      <c r="E731" s="41"/>
      <c r="F731" s="41"/>
      <c r="G731" s="41"/>
      <c r="H731" s="41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</row>
    <row r="732" hidden="1">
      <c r="A732" s="41"/>
      <c r="B732" s="41"/>
      <c r="C732" s="41"/>
      <c r="D732" s="41"/>
      <c r="E732" s="41"/>
      <c r="F732" s="41"/>
      <c r="G732" s="41"/>
      <c r="H732" s="41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</row>
    <row r="733" hidden="1">
      <c r="A733" s="41"/>
      <c r="B733" s="41"/>
      <c r="C733" s="41"/>
      <c r="D733" s="41"/>
      <c r="E733" s="41"/>
      <c r="F733" s="41"/>
      <c r="G733" s="41"/>
      <c r="H733" s="41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</row>
    <row r="734" hidden="1">
      <c r="A734" s="41"/>
      <c r="B734" s="41"/>
      <c r="C734" s="41"/>
      <c r="D734" s="41"/>
      <c r="E734" s="41"/>
      <c r="F734" s="41"/>
      <c r="G734" s="41"/>
      <c r="H734" s="41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</row>
    <row r="735" hidden="1">
      <c r="A735" s="41"/>
      <c r="B735" s="41"/>
      <c r="C735" s="41"/>
      <c r="D735" s="41"/>
      <c r="E735" s="41"/>
      <c r="F735" s="41"/>
      <c r="G735" s="41"/>
      <c r="H735" s="41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</row>
    <row r="736" hidden="1">
      <c r="A736" s="41"/>
      <c r="B736" s="41"/>
      <c r="C736" s="41"/>
      <c r="D736" s="41"/>
      <c r="E736" s="41"/>
      <c r="F736" s="41"/>
      <c r="G736" s="41"/>
      <c r="H736" s="41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</row>
    <row r="737" hidden="1">
      <c r="A737" s="41"/>
      <c r="B737" s="41"/>
      <c r="C737" s="41"/>
      <c r="D737" s="41"/>
      <c r="E737" s="41"/>
      <c r="F737" s="41"/>
      <c r="G737" s="41"/>
      <c r="H737" s="41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</row>
    <row r="738" hidden="1">
      <c r="A738" s="41"/>
      <c r="B738" s="41"/>
      <c r="C738" s="41"/>
      <c r="D738" s="41"/>
      <c r="E738" s="41"/>
      <c r="F738" s="41"/>
      <c r="G738" s="41"/>
      <c r="H738" s="41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</row>
    <row r="739" hidden="1">
      <c r="A739" s="41"/>
      <c r="B739" s="41"/>
      <c r="C739" s="41"/>
      <c r="D739" s="41"/>
      <c r="E739" s="41"/>
      <c r="F739" s="41"/>
      <c r="G739" s="41"/>
      <c r="H739" s="41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</row>
    <row r="740" hidden="1">
      <c r="A740" s="41"/>
      <c r="B740" s="41"/>
      <c r="C740" s="41"/>
      <c r="D740" s="41"/>
      <c r="E740" s="41"/>
      <c r="F740" s="41"/>
      <c r="G740" s="41"/>
      <c r="H740" s="41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</row>
    <row r="741" hidden="1">
      <c r="A741" s="41"/>
      <c r="B741" s="41"/>
      <c r="C741" s="41"/>
      <c r="D741" s="41"/>
      <c r="E741" s="41"/>
      <c r="F741" s="41"/>
      <c r="G741" s="41"/>
      <c r="H741" s="41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</row>
    <row r="742" hidden="1">
      <c r="A742" s="41"/>
      <c r="B742" s="41"/>
      <c r="C742" s="41"/>
      <c r="D742" s="41"/>
      <c r="E742" s="41"/>
      <c r="F742" s="41"/>
      <c r="G742" s="41"/>
      <c r="H742" s="41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</row>
    <row r="743" hidden="1">
      <c r="A743" s="41"/>
      <c r="B743" s="41"/>
      <c r="C743" s="41"/>
      <c r="D743" s="41"/>
      <c r="E743" s="41"/>
      <c r="F743" s="41"/>
      <c r="G743" s="41"/>
      <c r="H743" s="41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</row>
    <row r="744" hidden="1">
      <c r="A744" s="41"/>
      <c r="B744" s="41"/>
      <c r="C744" s="41"/>
      <c r="D744" s="41"/>
      <c r="E744" s="41"/>
      <c r="F744" s="41"/>
      <c r="G744" s="41"/>
      <c r="H744" s="41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</row>
    <row r="745" hidden="1">
      <c r="A745" s="41"/>
      <c r="B745" s="41"/>
      <c r="C745" s="41"/>
      <c r="D745" s="41"/>
      <c r="E745" s="41"/>
      <c r="F745" s="41"/>
      <c r="G745" s="41"/>
      <c r="H745" s="41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</row>
    <row r="746" hidden="1">
      <c r="A746" s="41"/>
      <c r="B746" s="41"/>
      <c r="C746" s="41"/>
      <c r="D746" s="41"/>
      <c r="E746" s="41"/>
      <c r="F746" s="41"/>
      <c r="G746" s="41"/>
      <c r="H746" s="41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</row>
    <row r="747" hidden="1">
      <c r="A747" s="41"/>
      <c r="B747" s="41"/>
      <c r="C747" s="41"/>
      <c r="D747" s="41"/>
      <c r="E747" s="41"/>
      <c r="F747" s="41"/>
      <c r="G747" s="41"/>
      <c r="H747" s="41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</row>
    <row r="748" hidden="1">
      <c r="A748" s="41"/>
      <c r="B748" s="41"/>
      <c r="C748" s="41"/>
      <c r="D748" s="41"/>
      <c r="E748" s="41"/>
      <c r="F748" s="41"/>
      <c r="G748" s="41"/>
      <c r="H748" s="41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</row>
    <row r="749" hidden="1">
      <c r="A749" s="41"/>
      <c r="B749" s="41"/>
      <c r="C749" s="41"/>
      <c r="D749" s="41"/>
      <c r="E749" s="41"/>
      <c r="F749" s="41"/>
      <c r="G749" s="41"/>
      <c r="H749" s="41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</row>
    <row r="750" hidden="1">
      <c r="A750" s="41"/>
      <c r="B750" s="41"/>
      <c r="C750" s="41"/>
      <c r="D750" s="41"/>
      <c r="E750" s="41"/>
      <c r="F750" s="41"/>
      <c r="G750" s="41"/>
      <c r="H750" s="41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</row>
    <row r="751" hidden="1">
      <c r="A751" s="41"/>
      <c r="B751" s="41"/>
      <c r="C751" s="41"/>
      <c r="D751" s="41"/>
      <c r="E751" s="41"/>
      <c r="F751" s="41"/>
      <c r="G751" s="41"/>
      <c r="H751" s="41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</row>
    <row r="752" hidden="1">
      <c r="A752" s="41"/>
      <c r="B752" s="41"/>
      <c r="C752" s="41"/>
      <c r="D752" s="41"/>
      <c r="E752" s="41"/>
      <c r="F752" s="41"/>
      <c r="G752" s="41"/>
      <c r="H752" s="41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</row>
    <row r="753" hidden="1">
      <c r="A753" s="41"/>
      <c r="B753" s="41"/>
      <c r="C753" s="41"/>
      <c r="D753" s="41"/>
      <c r="E753" s="41"/>
      <c r="F753" s="41"/>
      <c r="G753" s="41"/>
      <c r="H753" s="41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</row>
    <row r="754" hidden="1">
      <c r="A754" s="41"/>
      <c r="B754" s="41"/>
      <c r="C754" s="41"/>
      <c r="D754" s="41"/>
      <c r="E754" s="41"/>
      <c r="F754" s="41"/>
      <c r="G754" s="41"/>
      <c r="H754" s="41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</row>
    <row r="755" hidden="1">
      <c r="A755" s="41"/>
      <c r="B755" s="41"/>
      <c r="C755" s="41"/>
      <c r="D755" s="41"/>
      <c r="E755" s="41"/>
      <c r="F755" s="41"/>
      <c r="G755" s="41"/>
      <c r="H755" s="41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</row>
    <row r="756" hidden="1">
      <c r="A756" s="41"/>
      <c r="B756" s="41"/>
      <c r="C756" s="41"/>
      <c r="D756" s="41"/>
      <c r="E756" s="41"/>
      <c r="F756" s="41"/>
      <c r="G756" s="41"/>
      <c r="H756" s="41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</row>
    <row r="757" hidden="1">
      <c r="A757" s="41"/>
      <c r="B757" s="41"/>
      <c r="C757" s="41"/>
      <c r="D757" s="41"/>
      <c r="E757" s="41"/>
      <c r="F757" s="41"/>
      <c r="G757" s="41"/>
      <c r="H757" s="41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</row>
    <row r="758" hidden="1">
      <c r="A758" s="41"/>
      <c r="B758" s="41"/>
      <c r="C758" s="41"/>
      <c r="D758" s="41"/>
      <c r="E758" s="41"/>
      <c r="F758" s="41"/>
      <c r="G758" s="41"/>
      <c r="H758" s="41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</row>
    <row r="759" hidden="1">
      <c r="A759" s="41"/>
      <c r="B759" s="41"/>
      <c r="C759" s="41"/>
      <c r="D759" s="41"/>
      <c r="E759" s="41"/>
      <c r="F759" s="41"/>
      <c r="G759" s="41"/>
      <c r="H759" s="41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</row>
    <row r="760" hidden="1">
      <c r="A760" s="41"/>
      <c r="B760" s="41"/>
      <c r="C760" s="41"/>
      <c r="D760" s="41"/>
      <c r="E760" s="41"/>
      <c r="F760" s="41"/>
      <c r="G760" s="41"/>
      <c r="H760" s="41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</row>
    <row r="761" hidden="1">
      <c r="A761" s="41"/>
      <c r="B761" s="41"/>
      <c r="C761" s="41"/>
      <c r="D761" s="41"/>
      <c r="E761" s="41"/>
      <c r="F761" s="41"/>
      <c r="G761" s="41"/>
      <c r="H761" s="41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</row>
    <row r="762" hidden="1">
      <c r="A762" s="41"/>
      <c r="B762" s="41"/>
      <c r="C762" s="41"/>
      <c r="D762" s="41"/>
      <c r="E762" s="41"/>
      <c r="F762" s="41"/>
      <c r="G762" s="41"/>
      <c r="H762" s="41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</row>
    <row r="763" hidden="1">
      <c r="A763" s="41"/>
      <c r="B763" s="41"/>
      <c r="C763" s="41"/>
      <c r="D763" s="41"/>
      <c r="E763" s="41"/>
      <c r="F763" s="41"/>
      <c r="G763" s="41"/>
      <c r="H763" s="41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</row>
    <row r="764" hidden="1">
      <c r="A764" s="41"/>
      <c r="B764" s="41"/>
      <c r="C764" s="41"/>
      <c r="D764" s="41"/>
      <c r="E764" s="41"/>
      <c r="F764" s="41"/>
      <c r="G764" s="41"/>
      <c r="H764" s="41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</row>
    <row r="765" hidden="1">
      <c r="A765" s="41"/>
      <c r="B765" s="41"/>
      <c r="C765" s="41"/>
      <c r="D765" s="41"/>
      <c r="E765" s="41"/>
      <c r="F765" s="41"/>
      <c r="G765" s="41"/>
      <c r="H765" s="41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</row>
    <row r="766" hidden="1">
      <c r="A766" s="41"/>
      <c r="B766" s="41"/>
      <c r="C766" s="41"/>
      <c r="D766" s="41"/>
      <c r="E766" s="41"/>
      <c r="F766" s="41"/>
      <c r="G766" s="41"/>
      <c r="H766" s="41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</row>
    <row r="767" hidden="1">
      <c r="A767" s="41"/>
      <c r="B767" s="41"/>
      <c r="C767" s="41"/>
      <c r="D767" s="41"/>
      <c r="E767" s="41"/>
      <c r="F767" s="41"/>
      <c r="G767" s="41"/>
      <c r="H767" s="41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</row>
    <row r="768" hidden="1">
      <c r="A768" s="41"/>
      <c r="B768" s="41"/>
      <c r="C768" s="41"/>
      <c r="D768" s="41"/>
      <c r="E768" s="41"/>
      <c r="F768" s="41"/>
      <c r="G768" s="41"/>
      <c r="H768" s="41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</row>
    <row r="769" hidden="1">
      <c r="A769" s="41"/>
      <c r="B769" s="41"/>
      <c r="C769" s="41"/>
      <c r="D769" s="41"/>
      <c r="E769" s="41"/>
      <c r="F769" s="41"/>
      <c r="G769" s="41"/>
      <c r="H769" s="41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</row>
    <row r="770" hidden="1">
      <c r="A770" s="41"/>
      <c r="B770" s="41"/>
      <c r="C770" s="41"/>
      <c r="D770" s="41"/>
      <c r="E770" s="41"/>
      <c r="F770" s="41"/>
      <c r="G770" s="41"/>
      <c r="H770" s="41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</row>
    <row r="771" hidden="1">
      <c r="A771" s="41"/>
      <c r="B771" s="41"/>
      <c r="C771" s="41"/>
      <c r="D771" s="41"/>
      <c r="E771" s="41"/>
      <c r="F771" s="41"/>
      <c r="G771" s="41"/>
      <c r="H771" s="41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</row>
    <row r="772" hidden="1">
      <c r="A772" s="41"/>
      <c r="B772" s="41"/>
      <c r="C772" s="41"/>
      <c r="D772" s="41"/>
      <c r="E772" s="41"/>
      <c r="F772" s="41"/>
      <c r="G772" s="41"/>
      <c r="H772" s="41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</row>
    <row r="773" hidden="1">
      <c r="A773" s="41"/>
      <c r="B773" s="41"/>
      <c r="C773" s="41"/>
      <c r="D773" s="41"/>
      <c r="E773" s="41"/>
      <c r="F773" s="41"/>
      <c r="G773" s="41"/>
      <c r="H773" s="41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</row>
    <row r="774" hidden="1">
      <c r="A774" s="41"/>
      <c r="B774" s="41"/>
      <c r="C774" s="41"/>
      <c r="D774" s="41"/>
      <c r="E774" s="41"/>
      <c r="F774" s="41"/>
      <c r="G774" s="41"/>
      <c r="H774" s="41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</row>
    <row r="775" hidden="1">
      <c r="A775" s="41"/>
      <c r="B775" s="41"/>
      <c r="C775" s="41"/>
      <c r="D775" s="41"/>
      <c r="E775" s="41"/>
      <c r="F775" s="41"/>
      <c r="G775" s="41"/>
      <c r="H775" s="41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</row>
    <row r="776" hidden="1">
      <c r="A776" s="41"/>
      <c r="B776" s="41"/>
      <c r="C776" s="41"/>
      <c r="D776" s="41"/>
      <c r="E776" s="41"/>
      <c r="F776" s="41"/>
      <c r="G776" s="41"/>
      <c r="H776" s="41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</row>
    <row r="777" hidden="1">
      <c r="A777" s="41"/>
      <c r="B777" s="41"/>
      <c r="C777" s="41"/>
      <c r="D777" s="41"/>
      <c r="E777" s="41"/>
      <c r="F777" s="41"/>
      <c r="G777" s="41"/>
      <c r="H777" s="41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</row>
    <row r="778" hidden="1">
      <c r="A778" s="41"/>
      <c r="B778" s="41"/>
      <c r="C778" s="41"/>
      <c r="D778" s="41"/>
      <c r="E778" s="41"/>
      <c r="F778" s="41"/>
      <c r="G778" s="41"/>
      <c r="H778" s="41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</row>
    <row r="779" hidden="1">
      <c r="A779" s="41"/>
      <c r="B779" s="41"/>
      <c r="C779" s="41"/>
      <c r="D779" s="41"/>
      <c r="E779" s="41"/>
      <c r="F779" s="41"/>
      <c r="G779" s="41"/>
      <c r="H779" s="41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</row>
    <row r="780" hidden="1">
      <c r="A780" s="41"/>
      <c r="B780" s="41"/>
      <c r="C780" s="41"/>
      <c r="D780" s="41"/>
      <c r="E780" s="41"/>
      <c r="F780" s="41"/>
      <c r="G780" s="41"/>
      <c r="H780" s="41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</row>
    <row r="781" hidden="1">
      <c r="A781" s="41"/>
      <c r="B781" s="41"/>
      <c r="C781" s="41"/>
      <c r="D781" s="41"/>
      <c r="E781" s="41"/>
      <c r="F781" s="41"/>
      <c r="G781" s="41"/>
      <c r="H781" s="41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</row>
    <row r="782" hidden="1">
      <c r="A782" s="41"/>
      <c r="B782" s="41"/>
      <c r="C782" s="41"/>
      <c r="D782" s="41"/>
      <c r="E782" s="41"/>
      <c r="F782" s="41"/>
      <c r="G782" s="41"/>
      <c r="H782" s="41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</row>
    <row r="783" hidden="1">
      <c r="A783" s="41"/>
      <c r="B783" s="41"/>
      <c r="C783" s="41"/>
      <c r="D783" s="41"/>
      <c r="E783" s="41"/>
      <c r="F783" s="41"/>
      <c r="G783" s="41"/>
      <c r="H783" s="41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</row>
    <row r="784" hidden="1">
      <c r="A784" s="41"/>
      <c r="B784" s="41"/>
      <c r="C784" s="41"/>
      <c r="D784" s="41"/>
      <c r="E784" s="41"/>
      <c r="F784" s="41"/>
      <c r="G784" s="41"/>
      <c r="H784" s="41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</row>
    <row r="785" hidden="1">
      <c r="A785" s="41"/>
      <c r="B785" s="41"/>
      <c r="C785" s="41"/>
      <c r="D785" s="41"/>
      <c r="E785" s="41"/>
      <c r="F785" s="41"/>
      <c r="G785" s="41"/>
      <c r="H785" s="41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</row>
    <row r="786" hidden="1">
      <c r="A786" s="41"/>
      <c r="B786" s="41"/>
      <c r="C786" s="41"/>
      <c r="D786" s="41"/>
      <c r="E786" s="41"/>
      <c r="F786" s="41"/>
      <c r="G786" s="41"/>
      <c r="H786" s="41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</row>
    <row r="787" hidden="1">
      <c r="A787" s="41"/>
      <c r="B787" s="41"/>
      <c r="C787" s="41"/>
      <c r="D787" s="41"/>
      <c r="E787" s="41"/>
      <c r="F787" s="41"/>
      <c r="G787" s="41"/>
      <c r="H787" s="41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</row>
    <row r="788" hidden="1">
      <c r="A788" s="41"/>
      <c r="B788" s="41"/>
      <c r="C788" s="41"/>
      <c r="D788" s="41"/>
      <c r="E788" s="41"/>
      <c r="F788" s="41"/>
      <c r="G788" s="41"/>
      <c r="H788" s="41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</row>
    <row r="789" hidden="1">
      <c r="A789" s="41"/>
      <c r="B789" s="41"/>
      <c r="C789" s="41"/>
      <c r="D789" s="41"/>
      <c r="E789" s="41"/>
      <c r="F789" s="41"/>
      <c r="G789" s="41"/>
      <c r="H789" s="41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</row>
    <row r="790" hidden="1">
      <c r="A790" s="41"/>
      <c r="B790" s="41"/>
      <c r="C790" s="41"/>
      <c r="D790" s="41"/>
      <c r="E790" s="41"/>
      <c r="F790" s="41"/>
      <c r="G790" s="41"/>
      <c r="H790" s="41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</row>
    <row r="791" hidden="1">
      <c r="A791" s="41"/>
      <c r="B791" s="41"/>
      <c r="C791" s="41"/>
      <c r="D791" s="41"/>
      <c r="E791" s="41"/>
      <c r="F791" s="41"/>
      <c r="G791" s="41"/>
      <c r="H791" s="41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</row>
    <row r="792" hidden="1">
      <c r="A792" s="41"/>
      <c r="B792" s="41"/>
      <c r="C792" s="41"/>
      <c r="D792" s="41"/>
      <c r="E792" s="41"/>
      <c r="F792" s="41"/>
      <c r="G792" s="41"/>
      <c r="H792" s="41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</row>
    <row r="793" hidden="1">
      <c r="A793" s="41"/>
      <c r="B793" s="41"/>
      <c r="C793" s="41"/>
      <c r="D793" s="41"/>
      <c r="E793" s="41"/>
      <c r="F793" s="41"/>
      <c r="G793" s="41"/>
      <c r="H793" s="41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</row>
    <row r="794" hidden="1">
      <c r="A794" s="41"/>
      <c r="B794" s="41"/>
      <c r="C794" s="41"/>
      <c r="D794" s="41"/>
      <c r="E794" s="41"/>
      <c r="F794" s="41"/>
      <c r="G794" s="41"/>
      <c r="H794" s="41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</row>
    <row r="795" hidden="1">
      <c r="A795" s="41"/>
      <c r="B795" s="41"/>
      <c r="C795" s="41"/>
      <c r="D795" s="41"/>
      <c r="E795" s="41"/>
      <c r="F795" s="41"/>
      <c r="G795" s="41"/>
      <c r="H795" s="41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</row>
    <row r="796" hidden="1">
      <c r="A796" s="41"/>
      <c r="B796" s="41"/>
      <c r="C796" s="41"/>
      <c r="D796" s="41"/>
      <c r="E796" s="41"/>
      <c r="F796" s="41"/>
      <c r="G796" s="41"/>
      <c r="H796" s="41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</row>
    <row r="797" hidden="1">
      <c r="A797" s="41"/>
      <c r="B797" s="41"/>
      <c r="C797" s="41"/>
      <c r="D797" s="41"/>
      <c r="E797" s="41"/>
      <c r="F797" s="41"/>
      <c r="G797" s="41"/>
      <c r="H797" s="41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</row>
    <row r="798" hidden="1">
      <c r="A798" s="41"/>
      <c r="B798" s="41"/>
      <c r="C798" s="41"/>
      <c r="D798" s="41"/>
      <c r="E798" s="41"/>
      <c r="F798" s="41"/>
      <c r="G798" s="41"/>
      <c r="H798" s="41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</row>
    <row r="799" hidden="1">
      <c r="A799" s="41"/>
      <c r="B799" s="41"/>
      <c r="C799" s="41"/>
      <c r="D799" s="41"/>
      <c r="E799" s="41"/>
      <c r="F799" s="41"/>
      <c r="G799" s="41"/>
      <c r="H799" s="41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</row>
    <row r="800" hidden="1">
      <c r="A800" s="41"/>
      <c r="B800" s="41"/>
      <c r="C800" s="41"/>
      <c r="D800" s="41"/>
      <c r="E800" s="41"/>
      <c r="F800" s="41"/>
      <c r="G800" s="41"/>
      <c r="H800" s="41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</row>
    <row r="801" hidden="1">
      <c r="A801" s="41"/>
      <c r="B801" s="41"/>
      <c r="C801" s="41"/>
      <c r="D801" s="41"/>
      <c r="E801" s="41"/>
      <c r="F801" s="41"/>
      <c r="G801" s="41"/>
      <c r="H801" s="41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</row>
    <row r="802" hidden="1">
      <c r="A802" s="41"/>
      <c r="B802" s="41"/>
      <c r="C802" s="41"/>
      <c r="D802" s="41"/>
      <c r="E802" s="41"/>
      <c r="F802" s="41"/>
      <c r="G802" s="41"/>
      <c r="H802" s="41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</row>
    <row r="803" hidden="1">
      <c r="A803" s="41"/>
      <c r="B803" s="41"/>
      <c r="C803" s="41"/>
      <c r="D803" s="41"/>
      <c r="E803" s="41"/>
      <c r="F803" s="41"/>
      <c r="G803" s="41"/>
      <c r="H803" s="41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</row>
    <row r="804" hidden="1">
      <c r="A804" s="41"/>
      <c r="B804" s="41"/>
      <c r="C804" s="41"/>
      <c r="D804" s="41"/>
      <c r="E804" s="41"/>
      <c r="F804" s="41"/>
      <c r="G804" s="41"/>
      <c r="H804" s="41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</row>
    <row r="805" hidden="1">
      <c r="A805" s="41"/>
      <c r="B805" s="41"/>
      <c r="C805" s="41"/>
      <c r="D805" s="41"/>
      <c r="E805" s="41"/>
      <c r="F805" s="41"/>
      <c r="G805" s="41"/>
      <c r="H805" s="41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</row>
    <row r="806" hidden="1">
      <c r="A806" s="41"/>
      <c r="B806" s="41"/>
      <c r="C806" s="41"/>
      <c r="D806" s="41"/>
      <c r="E806" s="41"/>
      <c r="F806" s="41"/>
      <c r="G806" s="41"/>
      <c r="H806" s="41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</row>
    <row r="807" hidden="1">
      <c r="A807" s="41"/>
      <c r="B807" s="41"/>
      <c r="C807" s="41"/>
      <c r="D807" s="41"/>
      <c r="E807" s="41"/>
      <c r="F807" s="41"/>
      <c r="G807" s="41"/>
      <c r="H807" s="41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</row>
    <row r="808" hidden="1">
      <c r="A808" s="41"/>
      <c r="B808" s="41"/>
      <c r="C808" s="41"/>
      <c r="D808" s="41"/>
      <c r="E808" s="41"/>
      <c r="F808" s="41"/>
      <c r="G808" s="41"/>
      <c r="H808" s="41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</row>
    <row r="809" hidden="1">
      <c r="A809" s="41"/>
      <c r="B809" s="41"/>
      <c r="C809" s="41"/>
      <c r="D809" s="41"/>
      <c r="E809" s="41"/>
      <c r="F809" s="41"/>
      <c r="G809" s="41"/>
      <c r="H809" s="41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</row>
    <row r="810" hidden="1">
      <c r="A810" s="41"/>
      <c r="B810" s="41"/>
      <c r="C810" s="41"/>
      <c r="D810" s="41"/>
      <c r="E810" s="41"/>
      <c r="F810" s="41"/>
      <c r="G810" s="41"/>
      <c r="H810" s="41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</row>
    <row r="811" hidden="1">
      <c r="A811" s="41"/>
      <c r="B811" s="41"/>
      <c r="C811" s="41"/>
      <c r="D811" s="41"/>
      <c r="E811" s="41"/>
      <c r="F811" s="41"/>
      <c r="G811" s="41"/>
      <c r="H811" s="41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</row>
    <row r="812" hidden="1">
      <c r="A812" s="41"/>
      <c r="B812" s="41"/>
      <c r="C812" s="41"/>
      <c r="D812" s="41"/>
      <c r="E812" s="41"/>
      <c r="F812" s="41"/>
      <c r="G812" s="41"/>
      <c r="H812" s="41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</row>
    <row r="813" hidden="1">
      <c r="A813" s="41"/>
      <c r="B813" s="41"/>
      <c r="C813" s="41"/>
      <c r="D813" s="41"/>
      <c r="E813" s="41"/>
      <c r="F813" s="41"/>
      <c r="G813" s="41"/>
      <c r="H813" s="41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</row>
    <row r="814" hidden="1">
      <c r="A814" s="41"/>
      <c r="B814" s="41"/>
      <c r="C814" s="41"/>
      <c r="D814" s="41"/>
      <c r="E814" s="41"/>
      <c r="F814" s="41"/>
      <c r="G814" s="41"/>
      <c r="H814" s="41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</row>
    <row r="815" hidden="1">
      <c r="A815" s="41"/>
      <c r="B815" s="41"/>
      <c r="C815" s="41"/>
      <c r="D815" s="41"/>
      <c r="E815" s="41"/>
      <c r="F815" s="41"/>
      <c r="G815" s="41"/>
      <c r="H815" s="41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</row>
    <row r="816" hidden="1">
      <c r="A816" s="41"/>
      <c r="B816" s="41"/>
      <c r="C816" s="41"/>
      <c r="D816" s="41"/>
      <c r="E816" s="41"/>
      <c r="F816" s="41"/>
      <c r="G816" s="41"/>
      <c r="H816" s="41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</row>
    <row r="817" hidden="1">
      <c r="A817" s="41"/>
      <c r="B817" s="41"/>
      <c r="C817" s="41"/>
      <c r="D817" s="41"/>
      <c r="E817" s="41"/>
      <c r="F817" s="41"/>
      <c r="G817" s="41"/>
      <c r="H817" s="41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</row>
    <row r="818" hidden="1">
      <c r="A818" s="41"/>
      <c r="B818" s="41"/>
      <c r="C818" s="41"/>
      <c r="D818" s="41"/>
      <c r="E818" s="41"/>
      <c r="F818" s="41"/>
      <c r="G818" s="41"/>
      <c r="H818" s="41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</row>
    <row r="819" hidden="1">
      <c r="A819" s="41"/>
      <c r="B819" s="41"/>
      <c r="C819" s="41"/>
      <c r="D819" s="41"/>
      <c r="E819" s="41"/>
      <c r="F819" s="41"/>
      <c r="G819" s="41"/>
      <c r="H819" s="41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</row>
    <row r="820" hidden="1">
      <c r="A820" s="41"/>
      <c r="B820" s="41"/>
      <c r="C820" s="41"/>
      <c r="D820" s="41"/>
      <c r="E820" s="41"/>
      <c r="F820" s="41"/>
      <c r="G820" s="41"/>
      <c r="H820" s="41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</row>
    <row r="821" hidden="1">
      <c r="A821" s="41"/>
      <c r="B821" s="41"/>
      <c r="C821" s="41"/>
      <c r="D821" s="41"/>
      <c r="E821" s="41"/>
      <c r="F821" s="41"/>
      <c r="G821" s="41"/>
      <c r="H821" s="41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</row>
    <row r="822" hidden="1">
      <c r="A822" s="41"/>
      <c r="B822" s="41"/>
      <c r="C822" s="41"/>
      <c r="D822" s="41"/>
      <c r="E822" s="41"/>
      <c r="F822" s="41"/>
      <c r="G822" s="41"/>
      <c r="H822" s="41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</row>
    <row r="823" hidden="1">
      <c r="A823" s="41"/>
      <c r="B823" s="41"/>
      <c r="C823" s="41"/>
      <c r="D823" s="41"/>
      <c r="E823" s="41"/>
      <c r="F823" s="41"/>
      <c r="G823" s="41"/>
      <c r="H823" s="41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</row>
    <row r="824" hidden="1">
      <c r="A824" s="41"/>
      <c r="B824" s="41"/>
      <c r="C824" s="41"/>
      <c r="D824" s="41"/>
      <c r="E824" s="41"/>
      <c r="F824" s="41"/>
      <c r="G824" s="41"/>
      <c r="H824" s="41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</row>
    <row r="825" hidden="1">
      <c r="A825" s="41"/>
      <c r="B825" s="41"/>
      <c r="C825" s="41"/>
      <c r="D825" s="41"/>
      <c r="E825" s="41"/>
      <c r="F825" s="41"/>
      <c r="G825" s="41"/>
      <c r="H825" s="41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</row>
    <row r="826" hidden="1">
      <c r="A826" s="41"/>
      <c r="B826" s="41"/>
      <c r="C826" s="41"/>
      <c r="D826" s="41"/>
      <c r="E826" s="41"/>
      <c r="F826" s="41"/>
      <c r="G826" s="41"/>
      <c r="H826" s="41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</row>
    <row r="827" hidden="1">
      <c r="A827" s="41"/>
      <c r="B827" s="41"/>
      <c r="C827" s="41"/>
      <c r="D827" s="41"/>
      <c r="E827" s="41"/>
      <c r="F827" s="41"/>
      <c r="G827" s="41"/>
      <c r="H827" s="41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</row>
    <row r="828" hidden="1">
      <c r="A828" s="41"/>
      <c r="B828" s="41"/>
      <c r="C828" s="41"/>
      <c r="D828" s="41"/>
      <c r="E828" s="41"/>
      <c r="F828" s="41"/>
      <c r="G828" s="41"/>
      <c r="H828" s="41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</row>
    <row r="829" hidden="1">
      <c r="A829" s="41"/>
      <c r="B829" s="41"/>
      <c r="C829" s="41"/>
      <c r="D829" s="41"/>
      <c r="E829" s="41"/>
      <c r="F829" s="41"/>
      <c r="G829" s="41"/>
      <c r="H829" s="41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</row>
    <row r="830" hidden="1">
      <c r="A830" s="41"/>
      <c r="B830" s="41"/>
      <c r="C830" s="41"/>
      <c r="D830" s="41"/>
      <c r="E830" s="41"/>
      <c r="F830" s="41"/>
      <c r="G830" s="41"/>
      <c r="H830" s="41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</row>
    <row r="831" hidden="1">
      <c r="A831" s="41"/>
      <c r="B831" s="41"/>
      <c r="C831" s="41"/>
      <c r="D831" s="41"/>
      <c r="E831" s="41"/>
      <c r="F831" s="41"/>
      <c r="G831" s="41"/>
      <c r="H831" s="41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</row>
    <row r="832" hidden="1">
      <c r="A832" s="41"/>
      <c r="B832" s="41"/>
      <c r="C832" s="41"/>
      <c r="D832" s="41"/>
      <c r="E832" s="41"/>
      <c r="F832" s="41"/>
      <c r="G832" s="41"/>
      <c r="H832" s="41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</row>
    <row r="833" hidden="1">
      <c r="A833" s="41"/>
      <c r="B833" s="41"/>
      <c r="C833" s="41"/>
      <c r="D833" s="41"/>
      <c r="E833" s="41"/>
      <c r="F833" s="41"/>
      <c r="G833" s="41"/>
      <c r="H833" s="41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</row>
    <row r="834" hidden="1">
      <c r="A834" s="41"/>
      <c r="B834" s="41"/>
      <c r="C834" s="41"/>
      <c r="D834" s="41"/>
      <c r="E834" s="41"/>
      <c r="F834" s="41"/>
      <c r="G834" s="41"/>
      <c r="H834" s="41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</row>
    <row r="835" hidden="1">
      <c r="A835" s="41"/>
      <c r="B835" s="41"/>
      <c r="C835" s="41"/>
      <c r="D835" s="41"/>
      <c r="E835" s="41"/>
      <c r="F835" s="41"/>
      <c r="G835" s="41"/>
      <c r="H835" s="41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</row>
    <row r="836" hidden="1">
      <c r="A836" s="41"/>
      <c r="B836" s="41"/>
      <c r="C836" s="41"/>
      <c r="D836" s="41"/>
      <c r="E836" s="41"/>
      <c r="F836" s="41"/>
      <c r="G836" s="41"/>
      <c r="H836" s="41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</row>
    <row r="837" hidden="1">
      <c r="A837" s="41"/>
      <c r="B837" s="41"/>
      <c r="C837" s="41"/>
      <c r="D837" s="41"/>
      <c r="E837" s="41"/>
      <c r="F837" s="41"/>
      <c r="G837" s="41"/>
      <c r="H837" s="41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</row>
    <row r="838" hidden="1">
      <c r="A838" s="41"/>
      <c r="B838" s="41"/>
      <c r="C838" s="41"/>
      <c r="D838" s="41"/>
      <c r="E838" s="41"/>
      <c r="F838" s="41"/>
      <c r="G838" s="41"/>
      <c r="H838" s="41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</row>
    <row r="839" hidden="1">
      <c r="A839" s="41"/>
      <c r="B839" s="41"/>
      <c r="C839" s="41"/>
      <c r="D839" s="41"/>
      <c r="E839" s="41"/>
      <c r="F839" s="41"/>
      <c r="G839" s="41"/>
      <c r="H839" s="41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</row>
    <row r="840" hidden="1">
      <c r="A840" s="41"/>
      <c r="B840" s="41"/>
      <c r="C840" s="41"/>
      <c r="D840" s="41"/>
      <c r="E840" s="41"/>
      <c r="F840" s="41"/>
      <c r="G840" s="41"/>
      <c r="H840" s="41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</row>
    <row r="841" hidden="1">
      <c r="A841" s="41"/>
      <c r="B841" s="41"/>
      <c r="C841" s="41"/>
      <c r="D841" s="41"/>
      <c r="E841" s="41"/>
      <c r="F841" s="41"/>
      <c r="G841" s="41"/>
      <c r="H841" s="41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</row>
    <row r="842" hidden="1">
      <c r="A842" s="41"/>
      <c r="B842" s="41"/>
      <c r="C842" s="41"/>
      <c r="D842" s="41"/>
      <c r="E842" s="41"/>
      <c r="F842" s="41"/>
      <c r="G842" s="41"/>
      <c r="H842" s="41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</row>
    <row r="843" hidden="1">
      <c r="A843" s="41"/>
      <c r="B843" s="41"/>
      <c r="C843" s="41"/>
      <c r="D843" s="41"/>
      <c r="E843" s="41"/>
      <c r="F843" s="41"/>
      <c r="G843" s="41"/>
      <c r="H843" s="41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</row>
    <row r="844" hidden="1">
      <c r="A844" s="41"/>
      <c r="B844" s="41"/>
      <c r="C844" s="41"/>
      <c r="D844" s="41"/>
      <c r="E844" s="41"/>
      <c r="F844" s="41"/>
      <c r="G844" s="41"/>
      <c r="H844" s="41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</row>
    <row r="845" hidden="1">
      <c r="A845" s="41"/>
      <c r="B845" s="41"/>
      <c r="C845" s="41"/>
      <c r="D845" s="41"/>
      <c r="E845" s="41"/>
      <c r="F845" s="41"/>
      <c r="G845" s="41"/>
      <c r="H845" s="41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</row>
    <row r="846" hidden="1">
      <c r="A846" s="41"/>
      <c r="B846" s="41"/>
      <c r="C846" s="41"/>
      <c r="D846" s="41"/>
      <c r="E846" s="41"/>
      <c r="F846" s="41"/>
      <c r="G846" s="41"/>
      <c r="H846" s="41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</row>
    <row r="847" hidden="1">
      <c r="A847" s="41"/>
      <c r="B847" s="41"/>
      <c r="C847" s="41"/>
      <c r="D847" s="41"/>
      <c r="E847" s="41"/>
      <c r="F847" s="41"/>
      <c r="G847" s="41"/>
      <c r="H847" s="41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</row>
    <row r="848" hidden="1">
      <c r="A848" s="41"/>
      <c r="B848" s="41"/>
      <c r="C848" s="41"/>
      <c r="D848" s="41"/>
      <c r="E848" s="41"/>
      <c r="F848" s="41"/>
      <c r="G848" s="41"/>
      <c r="H848" s="41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</row>
    <row r="849" hidden="1">
      <c r="A849" s="41"/>
      <c r="B849" s="41"/>
      <c r="C849" s="41"/>
      <c r="D849" s="41"/>
      <c r="E849" s="41"/>
      <c r="F849" s="41"/>
      <c r="G849" s="41"/>
      <c r="H849" s="41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</row>
    <row r="850" hidden="1">
      <c r="A850" s="41"/>
      <c r="B850" s="41"/>
      <c r="C850" s="41"/>
      <c r="D850" s="41"/>
      <c r="E850" s="41"/>
      <c r="F850" s="41"/>
      <c r="G850" s="41"/>
      <c r="H850" s="41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</row>
    <row r="851" hidden="1">
      <c r="A851" s="41"/>
      <c r="B851" s="41"/>
      <c r="C851" s="41"/>
      <c r="D851" s="41"/>
      <c r="E851" s="41"/>
      <c r="F851" s="41"/>
      <c r="G851" s="41"/>
      <c r="H851" s="41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</row>
    <row r="852" hidden="1">
      <c r="A852" s="41"/>
      <c r="B852" s="41"/>
      <c r="C852" s="41"/>
      <c r="D852" s="41"/>
      <c r="E852" s="41"/>
      <c r="F852" s="41"/>
      <c r="G852" s="41"/>
      <c r="H852" s="41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</row>
    <row r="853" hidden="1">
      <c r="A853" s="41"/>
      <c r="B853" s="41"/>
      <c r="C853" s="41"/>
      <c r="D853" s="41"/>
      <c r="E853" s="41"/>
      <c r="F853" s="41"/>
      <c r="G853" s="41"/>
      <c r="H853" s="41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</row>
    <row r="854" hidden="1">
      <c r="A854" s="41"/>
      <c r="B854" s="41"/>
      <c r="C854" s="41"/>
      <c r="D854" s="41"/>
      <c r="E854" s="41"/>
      <c r="F854" s="41"/>
      <c r="G854" s="41"/>
      <c r="H854" s="41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</row>
    <row r="855" hidden="1">
      <c r="A855" s="41"/>
      <c r="B855" s="41"/>
      <c r="C855" s="41"/>
      <c r="D855" s="41"/>
      <c r="E855" s="41"/>
      <c r="F855" s="41"/>
      <c r="G855" s="41"/>
      <c r="H855" s="41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</row>
    <row r="856" hidden="1">
      <c r="A856" s="41"/>
      <c r="B856" s="41"/>
      <c r="C856" s="41"/>
      <c r="D856" s="41"/>
      <c r="E856" s="41"/>
      <c r="F856" s="41"/>
      <c r="G856" s="41"/>
      <c r="H856" s="41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</row>
    <row r="857" hidden="1">
      <c r="A857" s="41"/>
      <c r="B857" s="41"/>
      <c r="C857" s="41"/>
      <c r="D857" s="41"/>
      <c r="E857" s="41"/>
      <c r="F857" s="41"/>
      <c r="G857" s="41"/>
      <c r="H857" s="41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</row>
    <row r="858" hidden="1">
      <c r="A858" s="41"/>
      <c r="B858" s="41"/>
      <c r="C858" s="41"/>
      <c r="D858" s="41"/>
      <c r="E858" s="41"/>
      <c r="F858" s="41"/>
      <c r="G858" s="41"/>
      <c r="H858" s="41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</row>
    <row r="859" hidden="1">
      <c r="A859" s="41"/>
      <c r="B859" s="41"/>
      <c r="C859" s="41"/>
      <c r="D859" s="41"/>
      <c r="E859" s="41"/>
      <c r="F859" s="41"/>
      <c r="G859" s="41"/>
      <c r="H859" s="41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</row>
    <row r="860" hidden="1">
      <c r="A860" s="41"/>
      <c r="B860" s="41"/>
      <c r="C860" s="41"/>
      <c r="D860" s="41"/>
      <c r="E860" s="41"/>
      <c r="F860" s="41"/>
      <c r="G860" s="41"/>
      <c r="H860" s="41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</row>
    <row r="861" hidden="1">
      <c r="A861" s="41"/>
      <c r="B861" s="41"/>
      <c r="C861" s="41"/>
      <c r="D861" s="41"/>
      <c r="E861" s="41"/>
      <c r="F861" s="41"/>
      <c r="G861" s="41"/>
      <c r="H861" s="41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</row>
    <row r="862" hidden="1">
      <c r="A862" s="41"/>
      <c r="B862" s="41"/>
      <c r="C862" s="41"/>
      <c r="D862" s="41"/>
      <c r="E862" s="41"/>
      <c r="F862" s="41"/>
      <c r="G862" s="41"/>
      <c r="H862" s="41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</row>
    <row r="863" hidden="1">
      <c r="A863" s="41"/>
      <c r="B863" s="41"/>
      <c r="C863" s="41"/>
      <c r="D863" s="41"/>
      <c r="E863" s="41"/>
      <c r="F863" s="41"/>
      <c r="G863" s="41"/>
      <c r="H863" s="41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</row>
    <row r="864" hidden="1">
      <c r="A864" s="41"/>
      <c r="B864" s="41"/>
      <c r="C864" s="41"/>
      <c r="D864" s="41"/>
      <c r="E864" s="41"/>
      <c r="F864" s="41"/>
      <c r="G864" s="41"/>
      <c r="H864" s="41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</row>
    <row r="865" hidden="1">
      <c r="A865" s="41"/>
      <c r="B865" s="41"/>
      <c r="C865" s="41"/>
      <c r="D865" s="41"/>
      <c r="E865" s="41"/>
      <c r="F865" s="41"/>
      <c r="G865" s="41"/>
      <c r="H865" s="41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</row>
    <row r="866" hidden="1">
      <c r="A866" s="41"/>
      <c r="B866" s="41"/>
      <c r="C866" s="41"/>
      <c r="D866" s="41"/>
      <c r="E866" s="41"/>
      <c r="F866" s="41"/>
      <c r="G866" s="41"/>
      <c r="H866" s="41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</row>
    <row r="867" hidden="1">
      <c r="A867" s="41"/>
      <c r="B867" s="41"/>
      <c r="C867" s="41"/>
      <c r="D867" s="41"/>
      <c r="E867" s="41"/>
      <c r="F867" s="41"/>
      <c r="G867" s="41"/>
      <c r="H867" s="41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</row>
    <row r="868" hidden="1">
      <c r="A868" s="41"/>
      <c r="B868" s="41"/>
      <c r="C868" s="41"/>
      <c r="D868" s="41"/>
      <c r="E868" s="41"/>
      <c r="F868" s="41"/>
      <c r="G868" s="41"/>
      <c r="H868" s="41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</row>
    <row r="869" hidden="1">
      <c r="A869" s="41"/>
      <c r="B869" s="41"/>
      <c r="C869" s="41"/>
      <c r="D869" s="41"/>
      <c r="E869" s="41"/>
      <c r="F869" s="41"/>
      <c r="G869" s="41"/>
      <c r="H869" s="41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</row>
    <row r="870" hidden="1">
      <c r="A870" s="41"/>
      <c r="B870" s="41"/>
      <c r="C870" s="41"/>
      <c r="D870" s="41"/>
      <c r="E870" s="41"/>
      <c r="F870" s="41"/>
      <c r="G870" s="41"/>
      <c r="H870" s="41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</row>
    <row r="871" hidden="1">
      <c r="A871" s="41"/>
      <c r="B871" s="41"/>
      <c r="C871" s="41"/>
      <c r="D871" s="41"/>
      <c r="E871" s="41"/>
      <c r="F871" s="41"/>
      <c r="G871" s="41"/>
      <c r="H871" s="41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</row>
    <row r="872" hidden="1">
      <c r="A872" s="41"/>
      <c r="B872" s="41"/>
      <c r="C872" s="41"/>
      <c r="D872" s="41"/>
      <c r="E872" s="41"/>
      <c r="F872" s="41"/>
      <c r="G872" s="41"/>
      <c r="H872" s="41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</row>
    <row r="873" hidden="1">
      <c r="A873" s="41"/>
      <c r="B873" s="41"/>
      <c r="C873" s="41"/>
      <c r="D873" s="41"/>
      <c r="E873" s="41"/>
      <c r="F873" s="41"/>
      <c r="G873" s="41"/>
      <c r="H873" s="41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</row>
    <row r="874" hidden="1">
      <c r="A874" s="41"/>
      <c r="B874" s="41"/>
      <c r="C874" s="41"/>
      <c r="D874" s="41"/>
      <c r="E874" s="41"/>
      <c r="F874" s="41"/>
      <c r="G874" s="41"/>
      <c r="H874" s="41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</row>
    <row r="875" hidden="1">
      <c r="A875" s="41"/>
      <c r="B875" s="41"/>
      <c r="C875" s="41"/>
      <c r="D875" s="41"/>
      <c r="E875" s="41"/>
      <c r="F875" s="41"/>
      <c r="G875" s="41"/>
      <c r="H875" s="41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</row>
    <row r="876" hidden="1">
      <c r="A876" s="41"/>
      <c r="B876" s="41"/>
      <c r="C876" s="41"/>
      <c r="D876" s="41"/>
      <c r="E876" s="41"/>
      <c r="F876" s="41"/>
      <c r="G876" s="41"/>
      <c r="H876" s="41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</row>
    <row r="877" hidden="1">
      <c r="A877" s="41"/>
      <c r="B877" s="41"/>
      <c r="C877" s="41"/>
      <c r="D877" s="41"/>
      <c r="E877" s="41"/>
      <c r="F877" s="41"/>
      <c r="G877" s="41"/>
      <c r="H877" s="41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</row>
    <row r="878" hidden="1">
      <c r="A878" s="41"/>
      <c r="B878" s="41"/>
      <c r="C878" s="41"/>
      <c r="D878" s="41"/>
      <c r="E878" s="41"/>
      <c r="F878" s="41"/>
      <c r="G878" s="41"/>
      <c r="H878" s="41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</row>
    <row r="879" hidden="1">
      <c r="A879" s="41"/>
      <c r="B879" s="41"/>
      <c r="C879" s="41"/>
      <c r="D879" s="41"/>
      <c r="E879" s="41"/>
      <c r="F879" s="41"/>
      <c r="G879" s="41"/>
      <c r="H879" s="41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</row>
    <row r="880" hidden="1">
      <c r="A880" s="41"/>
      <c r="B880" s="41"/>
      <c r="C880" s="41"/>
      <c r="D880" s="41"/>
      <c r="E880" s="41"/>
      <c r="F880" s="41"/>
      <c r="G880" s="41"/>
      <c r="H880" s="41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</row>
    <row r="881" hidden="1">
      <c r="A881" s="41"/>
      <c r="B881" s="41"/>
      <c r="C881" s="41"/>
      <c r="D881" s="41"/>
      <c r="E881" s="41"/>
      <c r="F881" s="41"/>
      <c r="G881" s="41"/>
      <c r="H881" s="41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</row>
    <row r="882" hidden="1">
      <c r="A882" s="41"/>
      <c r="B882" s="41"/>
      <c r="C882" s="41"/>
      <c r="D882" s="41"/>
      <c r="E882" s="41"/>
      <c r="F882" s="41"/>
      <c r="G882" s="41"/>
      <c r="H882" s="41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</row>
    <row r="883" hidden="1">
      <c r="A883" s="41"/>
      <c r="B883" s="41"/>
      <c r="C883" s="41"/>
      <c r="D883" s="41"/>
      <c r="E883" s="41"/>
      <c r="F883" s="41"/>
      <c r="G883" s="41"/>
      <c r="H883" s="41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</row>
    <row r="884" hidden="1">
      <c r="A884" s="41"/>
      <c r="B884" s="41"/>
      <c r="C884" s="41"/>
      <c r="D884" s="41"/>
      <c r="E884" s="41"/>
      <c r="F884" s="41"/>
      <c r="G884" s="41"/>
      <c r="H884" s="41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</row>
    <row r="885" hidden="1">
      <c r="A885" s="41"/>
      <c r="B885" s="41"/>
      <c r="C885" s="41"/>
      <c r="D885" s="41"/>
      <c r="E885" s="41"/>
      <c r="F885" s="41"/>
      <c r="G885" s="41"/>
      <c r="H885" s="41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</row>
    <row r="886" hidden="1">
      <c r="A886" s="41"/>
      <c r="B886" s="41"/>
      <c r="C886" s="41"/>
      <c r="D886" s="41"/>
      <c r="E886" s="41"/>
      <c r="F886" s="41"/>
      <c r="G886" s="41"/>
      <c r="H886" s="41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</row>
    <row r="887" hidden="1">
      <c r="A887" s="41"/>
      <c r="B887" s="41"/>
      <c r="C887" s="41"/>
      <c r="D887" s="41"/>
      <c r="E887" s="41"/>
      <c r="F887" s="41"/>
      <c r="G887" s="41"/>
      <c r="H887" s="41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</row>
    <row r="888" hidden="1">
      <c r="A888" s="41"/>
      <c r="B888" s="41"/>
      <c r="C888" s="41"/>
      <c r="D888" s="41"/>
      <c r="E888" s="41"/>
      <c r="F888" s="41"/>
      <c r="G888" s="41"/>
      <c r="H888" s="41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</row>
    <row r="889" hidden="1">
      <c r="A889" s="41"/>
      <c r="B889" s="41"/>
      <c r="C889" s="41"/>
      <c r="D889" s="41"/>
      <c r="E889" s="41"/>
      <c r="F889" s="41"/>
      <c r="G889" s="41"/>
      <c r="H889" s="41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</row>
    <row r="890" hidden="1">
      <c r="A890" s="41"/>
      <c r="B890" s="41"/>
      <c r="C890" s="41"/>
      <c r="D890" s="41"/>
      <c r="E890" s="41"/>
      <c r="F890" s="41"/>
      <c r="G890" s="41"/>
      <c r="H890" s="41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</row>
    <row r="891" hidden="1">
      <c r="A891" s="41"/>
      <c r="B891" s="41"/>
      <c r="C891" s="41"/>
      <c r="D891" s="41"/>
      <c r="E891" s="41"/>
      <c r="F891" s="41"/>
      <c r="G891" s="41"/>
      <c r="H891" s="41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</row>
    <row r="892" hidden="1">
      <c r="A892" s="41"/>
      <c r="B892" s="41"/>
      <c r="C892" s="41"/>
      <c r="D892" s="41"/>
      <c r="E892" s="41"/>
      <c r="F892" s="41"/>
      <c r="G892" s="41"/>
      <c r="H892" s="41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</row>
    <row r="893" hidden="1">
      <c r="A893" s="41"/>
      <c r="B893" s="41"/>
      <c r="C893" s="41"/>
      <c r="D893" s="41"/>
      <c r="E893" s="41"/>
      <c r="F893" s="41"/>
      <c r="G893" s="41"/>
      <c r="H893" s="41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</row>
    <row r="894" hidden="1">
      <c r="A894" s="41"/>
      <c r="B894" s="41"/>
      <c r="C894" s="41"/>
      <c r="D894" s="41"/>
      <c r="E894" s="41"/>
      <c r="F894" s="41"/>
      <c r="G894" s="41"/>
      <c r="H894" s="41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</row>
    <row r="895" hidden="1">
      <c r="A895" s="41"/>
      <c r="B895" s="41"/>
      <c r="C895" s="41"/>
      <c r="D895" s="41"/>
      <c r="E895" s="41"/>
      <c r="F895" s="41"/>
      <c r="G895" s="41"/>
      <c r="H895" s="41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</row>
    <row r="896" hidden="1">
      <c r="A896" s="41"/>
      <c r="B896" s="41"/>
      <c r="C896" s="41"/>
      <c r="D896" s="41"/>
      <c r="E896" s="41"/>
      <c r="F896" s="41"/>
      <c r="G896" s="41"/>
      <c r="H896" s="41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</row>
    <row r="897" hidden="1">
      <c r="A897" s="41"/>
      <c r="B897" s="41"/>
      <c r="C897" s="41"/>
      <c r="D897" s="41"/>
      <c r="E897" s="41"/>
      <c r="F897" s="41"/>
      <c r="G897" s="41"/>
      <c r="H897" s="41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</row>
    <row r="898" hidden="1">
      <c r="A898" s="41"/>
      <c r="B898" s="41"/>
      <c r="C898" s="41"/>
      <c r="D898" s="41"/>
      <c r="E898" s="41"/>
      <c r="F898" s="41"/>
      <c r="G898" s="41"/>
      <c r="H898" s="41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</row>
    <row r="899" hidden="1">
      <c r="A899" s="41"/>
      <c r="B899" s="41"/>
      <c r="C899" s="41"/>
      <c r="D899" s="41"/>
      <c r="E899" s="41"/>
      <c r="F899" s="41"/>
      <c r="G899" s="41"/>
      <c r="H899" s="41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</row>
    <row r="900" hidden="1">
      <c r="A900" s="41"/>
      <c r="B900" s="41"/>
      <c r="C900" s="41"/>
      <c r="D900" s="41"/>
      <c r="E900" s="41"/>
      <c r="F900" s="41"/>
      <c r="G900" s="41"/>
      <c r="H900" s="41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</row>
    <row r="901" hidden="1">
      <c r="A901" s="41"/>
      <c r="B901" s="41"/>
      <c r="C901" s="41"/>
      <c r="D901" s="41"/>
      <c r="E901" s="41"/>
      <c r="F901" s="41"/>
      <c r="G901" s="41"/>
      <c r="H901" s="41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</row>
    <row r="902" hidden="1">
      <c r="A902" s="41"/>
      <c r="B902" s="41"/>
      <c r="C902" s="41"/>
      <c r="D902" s="41"/>
      <c r="E902" s="41"/>
      <c r="F902" s="41"/>
      <c r="G902" s="41"/>
      <c r="H902" s="41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</row>
    <row r="903" hidden="1">
      <c r="A903" s="41"/>
      <c r="B903" s="41"/>
      <c r="C903" s="41"/>
      <c r="D903" s="41"/>
      <c r="E903" s="41"/>
      <c r="F903" s="41"/>
      <c r="G903" s="41"/>
      <c r="H903" s="41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</row>
    <row r="904" hidden="1">
      <c r="A904" s="41"/>
      <c r="B904" s="41"/>
      <c r="C904" s="41"/>
      <c r="D904" s="41"/>
      <c r="E904" s="41"/>
      <c r="F904" s="41"/>
      <c r="G904" s="41"/>
      <c r="H904" s="41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</row>
    <row r="905" hidden="1">
      <c r="A905" s="41"/>
      <c r="B905" s="41"/>
      <c r="C905" s="41"/>
      <c r="D905" s="41"/>
      <c r="E905" s="41"/>
      <c r="F905" s="41"/>
      <c r="G905" s="41"/>
      <c r="H905" s="41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</row>
    <row r="906" hidden="1">
      <c r="A906" s="41"/>
      <c r="B906" s="41"/>
      <c r="C906" s="41"/>
      <c r="D906" s="41"/>
      <c r="E906" s="41"/>
      <c r="F906" s="41"/>
      <c r="G906" s="41"/>
      <c r="H906" s="41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</row>
    <row r="907" hidden="1">
      <c r="A907" s="41"/>
      <c r="B907" s="41"/>
      <c r="C907" s="41"/>
      <c r="D907" s="41"/>
      <c r="E907" s="41"/>
      <c r="F907" s="41"/>
      <c r="G907" s="41"/>
      <c r="H907" s="41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</row>
    <row r="908" hidden="1">
      <c r="A908" s="41"/>
      <c r="B908" s="41"/>
      <c r="C908" s="41"/>
      <c r="D908" s="41"/>
      <c r="E908" s="41"/>
      <c r="F908" s="41"/>
      <c r="G908" s="41"/>
      <c r="H908" s="41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</row>
    <row r="909" hidden="1">
      <c r="A909" s="41"/>
      <c r="B909" s="41"/>
      <c r="C909" s="41"/>
      <c r="D909" s="41"/>
      <c r="E909" s="41"/>
      <c r="F909" s="41"/>
      <c r="G909" s="41"/>
      <c r="H909" s="41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</row>
    <row r="910" hidden="1">
      <c r="A910" s="41"/>
      <c r="B910" s="41"/>
      <c r="C910" s="41"/>
      <c r="D910" s="41"/>
      <c r="E910" s="41"/>
      <c r="F910" s="41"/>
      <c r="G910" s="41"/>
      <c r="H910" s="41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</row>
    <row r="911" hidden="1">
      <c r="A911" s="41"/>
      <c r="B911" s="41"/>
      <c r="C911" s="41"/>
      <c r="D911" s="41"/>
      <c r="E911" s="41"/>
      <c r="F911" s="41"/>
      <c r="G911" s="41"/>
      <c r="H911" s="41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</row>
    <row r="912" hidden="1">
      <c r="A912" s="41"/>
      <c r="B912" s="41"/>
      <c r="C912" s="41"/>
      <c r="D912" s="41"/>
      <c r="E912" s="41"/>
      <c r="F912" s="41"/>
      <c r="G912" s="41"/>
      <c r="H912" s="41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</row>
    <row r="913" hidden="1">
      <c r="A913" s="41"/>
      <c r="B913" s="41"/>
      <c r="C913" s="41"/>
      <c r="D913" s="41"/>
      <c r="E913" s="41"/>
      <c r="F913" s="41"/>
      <c r="G913" s="41"/>
      <c r="H913" s="41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</row>
    <row r="914" hidden="1">
      <c r="A914" s="41"/>
      <c r="B914" s="41"/>
      <c r="C914" s="41"/>
      <c r="D914" s="41"/>
      <c r="E914" s="41"/>
      <c r="F914" s="41"/>
      <c r="G914" s="41"/>
      <c r="H914" s="41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</row>
    <row r="915" hidden="1">
      <c r="A915" s="41"/>
      <c r="B915" s="41"/>
      <c r="C915" s="41"/>
      <c r="D915" s="41"/>
      <c r="E915" s="41"/>
      <c r="F915" s="41"/>
      <c r="G915" s="41"/>
      <c r="H915" s="41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</row>
    <row r="916" hidden="1">
      <c r="A916" s="41"/>
      <c r="B916" s="41"/>
      <c r="C916" s="41"/>
      <c r="D916" s="41"/>
      <c r="E916" s="41"/>
      <c r="F916" s="41"/>
      <c r="G916" s="41"/>
      <c r="H916" s="41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</row>
    <row r="917" hidden="1">
      <c r="A917" s="41"/>
      <c r="B917" s="41"/>
      <c r="C917" s="41"/>
      <c r="D917" s="41"/>
      <c r="E917" s="41"/>
      <c r="F917" s="41"/>
      <c r="G917" s="41"/>
      <c r="H917" s="41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</row>
    <row r="918" hidden="1">
      <c r="A918" s="41"/>
      <c r="B918" s="41"/>
      <c r="C918" s="41"/>
      <c r="D918" s="41"/>
      <c r="E918" s="41"/>
      <c r="F918" s="41"/>
      <c r="G918" s="41"/>
      <c r="H918" s="41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</row>
    <row r="919" hidden="1">
      <c r="A919" s="41"/>
      <c r="B919" s="41"/>
      <c r="C919" s="41"/>
      <c r="D919" s="41"/>
      <c r="E919" s="41"/>
      <c r="F919" s="41"/>
      <c r="G919" s="41"/>
      <c r="H919" s="41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</row>
    <row r="920" hidden="1">
      <c r="A920" s="41"/>
      <c r="B920" s="41"/>
      <c r="C920" s="41"/>
      <c r="D920" s="41"/>
      <c r="E920" s="41"/>
      <c r="F920" s="41"/>
      <c r="G920" s="41"/>
      <c r="H920" s="41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</row>
    <row r="921" hidden="1">
      <c r="A921" s="41"/>
      <c r="B921" s="41"/>
      <c r="C921" s="41"/>
      <c r="D921" s="41"/>
      <c r="E921" s="41"/>
      <c r="F921" s="41"/>
      <c r="G921" s="41"/>
      <c r="H921" s="41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</row>
    <row r="922" hidden="1">
      <c r="A922" s="41"/>
      <c r="B922" s="41"/>
      <c r="C922" s="41"/>
      <c r="D922" s="41"/>
      <c r="E922" s="41"/>
      <c r="F922" s="41"/>
      <c r="G922" s="41"/>
      <c r="H922" s="41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</row>
    <row r="923" hidden="1">
      <c r="A923" s="41"/>
      <c r="B923" s="41"/>
      <c r="C923" s="41"/>
      <c r="D923" s="41"/>
      <c r="E923" s="41"/>
      <c r="F923" s="41"/>
      <c r="G923" s="41"/>
      <c r="H923" s="41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</row>
    <row r="924" hidden="1">
      <c r="A924" s="41"/>
      <c r="B924" s="41"/>
      <c r="C924" s="41"/>
      <c r="D924" s="41"/>
      <c r="E924" s="41"/>
      <c r="F924" s="41"/>
      <c r="G924" s="41"/>
      <c r="H924" s="41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</row>
    <row r="925" hidden="1">
      <c r="A925" s="41"/>
      <c r="B925" s="41"/>
      <c r="C925" s="41"/>
      <c r="D925" s="41"/>
      <c r="E925" s="41"/>
      <c r="F925" s="41"/>
      <c r="G925" s="41"/>
      <c r="H925" s="41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</row>
    <row r="926" hidden="1">
      <c r="A926" s="41"/>
      <c r="B926" s="41"/>
      <c r="C926" s="41"/>
      <c r="D926" s="41"/>
      <c r="E926" s="41"/>
      <c r="F926" s="41"/>
      <c r="G926" s="41"/>
      <c r="H926" s="41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</row>
    <row r="927" hidden="1">
      <c r="A927" s="41"/>
      <c r="B927" s="41"/>
      <c r="C927" s="41"/>
      <c r="D927" s="41"/>
      <c r="E927" s="41"/>
      <c r="F927" s="41"/>
      <c r="G927" s="41"/>
      <c r="H927" s="41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</row>
    <row r="928" hidden="1">
      <c r="A928" s="41"/>
      <c r="B928" s="41"/>
      <c r="C928" s="41"/>
      <c r="D928" s="41"/>
      <c r="E928" s="41"/>
      <c r="F928" s="41"/>
      <c r="G928" s="41"/>
      <c r="H928" s="41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</row>
    <row r="929" hidden="1">
      <c r="A929" s="41"/>
      <c r="B929" s="41"/>
      <c r="C929" s="41"/>
      <c r="D929" s="41"/>
      <c r="E929" s="41"/>
      <c r="F929" s="41"/>
      <c r="G929" s="41"/>
      <c r="H929" s="41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</row>
    <row r="930" hidden="1">
      <c r="A930" s="41"/>
      <c r="B930" s="41"/>
      <c r="C930" s="41"/>
      <c r="D930" s="41"/>
      <c r="E930" s="41"/>
      <c r="F930" s="41"/>
      <c r="G930" s="41"/>
      <c r="H930" s="41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</row>
    <row r="931" hidden="1">
      <c r="A931" s="41"/>
      <c r="B931" s="41"/>
      <c r="C931" s="41"/>
      <c r="D931" s="41"/>
      <c r="E931" s="41"/>
      <c r="F931" s="41"/>
      <c r="G931" s="41"/>
      <c r="H931" s="41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</row>
    <row r="932" hidden="1">
      <c r="A932" s="41"/>
      <c r="B932" s="41"/>
      <c r="C932" s="41"/>
      <c r="D932" s="41"/>
      <c r="E932" s="41"/>
      <c r="F932" s="41"/>
      <c r="G932" s="41"/>
      <c r="H932" s="41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</row>
    <row r="933" hidden="1">
      <c r="A933" s="41"/>
      <c r="B933" s="41"/>
      <c r="C933" s="41"/>
      <c r="D933" s="41"/>
      <c r="E933" s="41"/>
      <c r="F933" s="41"/>
      <c r="G933" s="41"/>
      <c r="H933" s="41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</row>
    <row r="934" hidden="1">
      <c r="A934" s="41"/>
      <c r="B934" s="41"/>
      <c r="C934" s="41"/>
      <c r="D934" s="41"/>
      <c r="E934" s="41"/>
      <c r="F934" s="41"/>
      <c r="G934" s="41"/>
      <c r="H934" s="41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</row>
    <row r="935" hidden="1">
      <c r="A935" s="41"/>
      <c r="B935" s="41"/>
      <c r="C935" s="41"/>
      <c r="D935" s="41"/>
      <c r="E935" s="41"/>
      <c r="F935" s="41"/>
      <c r="G935" s="41"/>
      <c r="H935" s="41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</row>
    <row r="936" hidden="1">
      <c r="A936" s="41"/>
      <c r="B936" s="41"/>
      <c r="C936" s="41"/>
      <c r="D936" s="41"/>
      <c r="E936" s="41"/>
      <c r="F936" s="41"/>
      <c r="G936" s="41"/>
      <c r="H936" s="41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</row>
    <row r="937" hidden="1">
      <c r="A937" s="41"/>
      <c r="B937" s="41"/>
      <c r="C937" s="41"/>
      <c r="D937" s="41"/>
      <c r="E937" s="41"/>
      <c r="F937" s="41"/>
      <c r="G937" s="41"/>
      <c r="H937" s="41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</row>
    <row r="938" hidden="1">
      <c r="A938" s="41"/>
      <c r="B938" s="41"/>
      <c r="C938" s="41"/>
      <c r="D938" s="41"/>
      <c r="E938" s="41"/>
      <c r="F938" s="41"/>
      <c r="G938" s="41"/>
      <c r="H938" s="41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</row>
    <row r="939" hidden="1">
      <c r="A939" s="41"/>
      <c r="B939" s="41"/>
      <c r="C939" s="41"/>
      <c r="D939" s="41"/>
      <c r="E939" s="41"/>
      <c r="F939" s="41"/>
      <c r="G939" s="41"/>
      <c r="H939" s="41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</row>
    <row r="940" hidden="1">
      <c r="A940" s="41"/>
      <c r="B940" s="41"/>
      <c r="C940" s="41"/>
      <c r="D940" s="41"/>
      <c r="E940" s="41"/>
      <c r="F940" s="41"/>
      <c r="G940" s="41"/>
      <c r="H940" s="41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</row>
    <row r="941" hidden="1">
      <c r="A941" s="41"/>
      <c r="B941" s="41"/>
      <c r="C941" s="41"/>
      <c r="D941" s="41"/>
      <c r="E941" s="41"/>
      <c r="F941" s="41"/>
      <c r="G941" s="41"/>
      <c r="H941" s="41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</row>
    <row r="942" hidden="1">
      <c r="A942" s="41"/>
      <c r="B942" s="41"/>
      <c r="C942" s="41"/>
      <c r="D942" s="41"/>
      <c r="E942" s="41"/>
      <c r="F942" s="41"/>
      <c r="G942" s="41"/>
      <c r="H942" s="41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</row>
    <row r="943" hidden="1">
      <c r="A943" s="41"/>
      <c r="B943" s="41"/>
      <c r="C943" s="41"/>
      <c r="D943" s="41"/>
      <c r="E943" s="41"/>
      <c r="F943" s="41"/>
      <c r="G943" s="41"/>
      <c r="H943" s="41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</row>
    <row r="944" hidden="1">
      <c r="A944" s="41"/>
      <c r="B944" s="41"/>
      <c r="C944" s="41"/>
      <c r="D944" s="41"/>
      <c r="E944" s="41"/>
      <c r="F944" s="41"/>
      <c r="G944" s="41"/>
      <c r="H944" s="41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</row>
    <row r="945" hidden="1">
      <c r="A945" s="41"/>
      <c r="B945" s="41"/>
      <c r="C945" s="41"/>
      <c r="D945" s="41"/>
      <c r="E945" s="41"/>
      <c r="F945" s="41"/>
      <c r="G945" s="41"/>
      <c r="H945" s="41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</row>
    <row r="946" hidden="1">
      <c r="A946" s="41"/>
      <c r="B946" s="41"/>
      <c r="C946" s="41"/>
      <c r="D946" s="41"/>
      <c r="E946" s="41"/>
      <c r="F946" s="41"/>
      <c r="G946" s="41"/>
      <c r="H946" s="41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</row>
    <row r="947" hidden="1">
      <c r="A947" s="41"/>
      <c r="B947" s="41"/>
      <c r="C947" s="41"/>
      <c r="D947" s="41"/>
      <c r="E947" s="41"/>
      <c r="F947" s="41"/>
      <c r="G947" s="41"/>
      <c r="H947" s="41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</row>
    <row r="948" hidden="1">
      <c r="A948" s="41"/>
      <c r="B948" s="41"/>
      <c r="C948" s="41"/>
      <c r="D948" s="41"/>
      <c r="E948" s="41"/>
      <c r="F948" s="41"/>
      <c r="G948" s="41"/>
      <c r="H948" s="41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</row>
    <row r="949" hidden="1">
      <c r="A949" s="41"/>
      <c r="B949" s="41"/>
      <c r="C949" s="41"/>
      <c r="D949" s="41"/>
      <c r="E949" s="41"/>
      <c r="F949" s="41"/>
      <c r="G949" s="41"/>
      <c r="H949" s="41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</row>
    <row r="950" hidden="1">
      <c r="A950" s="41"/>
      <c r="B950" s="41"/>
      <c r="C950" s="41"/>
      <c r="D950" s="41"/>
      <c r="E950" s="41"/>
      <c r="F950" s="41"/>
      <c r="G950" s="41"/>
      <c r="H950" s="41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</row>
    <row r="951" hidden="1">
      <c r="A951" s="41"/>
      <c r="B951" s="41"/>
      <c r="C951" s="41"/>
      <c r="D951" s="41"/>
      <c r="E951" s="41"/>
      <c r="F951" s="41"/>
      <c r="G951" s="41"/>
      <c r="H951" s="41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</row>
    <row r="952" hidden="1">
      <c r="A952" s="41"/>
      <c r="B952" s="41"/>
      <c r="C952" s="41"/>
      <c r="D952" s="41"/>
      <c r="E952" s="41"/>
      <c r="F952" s="41"/>
      <c r="G952" s="41"/>
      <c r="H952" s="41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</row>
    <row r="953" hidden="1">
      <c r="A953" s="41"/>
      <c r="B953" s="41"/>
      <c r="C953" s="41"/>
      <c r="D953" s="41"/>
      <c r="E953" s="41"/>
      <c r="F953" s="41"/>
      <c r="G953" s="41"/>
      <c r="H953" s="41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</row>
    <row r="954" hidden="1">
      <c r="A954" s="41"/>
      <c r="B954" s="41"/>
      <c r="C954" s="41"/>
      <c r="D954" s="41"/>
      <c r="E954" s="41"/>
      <c r="F954" s="41"/>
      <c r="G954" s="41"/>
      <c r="H954" s="41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</row>
    <row r="955" hidden="1">
      <c r="A955" s="41"/>
      <c r="B955" s="41"/>
      <c r="C955" s="41"/>
      <c r="D955" s="41"/>
      <c r="E955" s="41"/>
      <c r="F955" s="41"/>
      <c r="G955" s="41"/>
      <c r="H955" s="41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</row>
    <row r="956" hidden="1">
      <c r="A956" s="41"/>
      <c r="B956" s="41"/>
      <c r="C956" s="41"/>
      <c r="D956" s="41"/>
      <c r="E956" s="41"/>
      <c r="F956" s="41"/>
      <c r="G956" s="41"/>
      <c r="H956" s="41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</row>
    <row r="957" hidden="1">
      <c r="A957" s="41"/>
      <c r="B957" s="41"/>
      <c r="C957" s="41"/>
      <c r="D957" s="41"/>
      <c r="E957" s="41"/>
      <c r="F957" s="41"/>
      <c r="G957" s="41"/>
      <c r="H957" s="41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</row>
    <row r="958" hidden="1">
      <c r="A958" s="41"/>
      <c r="B958" s="41"/>
      <c r="C958" s="41"/>
      <c r="D958" s="41"/>
      <c r="E958" s="41"/>
      <c r="F958" s="41"/>
      <c r="G958" s="41"/>
      <c r="H958" s="41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</row>
    <row r="959" hidden="1">
      <c r="A959" s="41"/>
      <c r="B959" s="41"/>
      <c r="C959" s="41"/>
      <c r="D959" s="41"/>
      <c r="E959" s="41"/>
      <c r="F959" s="41"/>
      <c r="G959" s="41"/>
      <c r="H959" s="41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</row>
    <row r="960" hidden="1">
      <c r="A960" s="41"/>
      <c r="B960" s="41"/>
      <c r="C960" s="41"/>
      <c r="D960" s="41"/>
      <c r="E960" s="41"/>
      <c r="F960" s="41"/>
      <c r="G960" s="41"/>
      <c r="H960" s="41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</row>
    <row r="961" hidden="1">
      <c r="A961" s="41"/>
      <c r="B961" s="41"/>
      <c r="C961" s="41"/>
      <c r="D961" s="41"/>
      <c r="E961" s="41"/>
      <c r="F961" s="41"/>
      <c r="G961" s="41"/>
      <c r="H961" s="41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</row>
    <row r="962" hidden="1">
      <c r="A962" s="41"/>
      <c r="B962" s="41"/>
      <c r="C962" s="41"/>
      <c r="D962" s="41"/>
      <c r="E962" s="41"/>
      <c r="F962" s="41"/>
      <c r="G962" s="41"/>
      <c r="H962" s="41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</row>
    <row r="963" hidden="1">
      <c r="A963" s="41"/>
      <c r="B963" s="41"/>
      <c r="C963" s="41"/>
      <c r="D963" s="41"/>
      <c r="E963" s="41"/>
      <c r="F963" s="41"/>
      <c r="G963" s="41"/>
      <c r="H963" s="41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</row>
    <row r="964" hidden="1">
      <c r="A964" s="41"/>
      <c r="B964" s="41"/>
      <c r="C964" s="41"/>
      <c r="D964" s="41"/>
      <c r="E964" s="41"/>
      <c r="F964" s="41"/>
      <c r="G964" s="41"/>
      <c r="H964" s="41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</row>
    <row r="965" hidden="1">
      <c r="A965" s="41"/>
      <c r="B965" s="41"/>
      <c r="C965" s="41"/>
      <c r="D965" s="41"/>
      <c r="E965" s="41"/>
      <c r="F965" s="41"/>
      <c r="G965" s="41"/>
      <c r="H965" s="41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</row>
    <row r="966" hidden="1">
      <c r="A966" s="41"/>
      <c r="B966" s="41"/>
      <c r="C966" s="41"/>
      <c r="D966" s="41"/>
      <c r="E966" s="41"/>
      <c r="F966" s="41"/>
      <c r="G966" s="41"/>
      <c r="H966" s="41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</row>
    <row r="967" hidden="1">
      <c r="A967" s="41"/>
      <c r="B967" s="41"/>
      <c r="C967" s="41"/>
      <c r="D967" s="41"/>
      <c r="E967" s="41"/>
      <c r="F967" s="41"/>
      <c r="G967" s="41"/>
      <c r="H967" s="41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</row>
    <row r="968" hidden="1">
      <c r="A968" s="41"/>
      <c r="B968" s="41"/>
      <c r="C968" s="41"/>
      <c r="D968" s="41"/>
      <c r="E968" s="41"/>
      <c r="F968" s="41"/>
      <c r="G968" s="41"/>
      <c r="H968" s="41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</row>
    <row r="969" hidden="1">
      <c r="A969" s="41"/>
      <c r="B969" s="41"/>
      <c r="C969" s="41"/>
      <c r="D969" s="41"/>
      <c r="E969" s="41"/>
      <c r="F969" s="41"/>
      <c r="G969" s="41"/>
      <c r="H969" s="41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</row>
    <row r="970" hidden="1">
      <c r="A970" s="41"/>
      <c r="B970" s="41"/>
      <c r="C970" s="41"/>
      <c r="D970" s="41"/>
      <c r="E970" s="41"/>
      <c r="F970" s="41"/>
      <c r="G970" s="41"/>
      <c r="H970" s="41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</row>
    <row r="971" hidden="1">
      <c r="A971" s="41"/>
      <c r="B971" s="41"/>
      <c r="C971" s="41"/>
      <c r="D971" s="41"/>
      <c r="E971" s="41"/>
      <c r="F971" s="41"/>
      <c r="G971" s="41"/>
      <c r="H971" s="41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</row>
    <row r="972" hidden="1">
      <c r="A972" s="41"/>
      <c r="B972" s="41"/>
      <c r="C972" s="41"/>
      <c r="D972" s="41"/>
      <c r="E972" s="41"/>
      <c r="F972" s="41"/>
      <c r="G972" s="41"/>
      <c r="H972" s="41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</row>
    <row r="973" hidden="1">
      <c r="A973" s="41"/>
      <c r="B973" s="41"/>
      <c r="C973" s="41"/>
      <c r="D973" s="41"/>
      <c r="E973" s="41"/>
      <c r="F973" s="41"/>
      <c r="G973" s="41"/>
      <c r="H973" s="41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</row>
    <row r="974" hidden="1">
      <c r="A974" s="41"/>
      <c r="B974" s="41"/>
      <c r="C974" s="41"/>
      <c r="D974" s="41"/>
      <c r="E974" s="41"/>
      <c r="F974" s="41"/>
      <c r="G974" s="41"/>
      <c r="H974" s="41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</row>
    <row r="975" hidden="1">
      <c r="A975" s="41"/>
      <c r="B975" s="41"/>
      <c r="C975" s="41"/>
      <c r="D975" s="41"/>
      <c r="E975" s="41"/>
      <c r="F975" s="41"/>
      <c r="G975" s="41"/>
      <c r="H975" s="41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</row>
    <row r="976" hidden="1">
      <c r="A976" s="41"/>
      <c r="B976" s="41"/>
      <c r="C976" s="41"/>
      <c r="D976" s="41"/>
      <c r="E976" s="41"/>
      <c r="F976" s="41"/>
      <c r="G976" s="41"/>
      <c r="H976" s="41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</row>
    <row r="977" hidden="1">
      <c r="A977" s="41"/>
      <c r="B977" s="41"/>
      <c r="C977" s="41"/>
      <c r="D977" s="41"/>
      <c r="E977" s="41"/>
      <c r="F977" s="41"/>
      <c r="G977" s="41"/>
      <c r="H977" s="41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</row>
    <row r="978" hidden="1">
      <c r="A978" s="41"/>
      <c r="B978" s="41"/>
      <c r="C978" s="41"/>
      <c r="D978" s="41"/>
      <c r="E978" s="41"/>
      <c r="F978" s="41"/>
      <c r="G978" s="41"/>
      <c r="H978" s="41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</row>
    <row r="979" hidden="1">
      <c r="A979" s="41"/>
      <c r="B979" s="41"/>
      <c r="C979" s="41"/>
      <c r="D979" s="41"/>
      <c r="E979" s="41"/>
      <c r="F979" s="41"/>
      <c r="G979" s="41"/>
      <c r="H979" s="41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</row>
    <row r="980" hidden="1">
      <c r="A980" s="41"/>
      <c r="B980" s="41"/>
      <c r="C980" s="41"/>
      <c r="D980" s="41"/>
      <c r="E980" s="41"/>
      <c r="F980" s="41"/>
      <c r="G980" s="41"/>
      <c r="H980" s="41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</row>
    <row r="981" hidden="1">
      <c r="A981" s="41"/>
      <c r="B981" s="41"/>
      <c r="C981" s="41"/>
      <c r="D981" s="41"/>
      <c r="E981" s="41"/>
      <c r="F981" s="41"/>
      <c r="G981" s="41"/>
      <c r="H981" s="41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</row>
    <row r="982" hidden="1">
      <c r="A982" s="41"/>
      <c r="B982" s="41"/>
      <c r="C982" s="41"/>
      <c r="D982" s="41"/>
      <c r="E982" s="41"/>
      <c r="F982" s="41"/>
      <c r="G982" s="41"/>
      <c r="H982" s="41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</row>
    <row r="983" hidden="1">
      <c r="A983" s="41"/>
      <c r="B983" s="41"/>
      <c r="C983" s="41"/>
      <c r="D983" s="41"/>
      <c r="E983" s="41"/>
      <c r="F983" s="41"/>
      <c r="G983" s="41"/>
      <c r="H983" s="41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</row>
    <row r="984" hidden="1">
      <c r="A984" s="41"/>
      <c r="B984" s="41"/>
      <c r="C984" s="41"/>
      <c r="D984" s="41"/>
      <c r="E984" s="41"/>
      <c r="F984" s="41"/>
      <c r="G984" s="41"/>
      <c r="H984" s="41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</row>
    <row r="985" hidden="1">
      <c r="A985" s="41"/>
      <c r="B985" s="41"/>
      <c r="C985" s="41"/>
      <c r="D985" s="41"/>
      <c r="E985" s="41"/>
      <c r="F985" s="41"/>
      <c r="G985" s="41"/>
      <c r="H985" s="41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</row>
    <row r="986" hidden="1">
      <c r="A986" s="41"/>
      <c r="B986" s="41"/>
      <c r="C986" s="41"/>
      <c r="D986" s="41"/>
      <c r="E986" s="41"/>
      <c r="F986" s="41"/>
      <c r="G986" s="41"/>
      <c r="H986" s="41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</row>
    <row r="987" hidden="1">
      <c r="A987" s="41"/>
      <c r="B987" s="41"/>
      <c r="C987" s="41"/>
      <c r="D987" s="41"/>
      <c r="E987" s="41"/>
      <c r="F987" s="41"/>
      <c r="G987" s="41"/>
      <c r="H987" s="41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</row>
    <row r="988" hidden="1">
      <c r="A988" s="41"/>
      <c r="B988" s="41"/>
      <c r="C988" s="41"/>
      <c r="D988" s="41"/>
      <c r="E988" s="41"/>
      <c r="F988" s="41"/>
      <c r="G988" s="41"/>
      <c r="H988" s="41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</row>
    <row r="989" hidden="1">
      <c r="A989" s="41"/>
      <c r="B989" s="41"/>
      <c r="C989" s="41"/>
      <c r="D989" s="41"/>
      <c r="E989" s="41"/>
      <c r="F989" s="41"/>
      <c r="G989" s="41"/>
      <c r="H989" s="41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</row>
    <row r="990" hidden="1">
      <c r="A990" s="41"/>
      <c r="B990" s="41"/>
      <c r="C990" s="41"/>
      <c r="D990" s="41"/>
      <c r="E990" s="41"/>
      <c r="F990" s="41"/>
      <c r="G990" s="41"/>
      <c r="H990" s="41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</row>
    <row r="991" hidden="1">
      <c r="A991" s="41"/>
      <c r="B991" s="41"/>
      <c r="C991" s="41"/>
      <c r="D991" s="41"/>
      <c r="E991" s="41"/>
      <c r="F991" s="41"/>
      <c r="G991" s="41"/>
      <c r="H991" s="41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</row>
    <row r="992" hidden="1">
      <c r="A992" s="41"/>
      <c r="B992" s="41"/>
      <c r="C992" s="41"/>
      <c r="D992" s="41"/>
      <c r="E992" s="41"/>
      <c r="F992" s="41"/>
      <c r="G992" s="41"/>
      <c r="H992" s="41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</row>
    <row r="993" hidden="1">
      <c r="A993" s="41"/>
      <c r="B993" s="41"/>
      <c r="C993" s="41"/>
      <c r="D993" s="41"/>
      <c r="E993" s="41"/>
      <c r="F993" s="41"/>
      <c r="G993" s="41"/>
      <c r="H993" s="41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</row>
    <row r="994" hidden="1">
      <c r="A994" s="41"/>
      <c r="B994" s="41"/>
      <c r="C994" s="41"/>
      <c r="D994" s="41"/>
      <c r="E994" s="41"/>
      <c r="F994" s="41"/>
      <c r="G994" s="41"/>
      <c r="H994" s="41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</row>
    <row r="995" hidden="1">
      <c r="A995" s="41"/>
      <c r="B995" s="41"/>
      <c r="C995" s="41"/>
      <c r="D995" s="41"/>
      <c r="E995" s="41"/>
      <c r="F995" s="41"/>
      <c r="G995" s="41"/>
      <c r="H995" s="41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</row>
    <row r="996" hidden="1">
      <c r="A996" s="41"/>
      <c r="B996" s="41"/>
      <c r="C996" s="41"/>
      <c r="D996" s="41"/>
      <c r="E996" s="41"/>
      <c r="F996" s="41"/>
      <c r="G996" s="41"/>
      <c r="H996" s="41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</row>
    <row r="997" hidden="1">
      <c r="A997" s="41"/>
      <c r="B997" s="41"/>
      <c r="C997" s="41"/>
      <c r="D997" s="41"/>
      <c r="E997" s="41"/>
      <c r="F997" s="41"/>
      <c r="G997" s="41"/>
      <c r="H997" s="41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</row>
    <row r="998" hidden="1">
      <c r="A998" s="41"/>
      <c r="B998" s="41"/>
      <c r="C998" s="41"/>
      <c r="D998" s="41"/>
      <c r="E998" s="41"/>
      <c r="F998" s="41"/>
      <c r="G998" s="41"/>
      <c r="H998" s="41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</row>
    <row r="999" hidden="1">
      <c r="A999" s="41"/>
      <c r="B999" s="41"/>
      <c r="C999" s="41"/>
      <c r="D999" s="41"/>
      <c r="E999" s="41"/>
      <c r="F999" s="41"/>
      <c r="G999" s="41"/>
      <c r="H999" s="41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</row>
    <row r="1000" hidden="1">
      <c r="A1000" s="41"/>
      <c r="B1000" s="41"/>
      <c r="C1000" s="41"/>
      <c r="D1000" s="41"/>
      <c r="E1000" s="41"/>
      <c r="F1000" s="41"/>
      <c r="G1000" s="41"/>
      <c r="H1000" s="41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7.71"/>
    <col hidden="1" min="2" max="2" width="14.43"/>
    <col customWidth="1" min="3" max="3" width="34.0"/>
    <col customWidth="1" min="4" max="4" width="10.29"/>
    <col customWidth="1" min="5" max="6" width="9.0"/>
    <col customWidth="1" min="7" max="7" width="8.57"/>
    <col customWidth="1" min="8" max="8" width="9.0"/>
    <col customWidth="1" min="9" max="9" width="9.43"/>
    <col hidden="1" min="10" max="26" width="14.43"/>
  </cols>
  <sheetData>
    <row r="1">
      <c r="A1" s="47" t="str">
        <f>IFERROR(__xludf.DUMMYFUNCTION("IMPORTRANGE(""https://docs.google.com/spreadsheets/d/1qoFatOon1uC97wZhIn_0Rq2sZ6a2NuzWasXrzcUDN2Y/edit#gid=1890206292"", ""Landscape Trees!A1:z100000"")"),"Latin Name")</f>
        <v>Latin Name</v>
      </c>
      <c r="B1" s="41" t="str">
        <f>IFERROR(__xludf.DUMMYFUNCTION("""COMPUTED_VALUE"""),"Pot Size Sorting")</f>
        <v>Pot Size Sorting</v>
      </c>
      <c r="C1" s="41" t="str">
        <f>IFERROR(__xludf.DUMMYFUNCTION("""COMPUTED_VALUE"""),"Common Name")</f>
        <v>Common Name</v>
      </c>
      <c r="D1" s="41" t="str">
        <f>IFERROR(__xludf.DUMMYFUNCTION("""COMPUTED_VALUE"""),"Pot Size")</f>
        <v>Pot Size</v>
      </c>
      <c r="E1" s="41" t="str">
        <f>IFERROR(__xludf.DUMMYFUNCTION("""COMPUTED_VALUE"""),"Caliper ")</f>
        <v>Caliper </v>
      </c>
      <c r="F1" s="41" t="str">
        <f>IFERROR(__xludf.DUMMYFUNCTION("""COMPUTED_VALUE"""),"Height")</f>
        <v>Height</v>
      </c>
      <c r="G1" s="41" t="str">
        <f>IFERROR(__xludf.DUMMYFUNCTION("""COMPUTED_VALUE"""),"Quantity ")</f>
        <v>Quantity </v>
      </c>
      <c r="H1" s="41" t="str">
        <f>IFERROR(__xludf.DUMMYFUNCTION("""COMPUTED_VALUE"""),"Projected")</f>
        <v>Projected</v>
      </c>
      <c r="I1" s="41" t="str">
        <f>IFERROR(__xludf.DUMMYFUNCTION("""COMPUTED_VALUE"""),"Price")</f>
        <v>Price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41"/>
      <c r="B2" s="41">
        <f>IFERROR(__xludf.DUMMYFUNCTION("""COMPUTED_VALUE"""),15.0)</f>
        <v>15</v>
      </c>
      <c r="C2" s="41" t="str">
        <f>IFERROR(__xludf.DUMMYFUNCTION("""COMPUTED_VALUE"""),"Sugar Maple")</f>
        <v>Sugar Maple</v>
      </c>
      <c r="D2" s="41" t="str">
        <f>IFERROR(__xludf.DUMMYFUNCTION("""COMPUTED_VALUE"""),"#15")</f>
        <v>#15</v>
      </c>
      <c r="E2" s="43" t="str">
        <f>IFERROR(__xludf.DUMMYFUNCTION("""COMPUTED_VALUE"""),"1-1""")</f>
        <v>1-1"</v>
      </c>
      <c r="F2" s="41" t="str">
        <f>IFERROR(__xludf.DUMMYFUNCTION("""COMPUTED_VALUE"""),"8-9'")</f>
        <v>8-9'</v>
      </c>
      <c r="G2" s="44">
        <f>IFERROR(__xludf.DUMMYFUNCTION("""COMPUTED_VALUE"""),0.0)</f>
        <v>0</v>
      </c>
      <c r="H2" s="41">
        <f>IFERROR(__xludf.DUMMYFUNCTION("""COMPUTED_VALUE"""),10.0)</f>
        <v>10</v>
      </c>
      <c r="I2" s="45">
        <f>IFERROR(__xludf.DUMMYFUNCTION("""COMPUTED_VALUE"""),35.0)</f>
        <v>35</v>
      </c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>
      <c r="A3" s="41" t="str">
        <f>IFERROR(__xludf.DUMMYFUNCTION("""COMPUTED_VALUE"""),"Acer buergerianum")</f>
        <v>Acer buergerianum</v>
      </c>
      <c r="B3" s="41">
        <f>IFERROR(__xludf.DUMMYFUNCTION("""COMPUTED_VALUE"""),5.0)</f>
        <v>5</v>
      </c>
      <c r="C3" s="41" t="str">
        <f>IFERROR(__xludf.DUMMYFUNCTION("""COMPUTED_VALUE"""),"Trident Maple")</f>
        <v>Trident Maple</v>
      </c>
      <c r="D3" s="41" t="str">
        <f>IFERROR(__xludf.DUMMYFUNCTION("""COMPUTED_VALUE"""),"#5")</f>
        <v>#5</v>
      </c>
      <c r="E3" s="43" t="str">
        <f>IFERROR(__xludf.DUMMYFUNCTION("""COMPUTED_VALUE"""),"0.25-0.5""")</f>
        <v>0.25-0.5"</v>
      </c>
      <c r="F3" s="41" t="str">
        <f>IFERROR(__xludf.DUMMYFUNCTION("""COMPUTED_VALUE"""),"3-6'")</f>
        <v>3-6'</v>
      </c>
      <c r="G3" s="44">
        <f>IFERROR(__xludf.DUMMYFUNCTION("""COMPUTED_VALUE"""),9.0)</f>
        <v>9</v>
      </c>
      <c r="H3" s="41">
        <f>IFERROR(__xludf.DUMMYFUNCTION("""COMPUTED_VALUE"""),0.0)</f>
        <v>0</v>
      </c>
      <c r="I3" s="45">
        <f>IFERROR(__xludf.DUMMYFUNCTION("""COMPUTED_VALUE"""),40.0)</f>
        <v>40</v>
      </c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>
      <c r="A4" s="41" t="str">
        <f>IFERROR(__xludf.DUMMYFUNCTION("""COMPUTED_VALUE"""),"Acer campestre")</f>
        <v>Acer campestre</v>
      </c>
      <c r="B4" s="41">
        <f>IFERROR(__xludf.DUMMYFUNCTION("""COMPUTED_VALUE"""),5.0)</f>
        <v>5</v>
      </c>
      <c r="C4" s="41" t="str">
        <f>IFERROR(__xludf.DUMMYFUNCTION("""COMPUTED_VALUE"""),"Hedge Maple")</f>
        <v>Hedge Maple</v>
      </c>
      <c r="D4" s="41" t="str">
        <f>IFERROR(__xludf.DUMMYFUNCTION("""COMPUTED_VALUE"""),"#5")</f>
        <v>#5</v>
      </c>
      <c r="E4" s="43" t="str">
        <f>IFERROR(__xludf.DUMMYFUNCTION("""COMPUTED_VALUE"""),"1-1.25""")</f>
        <v>1-1.25"</v>
      </c>
      <c r="F4" s="41" t="str">
        <f>IFERROR(__xludf.DUMMYFUNCTION("""COMPUTED_VALUE"""),"6-7'")</f>
        <v>6-7'</v>
      </c>
      <c r="G4" s="44">
        <f>IFERROR(__xludf.DUMMYFUNCTION("""COMPUTED_VALUE"""),12.0)</f>
        <v>12</v>
      </c>
      <c r="H4" s="41">
        <f>IFERROR(__xludf.DUMMYFUNCTION("""COMPUTED_VALUE"""),0.0)</f>
        <v>0</v>
      </c>
      <c r="I4" s="45">
        <f>IFERROR(__xludf.DUMMYFUNCTION("""COMPUTED_VALUE"""),40.0)</f>
        <v>40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>
      <c r="A5" s="41" t="str">
        <f>IFERROR(__xludf.DUMMYFUNCTION("""COMPUTED_VALUE"""),"Acer griseum")</f>
        <v>Acer griseum</v>
      </c>
      <c r="B5" s="41">
        <f>IFERROR(__xludf.DUMMYFUNCTION("""COMPUTED_VALUE"""),5.0)</f>
        <v>5</v>
      </c>
      <c r="C5" s="41" t="str">
        <f>IFERROR(__xludf.DUMMYFUNCTION("""COMPUTED_VALUE"""),"Paperbark Maple")</f>
        <v>Paperbark Maple</v>
      </c>
      <c r="D5" s="41" t="str">
        <f>IFERROR(__xludf.DUMMYFUNCTION("""COMPUTED_VALUE"""),"#5")</f>
        <v>#5</v>
      </c>
      <c r="E5" s="43" t="str">
        <f>IFERROR(__xludf.DUMMYFUNCTION("""COMPUTED_VALUE"""),"0.75-1""")</f>
        <v>0.75-1"</v>
      </c>
      <c r="F5" s="41" t="str">
        <f>IFERROR(__xludf.DUMMYFUNCTION("""COMPUTED_VALUE"""),"4-5'")</f>
        <v>4-5'</v>
      </c>
      <c r="G5" s="44">
        <f>IFERROR(__xludf.DUMMYFUNCTION("""COMPUTED_VALUE"""),21.0)</f>
        <v>21</v>
      </c>
      <c r="H5" s="41">
        <f>IFERROR(__xludf.DUMMYFUNCTION("""COMPUTED_VALUE"""),0.0)</f>
        <v>0</v>
      </c>
      <c r="I5" s="45">
        <f>IFERROR(__xludf.DUMMYFUNCTION("""COMPUTED_VALUE"""),55.0)</f>
        <v>55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>
      <c r="A6" s="41" t="str">
        <f>IFERROR(__xludf.DUMMYFUNCTION("""COMPUTED_VALUE"""),"Acer griseum")</f>
        <v>Acer griseum</v>
      </c>
      <c r="B6" s="41">
        <f>IFERROR(__xludf.DUMMYFUNCTION("""COMPUTED_VALUE"""),15.0)</f>
        <v>15</v>
      </c>
      <c r="C6" s="41" t="str">
        <f>IFERROR(__xludf.DUMMYFUNCTION("""COMPUTED_VALUE"""),"Paperbark Maple")</f>
        <v>Paperbark Maple</v>
      </c>
      <c r="D6" s="41" t="str">
        <f>IFERROR(__xludf.DUMMYFUNCTION("""COMPUTED_VALUE"""),"#15")</f>
        <v>#15</v>
      </c>
      <c r="E6" s="43" t="str">
        <f>IFERROR(__xludf.DUMMYFUNCTION("""COMPUTED_VALUE"""),"0-1.75""")</f>
        <v>0-1.75"</v>
      </c>
      <c r="F6" s="41" t="str">
        <f>IFERROR(__xludf.DUMMYFUNCTION("""COMPUTED_VALUE"""),"0-10'")</f>
        <v>0-10'</v>
      </c>
      <c r="G6" s="44">
        <f>IFERROR(__xludf.DUMMYFUNCTION("""COMPUTED_VALUE"""),0.0)</f>
        <v>0</v>
      </c>
      <c r="H6" s="41">
        <f>IFERROR(__xludf.DUMMYFUNCTION("""COMPUTED_VALUE"""),6.0)</f>
        <v>6</v>
      </c>
      <c r="I6" s="45">
        <f>IFERROR(__xludf.DUMMYFUNCTION("""COMPUTED_VALUE"""),180.0)</f>
        <v>180</v>
      </c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>
      <c r="A7" s="41" t="str">
        <f>IFERROR(__xludf.DUMMYFUNCTION("""COMPUTED_VALUE"""),"Acer palmatum 'Bloodgood'")</f>
        <v>Acer palmatum 'Bloodgood'</v>
      </c>
      <c r="B7" s="41">
        <f>IFERROR(__xludf.DUMMYFUNCTION("""COMPUTED_VALUE"""),7.0)</f>
        <v>7</v>
      </c>
      <c r="C7" s="41" t="str">
        <f>IFERROR(__xludf.DUMMYFUNCTION("""COMPUTED_VALUE"""),"Bloodgood Japanese Maple")</f>
        <v>Bloodgood Japanese Maple</v>
      </c>
      <c r="D7" s="41" t="str">
        <f>IFERROR(__xludf.DUMMYFUNCTION("""COMPUTED_VALUE"""),"#7")</f>
        <v>#7</v>
      </c>
      <c r="E7" s="43" t="str">
        <f>IFERROR(__xludf.DUMMYFUNCTION("""COMPUTED_VALUE"""),"0.25-0.5""")</f>
        <v>0.25-0.5"</v>
      </c>
      <c r="F7" s="41" t="str">
        <f>IFERROR(__xludf.DUMMYFUNCTION("""COMPUTED_VALUE"""),"4-5'")</f>
        <v>4-5'</v>
      </c>
      <c r="G7" s="44">
        <f>IFERROR(__xludf.DUMMYFUNCTION("""COMPUTED_VALUE"""),1.0)</f>
        <v>1</v>
      </c>
      <c r="H7" s="41">
        <f>IFERROR(__xludf.DUMMYFUNCTION("""COMPUTED_VALUE"""),0.0)</f>
        <v>0</v>
      </c>
      <c r="I7" s="45">
        <f>IFERROR(__xludf.DUMMYFUNCTION("""COMPUTED_VALUE"""),50.0)</f>
        <v>50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>
      <c r="A8" s="41" t="str">
        <f>IFERROR(__xludf.DUMMYFUNCTION("""COMPUTED_VALUE"""),"Acer palmatum 'Emperor I'")</f>
        <v>Acer palmatum 'Emperor I'</v>
      </c>
      <c r="B8" s="41">
        <f>IFERROR(__xludf.DUMMYFUNCTION("""COMPUTED_VALUE"""),7.0)</f>
        <v>7</v>
      </c>
      <c r="C8" s="41" t="str">
        <f>IFERROR(__xludf.DUMMYFUNCTION("""COMPUTED_VALUE"""),"Emperor I Japanese Maple")</f>
        <v>Emperor I Japanese Maple</v>
      </c>
      <c r="D8" s="41" t="str">
        <f>IFERROR(__xludf.DUMMYFUNCTION("""COMPUTED_VALUE"""),"#7")</f>
        <v>#7</v>
      </c>
      <c r="E8" s="43" t="str">
        <f>IFERROR(__xludf.DUMMYFUNCTION("""COMPUTED_VALUE"""),"0.25-0.5""")</f>
        <v>0.25-0.5"</v>
      </c>
      <c r="F8" s="41" t="str">
        <f>IFERROR(__xludf.DUMMYFUNCTION("""COMPUTED_VALUE"""),"4-5'")</f>
        <v>4-5'</v>
      </c>
      <c r="G8" s="44">
        <f>IFERROR(__xludf.DUMMYFUNCTION("""COMPUTED_VALUE"""),3.0)</f>
        <v>3</v>
      </c>
      <c r="H8" s="41">
        <f>IFERROR(__xludf.DUMMYFUNCTION("""COMPUTED_VALUE"""),20.0)</f>
        <v>20</v>
      </c>
      <c r="I8" s="45">
        <f>IFERROR(__xludf.DUMMYFUNCTION("""COMPUTED_VALUE"""),55.0)</f>
        <v>55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>
      <c r="A9" s="41" t="str">
        <f>IFERROR(__xludf.DUMMYFUNCTION("""COMPUTED_VALUE"""),"Acer palmatum 'Tamukeyama'")</f>
        <v>Acer palmatum 'Tamukeyama'</v>
      </c>
      <c r="B9" s="41">
        <f>IFERROR(__xludf.DUMMYFUNCTION("""COMPUTED_VALUE"""),7.0)</f>
        <v>7</v>
      </c>
      <c r="C9" s="41" t="str">
        <f>IFERROR(__xludf.DUMMYFUNCTION("""COMPUTED_VALUE"""),"Tamukeyama Japanese Maple")</f>
        <v>Tamukeyama Japanese Maple</v>
      </c>
      <c r="D9" s="41" t="str">
        <f>IFERROR(__xludf.DUMMYFUNCTION("""COMPUTED_VALUE"""),"#7")</f>
        <v>#7</v>
      </c>
      <c r="E9" s="43" t="str">
        <f>IFERROR(__xludf.DUMMYFUNCTION("""COMPUTED_VALUE"""),"0.375-0.5""")</f>
        <v>0.375-0.5"</v>
      </c>
      <c r="F9" s="41" t="str">
        <f>IFERROR(__xludf.DUMMYFUNCTION("""COMPUTED_VALUE"""),"3-4'")</f>
        <v>3-4'</v>
      </c>
      <c r="G9" s="44">
        <f>IFERROR(__xludf.DUMMYFUNCTION("""COMPUTED_VALUE"""),14.0)</f>
        <v>14</v>
      </c>
      <c r="H9" s="41">
        <f>IFERROR(__xludf.DUMMYFUNCTION("""COMPUTED_VALUE"""),20.0)</f>
        <v>20</v>
      </c>
      <c r="I9" s="45">
        <f>IFERROR(__xludf.DUMMYFUNCTION("""COMPUTED_VALUE"""),60.0)</f>
        <v>60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>
      <c r="A10" s="41" t="str">
        <f>IFERROR(__xludf.DUMMYFUNCTION("""COMPUTED_VALUE"""),"Acer rubrum")</f>
        <v>Acer rubrum</v>
      </c>
      <c r="B10" s="41">
        <f>IFERROR(__xludf.DUMMYFUNCTION("""COMPUTED_VALUE"""),5.0)</f>
        <v>5</v>
      </c>
      <c r="C10" s="41" t="str">
        <f>IFERROR(__xludf.DUMMYFUNCTION("""COMPUTED_VALUE"""),"Red Maple (Native)")</f>
        <v>Red Maple (Native)</v>
      </c>
      <c r="D10" s="41" t="str">
        <f>IFERROR(__xludf.DUMMYFUNCTION("""COMPUTED_VALUE"""),"#5")</f>
        <v>#5</v>
      </c>
      <c r="E10" s="43" t="str">
        <f>IFERROR(__xludf.DUMMYFUNCTION("""COMPUTED_VALUE"""),"0.125-0.25""")</f>
        <v>0.125-0.25"</v>
      </c>
      <c r="F10" s="41" t="str">
        <f>IFERROR(__xludf.DUMMYFUNCTION("""COMPUTED_VALUE"""),"3-4'")</f>
        <v>3-4'</v>
      </c>
      <c r="G10" s="44">
        <f>IFERROR(__xludf.DUMMYFUNCTION("""COMPUTED_VALUE"""),8.0)</f>
        <v>8</v>
      </c>
      <c r="H10" s="41">
        <f>IFERROR(__xludf.DUMMYFUNCTION("""COMPUTED_VALUE"""),100.0)</f>
        <v>100</v>
      </c>
      <c r="I10" s="45">
        <f>IFERROR(__xludf.DUMMYFUNCTION("""COMPUTED_VALUE"""),40.0)</f>
        <v>40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41" t="str">
        <f>IFERROR(__xludf.DUMMYFUNCTION("""COMPUTED_VALUE"""),"Acer rubrum ")</f>
        <v>Acer rubrum </v>
      </c>
      <c r="B11" s="41">
        <f>IFERROR(__xludf.DUMMYFUNCTION("""COMPUTED_VALUE"""),5.0)</f>
        <v>5</v>
      </c>
      <c r="C11" s="41" t="str">
        <f>IFERROR(__xludf.DUMMYFUNCTION("""COMPUTED_VALUE"""),"Red Maple (Cultivar)")</f>
        <v>Red Maple (Cultivar)</v>
      </c>
      <c r="D11" s="41" t="str">
        <f>IFERROR(__xludf.DUMMYFUNCTION("""COMPUTED_VALUE"""),"#5")</f>
        <v>#5</v>
      </c>
      <c r="E11" s="43" t="str">
        <f>IFERROR(__xludf.DUMMYFUNCTION("""COMPUTED_VALUE"""),"0.25-0.5""")</f>
        <v>0.25-0.5"</v>
      </c>
      <c r="F11" s="41" t="str">
        <f>IFERROR(__xludf.DUMMYFUNCTION("""COMPUTED_VALUE"""),"2-3'")</f>
        <v>2-3'</v>
      </c>
      <c r="G11" s="44">
        <f>IFERROR(__xludf.DUMMYFUNCTION("""COMPUTED_VALUE"""),55.0)</f>
        <v>55</v>
      </c>
      <c r="H11" s="41">
        <f>IFERROR(__xludf.DUMMYFUNCTION("""COMPUTED_VALUE"""),0.0)</f>
        <v>0</v>
      </c>
      <c r="I11" s="45">
        <f>IFERROR(__xludf.DUMMYFUNCTION("""COMPUTED_VALUE"""),40.0)</f>
        <v>40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41" t="str">
        <f>IFERROR(__xludf.DUMMYFUNCTION("""COMPUTED_VALUE"""),"Acer rubrum ")</f>
        <v>Acer rubrum </v>
      </c>
      <c r="B12" s="41">
        <f>IFERROR(__xludf.DUMMYFUNCTION("""COMPUTED_VALUE"""),15.0)</f>
        <v>15</v>
      </c>
      <c r="C12" s="41" t="str">
        <f>IFERROR(__xludf.DUMMYFUNCTION("""COMPUTED_VALUE"""),"Red Maple")</f>
        <v>Red Maple</v>
      </c>
      <c r="D12" s="41" t="str">
        <f>IFERROR(__xludf.DUMMYFUNCTION("""COMPUTED_VALUE"""),"#15")</f>
        <v>#15</v>
      </c>
      <c r="E12" s="43" t="str">
        <f>IFERROR(__xludf.DUMMYFUNCTION("""COMPUTED_VALUE"""),"0-1.25""")</f>
        <v>0-1.25"</v>
      </c>
      <c r="F12" s="41" t="str">
        <f>IFERROR(__xludf.DUMMYFUNCTION("""COMPUTED_VALUE"""),"0-12'")</f>
        <v>0-12'</v>
      </c>
      <c r="G12" s="44">
        <f>IFERROR(__xludf.DUMMYFUNCTION("""COMPUTED_VALUE"""),0.0)</f>
        <v>0</v>
      </c>
      <c r="H12" s="41">
        <f>IFERROR(__xludf.DUMMYFUNCTION("""COMPUTED_VALUE"""),40.0)</f>
        <v>40</v>
      </c>
      <c r="I12" s="45">
        <f>IFERROR(__xludf.DUMMYFUNCTION("""COMPUTED_VALUE"""),115.0)</f>
        <v>115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41" t="str">
        <f>IFERROR(__xludf.DUMMYFUNCTION("""COMPUTED_VALUE"""),"Acer saccharum")</f>
        <v>Acer saccharum</v>
      </c>
      <c r="B13" s="41">
        <f>IFERROR(__xludf.DUMMYFUNCTION("""COMPUTED_VALUE"""),5.0)</f>
        <v>5</v>
      </c>
      <c r="C13" s="41" t="str">
        <f>IFERROR(__xludf.DUMMYFUNCTION("""COMPUTED_VALUE"""),"Sugar Maple")</f>
        <v>Sugar Maple</v>
      </c>
      <c r="D13" s="41" t="str">
        <f>IFERROR(__xludf.DUMMYFUNCTION("""COMPUTED_VALUE"""),"#5")</f>
        <v>#5</v>
      </c>
      <c r="E13" s="43" t="str">
        <f>IFERROR(__xludf.DUMMYFUNCTION("""COMPUTED_VALUE"""),"0.25-0.5""")</f>
        <v>0.25-0.5"</v>
      </c>
      <c r="F13" s="41" t="str">
        <f>IFERROR(__xludf.DUMMYFUNCTION("""COMPUTED_VALUE"""),"3-5'")</f>
        <v>3-5'</v>
      </c>
      <c r="G13" s="44">
        <f>IFERROR(__xludf.DUMMYFUNCTION("""COMPUTED_VALUE"""),33.0)</f>
        <v>33</v>
      </c>
      <c r="H13" s="41">
        <f>IFERROR(__xludf.DUMMYFUNCTION("""COMPUTED_VALUE"""),50.0)</f>
        <v>50</v>
      </c>
      <c r="I13" s="45">
        <f>IFERROR(__xludf.DUMMYFUNCTION("""COMPUTED_VALUE"""),40.0)</f>
        <v>40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41" t="str">
        <f>IFERROR(__xludf.DUMMYFUNCTION("""COMPUTED_VALUE"""),"Acer saccharum 'Bailsta'")</f>
        <v>Acer saccharum 'Bailsta'</v>
      </c>
      <c r="B14" s="41">
        <f>IFERROR(__xludf.DUMMYFUNCTION("""COMPUTED_VALUE"""),15.0)</f>
        <v>15</v>
      </c>
      <c r="C14" s="41" t="str">
        <f>IFERROR(__xludf.DUMMYFUNCTION("""COMPUTED_VALUE"""),"Fall Fiesta Sugar Maple")</f>
        <v>Fall Fiesta Sugar Maple</v>
      </c>
      <c r="D14" s="41" t="str">
        <f>IFERROR(__xludf.DUMMYFUNCTION("""COMPUTED_VALUE"""),"#15")</f>
        <v>#15</v>
      </c>
      <c r="E14" s="43" t="str">
        <f>IFERROR(__xludf.DUMMYFUNCTION("""COMPUTED_VALUE"""),"0-0""")</f>
        <v>0-0"</v>
      </c>
      <c r="F14" s="41" t="str">
        <f>IFERROR(__xludf.DUMMYFUNCTION("""COMPUTED_VALUE"""),"0-0'")</f>
        <v>0-0'</v>
      </c>
      <c r="G14" s="44">
        <f>IFERROR(__xludf.DUMMYFUNCTION("""COMPUTED_VALUE"""),0.0)</f>
        <v>0</v>
      </c>
      <c r="H14" s="41">
        <f>IFERROR(__xludf.DUMMYFUNCTION("""COMPUTED_VALUE"""),15.0)</f>
        <v>15</v>
      </c>
      <c r="I14" s="45">
        <f>IFERROR(__xludf.DUMMYFUNCTION("""COMPUTED_VALUE"""),115.0)</f>
        <v>115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41" t="str">
        <f>IFERROR(__xludf.DUMMYFUNCTION("""COMPUTED_VALUE"""),"Acer saccharum 'Green Mountain'")</f>
        <v>Acer saccharum 'Green Mountain'</v>
      </c>
      <c r="B15" s="41">
        <f>IFERROR(__xludf.DUMMYFUNCTION("""COMPUTED_VALUE"""),15.0)</f>
        <v>15</v>
      </c>
      <c r="C15" s="41" t="str">
        <f>IFERROR(__xludf.DUMMYFUNCTION("""COMPUTED_VALUE"""),"Green Mountain Sugar Maple")</f>
        <v>Green Mountain Sugar Maple</v>
      </c>
      <c r="D15" s="41" t="str">
        <f>IFERROR(__xludf.DUMMYFUNCTION("""COMPUTED_VALUE"""),"#15")</f>
        <v>#15</v>
      </c>
      <c r="E15" s="43" t="str">
        <f>IFERROR(__xludf.DUMMYFUNCTION("""COMPUTED_VALUE"""),"0-1.25""")</f>
        <v>0-1.25"</v>
      </c>
      <c r="F15" s="41" t="str">
        <f>IFERROR(__xludf.DUMMYFUNCTION("""COMPUTED_VALUE"""),"0-10'")</f>
        <v>0-10'</v>
      </c>
      <c r="G15" s="44">
        <f>IFERROR(__xludf.DUMMYFUNCTION("""COMPUTED_VALUE"""),0.0)</f>
        <v>0</v>
      </c>
      <c r="H15" s="41">
        <f>IFERROR(__xludf.DUMMYFUNCTION("""COMPUTED_VALUE"""),10.0)</f>
        <v>10</v>
      </c>
      <c r="I15" s="45">
        <f>IFERROR(__xludf.DUMMYFUNCTION("""COMPUTED_VALUE"""),115.0)</f>
        <v>115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41" t="str">
        <f>IFERROR(__xludf.DUMMYFUNCTION("""COMPUTED_VALUE"""),"Acer saccharum 'Green Mountain'")</f>
        <v>Acer saccharum 'Green Mountain'</v>
      </c>
      <c r="B16" s="41">
        <f>IFERROR(__xludf.DUMMYFUNCTION("""COMPUTED_VALUE"""),25.0)</f>
        <v>25</v>
      </c>
      <c r="C16" s="41" t="str">
        <f>IFERROR(__xludf.DUMMYFUNCTION("""COMPUTED_VALUE"""),"Green Mountain Sugar Maple")</f>
        <v>Green Mountain Sugar Maple</v>
      </c>
      <c r="D16" s="41" t="str">
        <f>IFERROR(__xludf.DUMMYFUNCTION("""COMPUTED_VALUE"""),"#25")</f>
        <v>#25</v>
      </c>
      <c r="E16" s="43" t="str">
        <f>IFERROR(__xludf.DUMMYFUNCTION("""COMPUTED_VALUE"""),"1-1.25""")</f>
        <v>1-1.25"</v>
      </c>
      <c r="F16" s="41" t="str">
        <f>IFERROR(__xludf.DUMMYFUNCTION("""COMPUTED_VALUE"""),"9-10'")</f>
        <v>9-10'</v>
      </c>
      <c r="G16" s="44">
        <f>IFERROR(__xludf.DUMMYFUNCTION("""COMPUTED_VALUE"""),1.0)</f>
        <v>1</v>
      </c>
      <c r="H16" s="41">
        <f>IFERROR(__xludf.DUMMYFUNCTION("""COMPUTED_VALUE"""),0.0)</f>
        <v>0</v>
      </c>
      <c r="I16" s="45">
        <f>IFERROR(__xludf.DUMMYFUNCTION("""COMPUTED_VALUE"""),155.0)</f>
        <v>155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41" t="str">
        <f>IFERROR(__xludf.DUMMYFUNCTION("""COMPUTED_VALUE"""),"Acer saccharum 'Legacy'")</f>
        <v>Acer saccharum 'Legacy'</v>
      </c>
      <c r="B17" s="41">
        <f>IFERROR(__xludf.DUMMYFUNCTION("""COMPUTED_VALUE"""),15.0)</f>
        <v>15</v>
      </c>
      <c r="C17" s="41" t="str">
        <f>IFERROR(__xludf.DUMMYFUNCTION("""COMPUTED_VALUE"""),"Legacy Sugar Maple")</f>
        <v>Legacy Sugar Maple</v>
      </c>
      <c r="D17" s="41" t="str">
        <f>IFERROR(__xludf.DUMMYFUNCTION("""COMPUTED_VALUE"""),"#15")</f>
        <v>#15</v>
      </c>
      <c r="E17" s="43" t="str">
        <f>IFERROR(__xludf.DUMMYFUNCTION("""COMPUTED_VALUE"""),"0.5-0.75""")</f>
        <v>0.5-0.75"</v>
      </c>
      <c r="F17" s="41" t="str">
        <f>IFERROR(__xludf.DUMMYFUNCTION("""COMPUTED_VALUE"""),"7-7'")</f>
        <v>7-7'</v>
      </c>
      <c r="G17" s="44">
        <f>IFERROR(__xludf.DUMMYFUNCTION("""COMPUTED_VALUE"""),2.0)</f>
        <v>2</v>
      </c>
      <c r="H17" s="41">
        <f>IFERROR(__xludf.DUMMYFUNCTION("""COMPUTED_VALUE"""),0.0)</f>
        <v>0</v>
      </c>
      <c r="I17" s="45">
        <f>IFERROR(__xludf.DUMMYFUNCTION("""COMPUTED_VALUE"""),115.0)</f>
        <v>115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41" t="str">
        <f>IFERROR(__xludf.DUMMYFUNCTION("""COMPUTED_VALUE"""),"Acer tataricum 'Hot Wings'")</f>
        <v>Acer tataricum 'Hot Wings'</v>
      </c>
      <c r="B18" s="41">
        <f>IFERROR(__xludf.DUMMYFUNCTION("""COMPUTED_VALUE"""),15.0)</f>
        <v>15</v>
      </c>
      <c r="C18" s="41" t="str">
        <f>IFERROR(__xludf.DUMMYFUNCTION("""COMPUTED_VALUE"""),"Hot Wings Maple")</f>
        <v>Hot Wings Maple</v>
      </c>
      <c r="D18" s="41" t="str">
        <f>IFERROR(__xludf.DUMMYFUNCTION("""COMPUTED_VALUE"""),"#15")</f>
        <v>#15</v>
      </c>
      <c r="E18" s="43" t="str">
        <f>IFERROR(__xludf.DUMMYFUNCTION("""COMPUTED_VALUE"""),"0-0""")</f>
        <v>0-0"</v>
      </c>
      <c r="F18" s="41" t="str">
        <f>IFERROR(__xludf.DUMMYFUNCTION("""COMPUTED_VALUE"""),"0-0'")</f>
        <v>0-0'</v>
      </c>
      <c r="G18" s="44">
        <f>IFERROR(__xludf.DUMMYFUNCTION("""COMPUTED_VALUE"""),0.0)</f>
        <v>0</v>
      </c>
      <c r="H18" s="41">
        <f>IFERROR(__xludf.DUMMYFUNCTION("""COMPUTED_VALUE"""),5.0)</f>
        <v>5</v>
      </c>
      <c r="I18" s="45">
        <f>IFERROR(__xludf.DUMMYFUNCTION("""COMPUTED_VALUE"""),115.0)</f>
        <v>115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41" t="str">
        <f>IFERROR(__xludf.DUMMYFUNCTION("""COMPUTED_VALUE"""),"Acer tataricum 'Hot Wings'")</f>
        <v>Acer tataricum 'Hot Wings'</v>
      </c>
      <c r="B19" s="41">
        <f>IFERROR(__xludf.DUMMYFUNCTION("""COMPUTED_VALUE"""),25.0)</f>
        <v>25</v>
      </c>
      <c r="C19" s="41" t="str">
        <f>IFERROR(__xludf.DUMMYFUNCTION("""COMPUTED_VALUE"""),"Hot Wings Maple")</f>
        <v>Hot Wings Maple</v>
      </c>
      <c r="D19" s="41" t="str">
        <f>IFERROR(__xludf.DUMMYFUNCTION("""COMPUTED_VALUE"""),"#25")</f>
        <v>#25</v>
      </c>
      <c r="E19" s="43" t="str">
        <f>IFERROR(__xludf.DUMMYFUNCTION("""COMPUTED_VALUE"""),"1-1.5""")</f>
        <v>1-1.5"</v>
      </c>
      <c r="F19" s="41" t="str">
        <f>IFERROR(__xludf.DUMMYFUNCTION("""COMPUTED_VALUE"""),"8-11'")</f>
        <v>8-11'</v>
      </c>
      <c r="G19" s="44">
        <f>IFERROR(__xludf.DUMMYFUNCTION("""COMPUTED_VALUE"""),5.0)</f>
        <v>5</v>
      </c>
      <c r="H19" s="41">
        <f>IFERROR(__xludf.DUMMYFUNCTION("""COMPUTED_VALUE"""),0.0)</f>
        <v>0</v>
      </c>
      <c r="I19" s="45">
        <f>IFERROR(__xludf.DUMMYFUNCTION("""COMPUTED_VALUE"""),140.0)</f>
        <v>140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41" t="str">
        <f>IFERROR(__xludf.DUMMYFUNCTION("""COMPUTED_VALUE"""),"Acer x freemanii")</f>
        <v>Acer x freemanii</v>
      </c>
      <c r="B20" s="41">
        <f>IFERROR(__xludf.DUMMYFUNCTION("""COMPUTED_VALUE"""),5.0)</f>
        <v>5</v>
      </c>
      <c r="C20" s="41" t="str">
        <f>IFERROR(__xludf.DUMMYFUNCTION("""COMPUTED_VALUE"""),"Autumn Blaze Maple")</f>
        <v>Autumn Blaze Maple</v>
      </c>
      <c r="D20" s="41" t="str">
        <f>IFERROR(__xludf.DUMMYFUNCTION("""COMPUTED_VALUE"""),"#5")</f>
        <v>#5</v>
      </c>
      <c r="E20" s="43" t="str">
        <f>IFERROR(__xludf.DUMMYFUNCTION("""COMPUTED_VALUE"""),"0.38-0.25""")</f>
        <v>0.38-0.25"</v>
      </c>
      <c r="F20" s="41" t="str">
        <f>IFERROR(__xludf.DUMMYFUNCTION("""COMPUTED_VALUE"""),"1-2'")</f>
        <v>1-2'</v>
      </c>
      <c r="G20" s="44">
        <f>IFERROR(__xludf.DUMMYFUNCTION("""COMPUTED_VALUE"""),0.0)</f>
        <v>0</v>
      </c>
      <c r="H20" s="41">
        <f>IFERROR(__xludf.DUMMYFUNCTION("""COMPUTED_VALUE"""),25.0)</f>
        <v>25</v>
      </c>
      <c r="I20" s="45">
        <f>IFERROR(__xludf.DUMMYFUNCTION("""COMPUTED_VALUE"""),40.0)</f>
        <v>40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41" t="str">
        <f>IFERROR(__xludf.DUMMYFUNCTION("""COMPUTED_VALUE"""),"Acer x freemanii")</f>
        <v>Acer x freemanii</v>
      </c>
      <c r="B21" s="41">
        <f>IFERROR(__xludf.DUMMYFUNCTION("""COMPUTED_VALUE"""),10.0)</f>
        <v>10</v>
      </c>
      <c r="C21" s="41" t="str">
        <f>IFERROR(__xludf.DUMMYFUNCTION("""COMPUTED_VALUE"""),"Autumn Blaze Maple")</f>
        <v>Autumn Blaze Maple</v>
      </c>
      <c r="D21" s="41" t="str">
        <f>IFERROR(__xludf.DUMMYFUNCTION("""COMPUTED_VALUE"""),"#10")</f>
        <v>#10</v>
      </c>
      <c r="E21" s="43" t="str">
        <f>IFERROR(__xludf.DUMMYFUNCTION("""COMPUTED_VALUE"""),"0-1.5""")</f>
        <v>0-1.5"</v>
      </c>
      <c r="F21" s="41" t="str">
        <f>IFERROR(__xludf.DUMMYFUNCTION("""COMPUTED_VALUE"""),"0-9'")</f>
        <v>0-9'</v>
      </c>
      <c r="G21" s="44">
        <f>IFERROR(__xludf.DUMMYFUNCTION("""COMPUTED_VALUE"""),0.0)</f>
        <v>0</v>
      </c>
      <c r="H21" s="41">
        <f>IFERROR(__xludf.DUMMYFUNCTION("""COMPUTED_VALUE"""),17.0)</f>
        <v>17</v>
      </c>
      <c r="I21" s="45">
        <f>IFERROR(__xludf.DUMMYFUNCTION("""COMPUTED_VALUE"""),85.0)</f>
        <v>85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41" t="str">
        <f>IFERROR(__xludf.DUMMYFUNCTION("""COMPUTED_VALUE"""),"Aesculus carnea 'Ft. McNair'")</f>
        <v>Aesculus carnea 'Ft. McNair'</v>
      </c>
      <c r="B22" s="41">
        <f>IFERROR(__xludf.DUMMYFUNCTION("""COMPUTED_VALUE"""),15.0)</f>
        <v>15</v>
      </c>
      <c r="C22" s="41" t="str">
        <f>IFERROR(__xludf.DUMMYFUNCTION("""COMPUTED_VALUE"""),"Ft. McNair Horsechestnut")</f>
        <v>Ft. McNair Horsechestnut</v>
      </c>
      <c r="D22" s="41" t="str">
        <f>IFERROR(__xludf.DUMMYFUNCTION("""COMPUTED_VALUE"""),"#15")</f>
        <v>#15</v>
      </c>
      <c r="E22" s="43" t="str">
        <f>IFERROR(__xludf.DUMMYFUNCTION("""COMPUTED_VALUE"""),"1.25-1.5""")</f>
        <v>1.25-1.5"</v>
      </c>
      <c r="F22" s="41" t="str">
        <f>IFERROR(__xludf.DUMMYFUNCTION("""COMPUTED_VALUE"""),"8-9'")</f>
        <v>8-9'</v>
      </c>
      <c r="G22" s="44">
        <f>IFERROR(__xludf.DUMMYFUNCTION("""COMPUTED_VALUE"""),1.0)</f>
        <v>1</v>
      </c>
      <c r="H22" s="41">
        <f>IFERROR(__xludf.DUMMYFUNCTION("""COMPUTED_VALUE"""),12.0)</f>
        <v>12</v>
      </c>
      <c r="I22" s="45">
        <f>IFERROR(__xludf.DUMMYFUNCTION("""COMPUTED_VALUE"""),140.0)</f>
        <v>140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41" t="str">
        <f>IFERROR(__xludf.DUMMYFUNCTION("""COMPUTED_VALUE"""),"Aesculus carnea 'Ft. McNair'")</f>
        <v>Aesculus carnea 'Ft. McNair'</v>
      </c>
      <c r="B23" s="41">
        <f>IFERROR(__xludf.DUMMYFUNCTION("""COMPUTED_VALUE"""),25.0)</f>
        <v>25</v>
      </c>
      <c r="C23" s="41" t="str">
        <f>IFERROR(__xludf.DUMMYFUNCTION("""COMPUTED_VALUE"""),"Ft. McNair Horsechestnut")</f>
        <v>Ft. McNair Horsechestnut</v>
      </c>
      <c r="D23" s="41" t="str">
        <f>IFERROR(__xludf.DUMMYFUNCTION("""COMPUTED_VALUE"""),"#25")</f>
        <v>#25</v>
      </c>
      <c r="E23" s="43" t="str">
        <f>IFERROR(__xludf.DUMMYFUNCTION("""COMPUTED_VALUE"""),"1.25-1.5""")</f>
        <v>1.25-1.5"</v>
      </c>
      <c r="F23" s="41" t="str">
        <f>IFERROR(__xludf.DUMMYFUNCTION("""COMPUTED_VALUE"""),"8-9'")</f>
        <v>8-9'</v>
      </c>
      <c r="G23" s="44">
        <f>IFERROR(__xludf.DUMMYFUNCTION("""COMPUTED_VALUE"""),1.0)</f>
        <v>1</v>
      </c>
      <c r="H23" s="41">
        <f>IFERROR(__xludf.DUMMYFUNCTION("""COMPUTED_VALUE"""),0.0)</f>
        <v>0</v>
      </c>
      <c r="I23" s="45">
        <f>IFERROR(__xludf.DUMMYFUNCTION("""COMPUTED_VALUE"""),155.0)</f>
        <v>155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41" t="str">
        <f>IFERROR(__xludf.DUMMYFUNCTION("""COMPUTED_VALUE"""),"Aesculus hippocastanum")</f>
        <v>Aesculus hippocastanum</v>
      </c>
      <c r="B24" s="41">
        <f>IFERROR(__xludf.DUMMYFUNCTION("""COMPUTED_VALUE"""),5.0)</f>
        <v>5</v>
      </c>
      <c r="C24" s="41" t="str">
        <f>IFERROR(__xludf.DUMMYFUNCTION("""COMPUTED_VALUE"""),"European Horsechestnut")</f>
        <v>European Horsechestnut</v>
      </c>
      <c r="D24" s="41" t="str">
        <f>IFERROR(__xludf.DUMMYFUNCTION("""COMPUTED_VALUE"""),"#5")</f>
        <v>#5</v>
      </c>
      <c r="E24" s="43" t="str">
        <f>IFERROR(__xludf.DUMMYFUNCTION("""COMPUTED_VALUE"""),"1-1.25""")</f>
        <v>1-1.25"</v>
      </c>
      <c r="F24" s="41" t="str">
        <f>IFERROR(__xludf.DUMMYFUNCTION("""COMPUTED_VALUE"""),"4-5'")</f>
        <v>4-5'</v>
      </c>
      <c r="G24" s="44">
        <f>IFERROR(__xludf.DUMMYFUNCTION("""COMPUTED_VALUE"""),15.0)</f>
        <v>15</v>
      </c>
      <c r="H24" s="41">
        <f>IFERROR(__xludf.DUMMYFUNCTION("""COMPUTED_VALUE"""),0.0)</f>
        <v>0</v>
      </c>
      <c r="I24" s="45">
        <f>IFERROR(__xludf.DUMMYFUNCTION("""COMPUTED_VALUE"""),45.0)</f>
        <v>45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41" t="str">
        <f>IFERROR(__xludf.DUMMYFUNCTION("""COMPUTED_VALUE"""),"Aesculus parviflora")</f>
        <v>Aesculus parviflora</v>
      </c>
      <c r="B25" s="41">
        <f>IFERROR(__xludf.DUMMYFUNCTION("""COMPUTED_VALUE"""),5.0)</f>
        <v>5</v>
      </c>
      <c r="C25" s="41" t="str">
        <f>IFERROR(__xludf.DUMMYFUNCTION("""COMPUTED_VALUE"""),"Bottlebrush Buckeye")</f>
        <v>Bottlebrush Buckeye</v>
      </c>
      <c r="D25" s="41" t="str">
        <f>IFERROR(__xludf.DUMMYFUNCTION("""COMPUTED_VALUE"""),"#5")</f>
        <v>#5</v>
      </c>
      <c r="E25" s="43" t="str">
        <f>IFERROR(__xludf.DUMMYFUNCTION("""COMPUTED_VALUE"""),"0.38-0.25""")</f>
        <v>0.38-0.25"</v>
      </c>
      <c r="F25" s="41" t="str">
        <f>IFERROR(__xludf.DUMMYFUNCTION("""COMPUTED_VALUE"""),"1-2'")</f>
        <v>1-2'</v>
      </c>
      <c r="G25" s="44">
        <f>IFERROR(__xludf.DUMMYFUNCTION("""COMPUTED_VALUE"""),0.0)</f>
        <v>0</v>
      </c>
      <c r="H25" s="41">
        <f>IFERROR(__xludf.DUMMYFUNCTION("""COMPUTED_VALUE"""),100.0)</f>
        <v>100</v>
      </c>
      <c r="I25" s="45">
        <f>IFERROR(__xludf.DUMMYFUNCTION("""COMPUTED_VALUE"""),55.0)</f>
        <v>55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41" t="str">
        <f>IFERROR(__xludf.DUMMYFUNCTION("""COMPUTED_VALUE"""),"Aesculus parviflora")</f>
        <v>Aesculus parviflora</v>
      </c>
      <c r="B26" s="41">
        <f>IFERROR(__xludf.DUMMYFUNCTION("""COMPUTED_VALUE"""),7.0)</f>
        <v>7</v>
      </c>
      <c r="C26" s="41" t="str">
        <f>IFERROR(__xludf.DUMMYFUNCTION("""COMPUTED_VALUE"""),"Bottlebrush Buckeye")</f>
        <v>Bottlebrush Buckeye</v>
      </c>
      <c r="D26" s="41" t="str">
        <f>IFERROR(__xludf.DUMMYFUNCTION("""COMPUTED_VALUE"""),"#7p")</f>
        <v>#7p</v>
      </c>
      <c r="E26" s="43" t="str">
        <f>IFERROR(__xludf.DUMMYFUNCTION("""COMPUTED_VALUE"""),"0.5-0.75""")</f>
        <v>0.5-0.75"</v>
      </c>
      <c r="F26" s="41" t="str">
        <f>IFERROR(__xludf.DUMMYFUNCTION("""COMPUTED_VALUE"""),"4-5'")</f>
        <v>4-5'</v>
      </c>
      <c r="G26" s="44">
        <f>IFERROR(__xludf.DUMMYFUNCTION("""COMPUTED_VALUE"""),0.0)</f>
        <v>0</v>
      </c>
      <c r="H26" s="41">
        <f>IFERROR(__xludf.DUMMYFUNCTION("""COMPUTED_VALUE"""),10.0)</f>
        <v>10</v>
      </c>
      <c r="I26" s="45">
        <f>IFERROR(__xludf.DUMMYFUNCTION("""COMPUTED_VALUE"""),65.0)</f>
        <v>65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41" t="str">
        <f>IFERROR(__xludf.DUMMYFUNCTION("""COMPUTED_VALUE"""),"Aesculus pavia")</f>
        <v>Aesculus pavia</v>
      </c>
      <c r="B27" s="41">
        <f>IFERROR(__xludf.DUMMYFUNCTION("""COMPUTED_VALUE"""),5.0)</f>
        <v>5</v>
      </c>
      <c r="C27" s="41" t="str">
        <f>IFERROR(__xludf.DUMMYFUNCTION("""COMPUTED_VALUE"""),"Red Buckeye")</f>
        <v>Red Buckeye</v>
      </c>
      <c r="D27" s="41" t="str">
        <f>IFERROR(__xludf.DUMMYFUNCTION("""COMPUTED_VALUE"""),"#5")</f>
        <v>#5</v>
      </c>
      <c r="E27" s="43" t="str">
        <f>IFERROR(__xludf.DUMMYFUNCTION("""COMPUTED_VALUE"""),"0.25-0.5""")</f>
        <v>0.25-0.5"</v>
      </c>
      <c r="F27" s="41" t="str">
        <f>IFERROR(__xludf.DUMMYFUNCTION("""COMPUTED_VALUE"""),"1-3'")</f>
        <v>1-3'</v>
      </c>
      <c r="G27" s="44">
        <f>IFERROR(__xludf.DUMMYFUNCTION("""COMPUTED_VALUE"""),2.0)</f>
        <v>2</v>
      </c>
      <c r="H27" s="41">
        <f>IFERROR(__xludf.DUMMYFUNCTION("""COMPUTED_VALUE"""),50.0)</f>
        <v>50</v>
      </c>
      <c r="I27" s="45">
        <f>IFERROR(__xludf.DUMMYFUNCTION("""COMPUTED_VALUE"""),45.0)</f>
        <v>45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41" t="str">
        <f>IFERROR(__xludf.DUMMYFUNCTION("""COMPUTED_VALUE"""),"Albizia julibrissin 'E.H.Wilson'")</f>
        <v>Albizia julibrissin 'E.H.Wilson'</v>
      </c>
      <c r="B28" s="41">
        <f>IFERROR(__xludf.DUMMYFUNCTION("""COMPUTED_VALUE"""),5.0)</f>
        <v>5</v>
      </c>
      <c r="C28" s="41" t="str">
        <f>IFERROR(__xludf.DUMMYFUNCTION("""COMPUTED_VALUE"""),"Cold Hardy Mimosa")</f>
        <v>Cold Hardy Mimosa</v>
      </c>
      <c r="D28" s="41" t="str">
        <f>IFERROR(__xludf.DUMMYFUNCTION("""COMPUTED_VALUE"""),"#5")</f>
        <v>#5</v>
      </c>
      <c r="E28" s="46" t="str">
        <f>IFERROR(__xludf.DUMMYFUNCTION("""COMPUTED_VALUE"""),"Multi")</f>
        <v>Multi</v>
      </c>
      <c r="F28" s="41" t="str">
        <f>IFERROR(__xludf.DUMMYFUNCTION("""COMPUTED_VALUE"""),"3-4'")</f>
        <v>3-4'</v>
      </c>
      <c r="G28" s="44">
        <f>IFERROR(__xludf.DUMMYFUNCTION("""COMPUTED_VALUE"""),11.0)</f>
        <v>11</v>
      </c>
      <c r="H28" s="41">
        <f>IFERROR(__xludf.DUMMYFUNCTION("""COMPUTED_VALUE"""),0.0)</f>
        <v>0</v>
      </c>
      <c r="I28" s="45">
        <f>IFERROR(__xludf.DUMMYFUNCTION("""COMPUTED_VALUE"""),35.0)</f>
        <v>35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41" t="str">
        <f>IFERROR(__xludf.DUMMYFUNCTION("""COMPUTED_VALUE"""),"Amelanchier canadensis")</f>
        <v>Amelanchier canadensis</v>
      </c>
      <c r="B29" s="41">
        <f>IFERROR(__xludf.DUMMYFUNCTION("""COMPUTED_VALUE"""),15.0)</f>
        <v>15</v>
      </c>
      <c r="C29" s="41" t="str">
        <f>IFERROR(__xludf.DUMMYFUNCTION("""COMPUTED_VALUE"""),"Canadensis Serviceberry")</f>
        <v>Canadensis Serviceberry</v>
      </c>
      <c r="D29" s="41" t="str">
        <f>IFERROR(__xludf.DUMMYFUNCTION("""COMPUTED_VALUE"""),"#15")</f>
        <v>#15</v>
      </c>
      <c r="E29" s="46" t="str">
        <f>IFERROR(__xludf.DUMMYFUNCTION("""COMPUTED_VALUE"""),"Multi")</f>
        <v>Multi</v>
      </c>
      <c r="F29" s="41" t="str">
        <f>IFERROR(__xludf.DUMMYFUNCTION("""COMPUTED_VALUE"""),"6-7'")</f>
        <v>6-7'</v>
      </c>
      <c r="G29" s="44">
        <f>IFERROR(__xludf.DUMMYFUNCTION("""COMPUTED_VALUE"""),5.0)</f>
        <v>5</v>
      </c>
      <c r="H29" s="41">
        <f>IFERROR(__xludf.DUMMYFUNCTION("""COMPUTED_VALUE"""),0.0)</f>
        <v>0</v>
      </c>
      <c r="I29" s="45">
        <f>IFERROR(__xludf.DUMMYFUNCTION("""COMPUTED_VALUE"""),115.0)</f>
        <v>115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41" t="str">
        <f>IFERROR(__xludf.DUMMYFUNCTION("""COMPUTED_VALUE"""),"Amelanchier grandiflora 'Autumn Brilliance'")</f>
        <v>Amelanchier grandiflora 'Autumn Brilliance'</v>
      </c>
      <c r="B30" s="41">
        <f>IFERROR(__xludf.DUMMYFUNCTION("""COMPUTED_VALUE"""),5.0)</f>
        <v>5</v>
      </c>
      <c r="C30" s="41" t="str">
        <f>IFERROR(__xludf.DUMMYFUNCTION("""COMPUTED_VALUE"""),"Autumn Brillance Serviceberry")</f>
        <v>Autumn Brillance Serviceberry</v>
      </c>
      <c r="D30" s="41" t="str">
        <f>IFERROR(__xludf.DUMMYFUNCTION("""COMPUTED_VALUE"""),"#5")</f>
        <v>#5</v>
      </c>
      <c r="E30" s="43" t="str">
        <f>IFERROR(__xludf.DUMMYFUNCTION("""COMPUTED_VALUE"""),"0.25-0.5""")</f>
        <v>0.25-0.5"</v>
      </c>
      <c r="F30" s="41" t="str">
        <f>IFERROR(__xludf.DUMMYFUNCTION("""COMPUTED_VALUE"""),"5-6'")</f>
        <v>5-6'</v>
      </c>
      <c r="G30" s="44">
        <f>IFERROR(__xludf.DUMMYFUNCTION("""COMPUTED_VALUE"""),0.0)</f>
        <v>0</v>
      </c>
      <c r="H30" s="41">
        <f>IFERROR(__xludf.DUMMYFUNCTION("""COMPUTED_VALUE"""),50.0)</f>
        <v>50</v>
      </c>
      <c r="I30" s="45">
        <f>IFERROR(__xludf.DUMMYFUNCTION("""COMPUTED_VALUE"""),40.0)</f>
        <v>40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41" t="str">
        <f>IFERROR(__xludf.DUMMYFUNCTION("""COMPUTED_VALUE"""),"Amelanchier grandiflora 'Autumn Brilliance'")</f>
        <v>Amelanchier grandiflora 'Autumn Brilliance'</v>
      </c>
      <c r="B31" s="41">
        <f>IFERROR(__xludf.DUMMYFUNCTION("""COMPUTED_VALUE"""),15.0)</f>
        <v>15</v>
      </c>
      <c r="C31" s="41" t="str">
        <f>IFERROR(__xludf.DUMMYFUNCTION("""COMPUTED_VALUE"""),"Autumn Brilliance Serviceberry")</f>
        <v>Autumn Brilliance Serviceberry</v>
      </c>
      <c r="D31" s="41" t="str">
        <f>IFERROR(__xludf.DUMMYFUNCTION("""COMPUTED_VALUE"""),"#15")</f>
        <v>#15</v>
      </c>
      <c r="E31" s="43" t="str">
        <f>IFERROR(__xludf.DUMMYFUNCTION("""COMPUTED_VALUE"""),"1-1""")</f>
        <v>1-1"</v>
      </c>
      <c r="F31" s="41" t="str">
        <f>IFERROR(__xludf.DUMMYFUNCTION("""COMPUTED_VALUE"""),"9-10'")</f>
        <v>9-10'</v>
      </c>
      <c r="G31" s="44">
        <f>IFERROR(__xludf.DUMMYFUNCTION("""COMPUTED_VALUE"""),4.0)</f>
        <v>4</v>
      </c>
      <c r="H31" s="41">
        <f>IFERROR(__xludf.DUMMYFUNCTION("""COMPUTED_VALUE"""),0.0)</f>
        <v>0</v>
      </c>
      <c r="I31" s="45">
        <f>IFERROR(__xludf.DUMMYFUNCTION("""COMPUTED_VALUE"""),115.0)</f>
        <v>115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41" t="str">
        <f>IFERROR(__xludf.DUMMYFUNCTION("""COMPUTED_VALUE"""),"Amelanchier laevis")</f>
        <v>Amelanchier laevis</v>
      </c>
      <c r="B32" s="41">
        <f>IFERROR(__xludf.DUMMYFUNCTION("""COMPUTED_VALUE"""),5.0)</f>
        <v>5</v>
      </c>
      <c r="C32" s="41" t="str">
        <f>IFERROR(__xludf.DUMMYFUNCTION("""COMPUTED_VALUE"""),"Allegheny Serviceberry")</f>
        <v>Allegheny Serviceberry</v>
      </c>
      <c r="D32" s="41" t="str">
        <f>IFERROR(__xludf.DUMMYFUNCTION("""COMPUTED_VALUE"""),"#5")</f>
        <v>#5</v>
      </c>
      <c r="E32" s="43" t="str">
        <f>IFERROR(__xludf.DUMMYFUNCTION("""COMPUTED_VALUE"""),"0.25-0.75""")</f>
        <v>0.25-0.75"</v>
      </c>
      <c r="F32" s="41" t="str">
        <f>IFERROR(__xludf.DUMMYFUNCTION("""COMPUTED_VALUE"""),"5-7'")</f>
        <v>5-7'</v>
      </c>
      <c r="G32" s="41">
        <f>IFERROR(__xludf.DUMMYFUNCTION("""COMPUTED_VALUE"""),26.0)</f>
        <v>26</v>
      </c>
      <c r="H32" s="41">
        <f>IFERROR(__xludf.DUMMYFUNCTION("""COMPUTED_VALUE"""),0.0)</f>
        <v>0</v>
      </c>
      <c r="I32" s="45">
        <f>IFERROR(__xludf.DUMMYFUNCTION("""COMPUTED_VALUE"""),40.0)</f>
        <v>40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41" t="str">
        <f>IFERROR(__xludf.DUMMYFUNCTION("""COMPUTED_VALUE"""),"Amelanchier lamarckii")</f>
        <v>Amelanchier lamarckii</v>
      </c>
      <c r="B33" s="41">
        <f>IFERROR(__xludf.DUMMYFUNCTION("""COMPUTED_VALUE"""),5.0)</f>
        <v>5</v>
      </c>
      <c r="C33" s="41" t="str">
        <f>IFERROR(__xludf.DUMMYFUNCTION("""COMPUTED_VALUE"""),"Lamarckii Serviceberry")</f>
        <v>Lamarckii Serviceberry</v>
      </c>
      <c r="D33" s="41" t="str">
        <f>IFERROR(__xludf.DUMMYFUNCTION("""COMPUTED_VALUE"""),"#5")</f>
        <v>#5</v>
      </c>
      <c r="E33" s="43" t="str">
        <f>IFERROR(__xludf.DUMMYFUNCTION("""COMPUTED_VALUE"""),"0.125-0.125""")</f>
        <v>0.125-0.125"</v>
      </c>
      <c r="F33" s="41" t="str">
        <f>IFERROR(__xludf.DUMMYFUNCTION("""COMPUTED_VALUE"""),"2-8'")</f>
        <v>2-8'</v>
      </c>
      <c r="G33" s="44">
        <f>IFERROR(__xludf.DUMMYFUNCTION("""COMPUTED_VALUE"""),54.0)</f>
        <v>54</v>
      </c>
      <c r="H33" s="41">
        <f>IFERROR(__xludf.DUMMYFUNCTION("""COMPUTED_VALUE"""),0.0)</f>
        <v>0</v>
      </c>
      <c r="I33" s="45">
        <f>IFERROR(__xludf.DUMMYFUNCTION("""COMPUTED_VALUE"""),40.0)</f>
        <v>40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41" t="str">
        <f>IFERROR(__xludf.DUMMYFUNCTION("""COMPUTED_VALUE"""),"Amelanchier lamarckii")</f>
        <v>Amelanchier lamarckii</v>
      </c>
      <c r="B34" s="41">
        <f>IFERROR(__xludf.DUMMYFUNCTION("""COMPUTED_VALUE"""),5.0)</f>
        <v>5</v>
      </c>
      <c r="C34" s="41" t="str">
        <f>IFERROR(__xludf.DUMMYFUNCTION("""COMPUTED_VALUE"""),"Lamarckii Serviceberry")</f>
        <v>Lamarckii Serviceberry</v>
      </c>
      <c r="D34" s="41" t="str">
        <f>IFERROR(__xludf.DUMMYFUNCTION("""COMPUTED_VALUE"""),"#5")</f>
        <v>#5</v>
      </c>
      <c r="E34" s="43" t="str">
        <f>IFERROR(__xludf.DUMMYFUNCTION("""COMPUTED_VALUE"""),"Multi")</f>
        <v>Multi</v>
      </c>
      <c r="F34" s="41" t="str">
        <f>IFERROR(__xludf.DUMMYFUNCTION("""COMPUTED_VALUE"""),"2-8'")</f>
        <v>2-8'</v>
      </c>
      <c r="G34" s="44">
        <f>IFERROR(__xludf.DUMMYFUNCTION("""COMPUTED_VALUE"""),12.0)</f>
        <v>12</v>
      </c>
      <c r="H34" s="41">
        <f>IFERROR(__xludf.DUMMYFUNCTION("""COMPUTED_VALUE"""),0.0)</f>
        <v>0</v>
      </c>
      <c r="I34" s="45">
        <f>IFERROR(__xludf.DUMMYFUNCTION("""COMPUTED_VALUE"""),40.0)</f>
        <v>40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41" t="str">
        <f>IFERROR(__xludf.DUMMYFUNCTION("""COMPUTED_VALUE"""),"Aronia melanocarpa")</f>
        <v>Aronia melanocarpa</v>
      </c>
      <c r="B35" s="41">
        <f>IFERROR(__xludf.DUMMYFUNCTION("""COMPUTED_VALUE"""),5.0)</f>
        <v>5</v>
      </c>
      <c r="C35" s="41" t="str">
        <f>IFERROR(__xludf.DUMMYFUNCTION("""COMPUTED_VALUE"""),"Black Chokeberry")</f>
        <v>Black Chokeberry</v>
      </c>
      <c r="D35" s="41" t="str">
        <f>IFERROR(__xludf.DUMMYFUNCTION("""COMPUTED_VALUE"""),"#5")</f>
        <v>#5</v>
      </c>
      <c r="E35" s="43" t="str">
        <f>IFERROR(__xludf.DUMMYFUNCTION("""COMPUTED_VALUE"""),"Multi")</f>
        <v>Multi</v>
      </c>
      <c r="F35" s="41" t="str">
        <f>IFERROR(__xludf.DUMMYFUNCTION("""COMPUTED_VALUE"""),"3-4'")</f>
        <v>3-4'</v>
      </c>
      <c r="G35" s="44">
        <f>IFERROR(__xludf.DUMMYFUNCTION("""COMPUTED_VALUE"""),1.0)</f>
        <v>1</v>
      </c>
      <c r="H35" s="41">
        <f>IFERROR(__xludf.DUMMYFUNCTION("""COMPUTED_VALUE"""),100.0)</f>
        <v>100</v>
      </c>
      <c r="I35" s="45">
        <f>IFERROR(__xludf.DUMMYFUNCTION("""COMPUTED_VALUE"""),32.0)</f>
        <v>32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41" t="str">
        <f>IFERROR(__xludf.DUMMYFUNCTION("""COMPUTED_VALUE"""),"Aronia melanocarpa 'Viking'")</f>
        <v>Aronia melanocarpa 'Viking'</v>
      </c>
      <c r="B36" s="41">
        <f>IFERROR(__xludf.DUMMYFUNCTION("""COMPUTED_VALUE"""),5.0)</f>
        <v>5</v>
      </c>
      <c r="C36" s="41" t="str">
        <f>IFERROR(__xludf.DUMMYFUNCTION("""COMPUTED_VALUE"""),"Viking Black Chokeberry")</f>
        <v>Viking Black Chokeberry</v>
      </c>
      <c r="D36" s="41" t="str">
        <f>IFERROR(__xludf.DUMMYFUNCTION("""COMPUTED_VALUE"""),"#5")</f>
        <v>#5</v>
      </c>
      <c r="E36" s="43" t="str">
        <f>IFERROR(__xludf.DUMMYFUNCTION("""COMPUTED_VALUE"""),"Multi")</f>
        <v>Multi</v>
      </c>
      <c r="F36" s="41" t="str">
        <f>IFERROR(__xludf.DUMMYFUNCTION("""COMPUTED_VALUE"""),"1-2'")</f>
        <v>1-2'</v>
      </c>
      <c r="G36" s="44">
        <f>IFERROR(__xludf.DUMMYFUNCTION("""COMPUTED_VALUE"""),0.0)</f>
        <v>0</v>
      </c>
      <c r="H36" s="41">
        <f>IFERROR(__xludf.DUMMYFUNCTION("""COMPUTED_VALUE"""),72.0)</f>
        <v>72</v>
      </c>
      <c r="I36" s="45">
        <f>IFERROR(__xludf.DUMMYFUNCTION("""COMPUTED_VALUE"""),35.0)</f>
        <v>35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1" t="str">
        <f>IFERROR(__xludf.DUMMYFUNCTION("""COMPUTED_VALUE"""),"Betula nigra")</f>
        <v>Betula nigra</v>
      </c>
      <c r="B37" s="41">
        <f>IFERROR(__xludf.DUMMYFUNCTION("""COMPUTED_VALUE"""),5.0)</f>
        <v>5</v>
      </c>
      <c r="C37" s="41" t="str">
        <f>IFERROR(__xludf.DUMMYFUNCTION("""COMPUTED_VALUE"""),"River Birch")</f>
        <v>River Birch</v>
      </c>
      <c r="D37" s="41" t="str">
        <f>IFERROR(__xludf.DUMMYFUNCTION("""COMPUTED_VALUE"""),"#5")</f>
        <v>#5</v>
      </c>
      <c r="E37" s="43" t="str">
        <f>IFERROR(__xludf.DUMMYFUNCTION("""COMPUTED_VALUE"""),"0-1.25""")</f>
        <v>0-1.25"</v>
      </c>
      <c r="F37" s="41" t="str">
        <f>IFERROR(__xludf.DUMMYFUNCTION("""COMPUTED_VALUE"""),"0-8'")</f>
        <v>0-8'</v>
      </c>
      <c r="G37" s="44">
        <f>IFERROR(__xludf.DUMMYFUNCTION("""COMPUTED_VALUE"""),0.0)</f>
        <v>0</v>
      </c>
      <c r="H37" s="41">
        <f>IFERROR(__xludf.DUMMYFUNCTION("""COMPUTED_VALUE"""),200.0)</f>
        <v>200</v>
      </c>
      <c r="I37" s="45">
        <f>IFERROR(__xludf.DUMMYFUNCTION("""COMPUTED_VALUE"""),40.0)</f>
        <v>40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41" t="str">
        <f>IFERROR(__xludf.DUMMYFUNCTION("""COMPUTED_VALUE"""),"Betula nigra")</f>
        <v>Betula nigra</v>
      </c>
      <c r="B38" s="41">
        <f>IFERROR(__xludf.DUMMYFUNCTION("""COMPUTED_VALUE"""),7.0)</f>
        <v>7</v>
      </c>
      <c r="C38" s="41" t="str">
        <f>IFERROR(__xludf.DUMMYFUNCTION("""COMPUTED_VALUE"""),"River Birch")</f>
        <v>River Birch</v>
      </c>
      <c r="D38" s="41" t="str">
        <f>IFERROR(__xludf.DUMMYFUNCTION("""COMPUTED_VALUE"""),"#7")</f>
        <v>#7</v>
      </c>
      <c r="E38" s="43" t="str">
        <f>IFERROR(__xludf.DUMMYFUNCTION("""COMPUTED_VALUE"""),"0.25-0.5""")</f>
        <v>0.25-0.5"</v>
      </c>
      <c r="F38" s="41" t="str">
        <f>IFERROR(__xludf.DUMMYFUNCTION("""COMPUTED_VALUE"""),"4-5'")</f>
        <v>4-5'</v>
      </c>
      <c r="G38" s="44">
        <f>IFERROR(__xludf.DUMMYFUNCTION("""COMPUTED_VALUE"""),23.0)</f>
        <v>23</v>
      </c>
      <c r="H38" s="41">
        <f>IFERROR(__xludf.DUMMYFUNCTION("""COMPUTED_VALUE"""),0.0)</f>
        <v>0</v>
      </c>
      <c r="I38" s="45">
        <f>IFERROR(__xludf.DUMMYFUNCTION("""COMPUTED_VALUE"""),45.0)</f>
        <v>45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1" t="str">
        <f>IFERROR(__xludf.DUMMYFUNCTION("""COMPUTED_VALUE"""),"Betula nigra")</f>
        <v>Betula nigra</v>
      </c>
      <c r="B39" s="41">
        <f>IFERROR(__xludf.DUMMYFUNCTION("""COMPUTED_VALUE"""),15.0)</f>
        <v>15</v>
      </c>
      <c r="C39" s="41" t="str">
        <f>IFERROR(__xludf.DUMMYFUNCTION("""COMPUTED_VALUE"""),"River Birch")</f>
        <v>River Birch</v>
      </c>
      <c r="D39" s="41" t="str">
        <f>IFERROR(__xludf.DUMMYFUNCTION("""COMPUTED_VALUE"""),"#15")</f>
        <v>#15</v>
      </c>
      <c r="E39" s="46" t="str">
        <f>IFERROR(__xludf.DUMMYFUNCTION("""COMPUTED_VALUE"""),"Multi")</f>
        <v>Multi</v>
      </c>
      <c r="F39" s="41" t="str">
        <f>IFERROR(__xludf.DUMMYFUNCTION("""COMPUTED_VALUE"""),"3-11'")</f>
        <v>3-11'</v>
      </c>
      <c r="G39" s="44">
        <f>IFERROR(__xludf.DUMMYFUNCTION("""COMPUTED_VALUE"""),2.0)</f>
        <v>2</v>
      </c>
      <c r="H39" s="41">
        <f>IFERROR(__xludf.DUMMYFUNCTION("""COMPUTED_VALUE"""),5.0)</f>
        <v>5</v>
      </c>
      <c r="I39" s="45">
        <f>IFERROR(__xludf.DUMMYFUNCTION("""COMPUTED_VALUE"""),115.0)</f>
        <v>115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1" t="str">
        <f>IFERROR(__xludf.DUMMYFUNCTION("""COMPUTED_VALUE"""),"Betula nigra Clump")</f>
        <v>Betula nigra Clump</v>
      </c>
      <c r="B40" s="41">
        <f>IFERROR(__xludf.DUMMYFUNCTION("""COMPUTED_VALUE"""),15.0)</f>
        <v>15</v>
      </c>
      <c r="C40" s="41" t="str">
        <f>IFERROR(__xludf.DUMMYFUNCTION("""COMPUTED_VALUE"""),"Clump River Birch")</f>
        <v>Clump River Birch</v>
      </c>
      <c r="D40" s="41" t="str">
        <f>IFERROR(__xludf.DUMMYFUNCTION("""COMPUTED_VALUE"""),"#15")</f>
        <v>#15</v>
      </c>
      <c r="E40" s="43" t="str">
        <f>IFERROR(__xludf.DUMMYFUNCTION("""COMPUTED_VALUE"""),"0.25-0.5""")</f>
        <v>0.25-0.5"</v>
      </c>
      <c r="F40" s="41" t="str">
        <f>IFERROR(__xludf.DUMMYFUNCTION("""COMPUTED_VALUE"""),"4-5'")</f>
        <v>4-5'</v>
      </c>
      <c r="G40" s="44">
        <f>IFERROR(__xludf.DUMMYFUNCTION("""COMPUTED_VALUE"""),0.0)</f>
        <v>0</v>
      </c>
      <c r="H40" s="41">
        <f>IFERROR(__xludf.DUMMYFUNCTION("""COMPUTED_VALUE"""),25.0)</f>
        <v>25</v>
      </c>
      <c r="I40" s="45">
        <f>IFERROR(__xludf.DUMMYFUNCTION("""COMPUTED_VALUE"""),0.0)</f>
        <v>0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1" t="str">
        <f>IFERROR(__xludf.DUMMYFUNCTION("""COMPUTED_VALUE"""),"Betula papyrifera")</f>
        <v>Betula papyrifera</v>
      </c>
      <c r="B41" s="41">
        <f>IFERROR(__xludf.DUMMYFUNCTION("""COMPUTED_VALUE"""),5.0)</f>
        <v>5</v>
      </c>
      <c r="C41" s="41" t="str">
        <f>IFERROR(__xludf.DUMMYFUNCTION("""COMPUTED_VALUE"""),"Paper Birch")</f>
        <v>Paper Birch</v>
      </c>
      <c r="D41" s="41" t="str">
        <f>IFERROR(__xludf.DUMMYFUNCTION("""COMPUTED_VALUE"""),"#5")</f>
        <v>#5</v>
      </c>
      <c r="E41" s="43" t="str">
        <f>IFERROR(__xludf.DUMMYFUNCTION("""COMPUTED_VALUE"""),"0.38-0.25""")</f>
        <v>0.38-0.25"</v>
      </c>
      <c r="F41" s="41" t="str">
        <f>IFERROR(__xludf.DUMMYFUNCTION("""COMPUTED_VALUE"""),"1-2'")</f>
        <v>1-2'</v>
      </c>
      <c r="G41" s="44">
        <f>IFERROR(__xludf.DUMMYFUNCTION("""COMPUTED_VALUE"""),0.0)</f>
        <v>0</v>
      </c>
      <c r="H41" s="41">
        <f>IFERROR(__xludf.DUMMYFUNCTION("""COMPUTED_VALUE"""),50.0)</f>
        <v>50</v>
      </c>
      <c r="I41" s="45">
        <f>IFERROR(__xludf.DUMMYFUNCTION("""COMPUTED_VALUE"""),40.0)</f>
        <v>40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1" t="str">
        <f>IFERROR(__xludf.DUMMYFUNCTION("""COMPUTED_VALUE"""),"Betula pendula")</f>
        <v>Betula pendula</v>
      </c>
      <c r="B42" s="41">
        <f>IFERROR(__xludf.DUMMYFUNCTION("""COMPUTED_VALUE"""),5.0)</f>
        <v>5</v>
      </c>
      <c r="C42" s="41" t="str">
        <f>IFERROR(__xludf.DUMMYFUNCTION("""COMPUTED_VALUE"""),"European Silver Birch")</f>
        <v>European Silver Birch</v>
      </c>
      <c r="D42" s="41" t="str">
        <f>IFERROR(__xludf.DUMMYFUNCTION("""COMPUTED_VALUE"""),"#5")</f>
        <v>#5</v>
      </c>
      <c r="E42" s="43" t="str">
        <f>IFERROR(__xludf.DUMMYFUNCTION("""COMPUTED_VALUE"""),"1-1.25""")</f>
        <v>1-1.25"</v>
      </c>
      <c r="F42" s="41" t="str">
        <f>IFERROR(__xludf.DUMMYFUNCTION("""COMPUTED_VALUE"""),"9-13'")</f>
        <v>9-13'</v>
      </c>
      <c r="G42" s="44">
        <f>IFERROR(__xludf.DUMMYFUNCTION("""COMPUTED_VALUE"""),6.0)</f>
        <v>6</v>
      </c>
      <c r="H42" s="41">
        <f>IFERROR(__xludf.DUMMYFUNCTION("""COMPUTED_VALUE"""),0.0)</f>
        <v>0</v>
      </c>
      <c r="I42" s="45">
        <f>IFERROR(__xludf.DUMMYFUNCTION("""COMPUTED_VALUE"""),40.0)</f>
        <v>40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1" t="str">
        <f>IFERROR(__xludf.DUMMYFUNCTION("""COMPUTED_VALUE"""),"Betula populifolia")</f>
        <v>Betula populifolia</v>
      </c>
      <c r="B43" s="41">
        <f>IFERROR(__xludf.DUMMYFUNCTION("""COMPUTED_VALUE"""),5.0)</f>
        <v>5</v>
      </c>
      <c r="C43" s="41" t="str">
        <f>IFERROR(__xludf.DUMMYFUNCTION("""COMPUTED_VALUE"""),"Gray Birch")</f>
        <v>Gray Birch</v>
      </c>
      <c r="D43" s="41" t="str">
        <f>IFERROR(__xludf.DUMMYFUNCTION("""COMPUTED_VALUE"""),"#5")</f>
        <v>#5</v>
      </c>
      <c r="E43" s="43" t="str">
        <f>IFERROR(__xludf.DUMMYFUNCTION("""COMPUTED_VALUE"""),"0.5-1.5""")</f>
        <v>0.5-1.5"</v>
      </c>
      <c r="F43" s="41" t="str">
        <f>IFERROR(__xludf.DUMMYFUNCTION("""COMPUTED_VALUE"""),"4-14'")</f>
        <v>4-14'</v>
      </c>
      <c r="G43" s="44">
        <f>IFERROR(__xludf.DUMMYFUNCTION("""COMPUTED_VALUE"""),23.0)</f>
        <v>23</v>
      </c>
      <c r="H43" s="41">
        <f>IFERROR(__xludf.DUMMYFUNCTION("""COMPUTED_VALUE"""),0.0)</f>
        <v>0</v>
      </c>
      <c r="I43" s="45">
        <f>IFERROR(__xludf.DUMMYFUNCTION("""COMPUTED_VALUE"""),40.0)</f>
        <v>40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1" t="str">
        <f>IFERROR(__xludf.DUMMYFUNCTION("""COMPUTED_VALUE"""),"Carpinus betulus")</f>
        <v>Carpinus betulus</v>
      </c>
      <c r="B44" s="41">
        <f>IFERROR(__xludf.DUMMYFUNCTION("""COMPUTED_VALUE"""),7.0)</f>
        <v>7</v>
      </c>
      <c r="C44" s="41" t="str">
        <f>IFERROR(__xludf.DUMMYFUNCTION("""COMPUTED_VALUE"""),"European Hornbeam")</f>
        <v>European Hornbeam</v>
      </c>
      <c r="D44" s="41" t="str">
        <f>IFERROR(__xludf.DUMMYFUNCTION("""COMPUTED_VALUE"""),"#7")</f>
        <v>#7</v>
      </c>
      <c r="E44" s="43" t="str">
        <f>IFERROR(__xludf.DUMMYFUNCTION("""COMPUTED_VALUE"""),"1-1.5""")</f>
        <v>1-1.5"</v>
      </c>
      <c r="F44" s="41" t="str">
        <f>IFERROR(__xludf.DUMMYFUNCTION("""COMPUTED_VALUE"""),"5-10'")</f>
        <v>5-10'</v>
      </c>
      <c r="G44" s="44">
        <f>IFERROR(__xludf.DUMMYFUNCTION("""COMPUTED_VALUE"""),17.0)</f>
        <v>17</v>
      </c>
      <c r="H44" s="41">
        <f>IFERROR(__xludf.DUMMYFUNCTION("""COMPUTED_VALUE"""),0.0)</f>
        <v>0</v>
      </c>
      <c r="I44" s="45">
        <f>IFERROR(__xludf.DUMMYFUNCTION("""COMPUTED_VALUE"""),70.0)</f>
        <v>70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1" t="str">
        <f>IFERROR(__xludf.DUMMYFUNCTION("""COMPUTED_VALUE"""),"Carpinus betulus 'Fastigiata'")</f>
        <v>Carpinus betulus 'Fastigiata'</v>
      </c>
      <c r="B45" s="41">
        <f>IFERROR(__xludf.DUMMYFUNCTION("""COMPUTED_VALUE"""),15.0)</f>
        <v>15</v>
      </c>
      <c r="C45" s="41" t="str">
        <f>IFERROR(__xludf.DUMMYFUNCTION("""COMPUTED_VALUE"""),"Pyramidal Hornbeam")</f>
        <v>Pyramidal Hornbeam</v>
      </c>
      <c r="D45" s="41" t="str">
        <f>IFERROR(__xludf.DUMMYFUNCTION("""COMPUTED_VALUE"""),"#15")</f>
        <v>#15</v>
      </c>
      <c r="E45" s="43" t="str">
        <f>IFERROR(__xludf.DUMMYFUNCTION("""COMPUTED_VALUE"""),"0.75-1""")</f>
        <v>0.75-1"</v>
      </c>
      <c r="F45" s="41" t="str">
        <f>IFERROR(__xludf.DUMMYFUNCTION("""COMPUTED_VALUE"""),"6-8'")</f>
        <v>6-8'</v>
      </c>
      <c r="G45" s="44">
        <f>IFERROR(__xludf.DUMMYFUNCTION("""COMPUTED_VALUE"""),10.0)</f>
        <v>10</v>
      </c>
      <c r="H45" s="41">
        <f>IFERROR(__xludf.DUMMYFUNCTION("""COMPUTED_VALUE"""),0.0)</f>
        <v>0</v>
      </c>
      <c r="I45" s="45">
        <f>IFERROR(__xludf.DUMMYFUNCTION("""COMPUTED_VALUE"""),115.0)</f>
        <v>115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1" t="str">
        <f>IFERROR(__xludf.DUMMYFUNCTION("""COMPUTED_VALUE"""),"Carpinus betulus 'Frans Fontaine'")</f>
        <v>Carpinus betulus 'Frans Fontaine'</v>
      </c>
      <c r="B46" s="41">
        <f>IFERROR(__xludf.DUMMYFUNCTION("""COMPUTED_VALUE"""),10.0)</f>
        <v>10</v>
      </c>
      <c r="C46" s="41" t="str">
        <f>IFERROR(__xludf.DUMMYFUNCTION("""COMPUTED_VALUE"""),"Frans Fontaine European Hornbeam")</f>
        <v>Frans Fontaine European Hornbeam</v>
      </c>
      <c r="D46" s="41" t="str">
        <f>IFERROR(__xludf.DUMMYFUNCTION("""COMPUTED_VALUE"""),"#10")</f>
        <v>#10</v>
      </c>
      <c r="E46" s="43" t="str">
        <f>IFERROR(__xludf.DUMMYFUNCTION("""COMPUTED_VALUE"""),"1.5-1.5""")</f>
        <v>1.5-1.5"</v>
      </c>
      <c r="F46" s="41" t="str">
        <f>IFERROR(__xludf.DUMMYFUNCTION("""COMPUTED_VALUE"""),"7-7'")</f>
        <v>7-7'</v>
      </c>
      <c r="G46" s="44">
        <f>IFERROR(__xludf.DUMMYFUNCTION("""COMPUTED_VALUE"""),1.0)</f>
        <v>1</v>
      </c>
      <c r="H46" s="41">
        <f>IFERROR(__xludf.DUMMYFUNCTION("""COMPUTED_VALUE"""),0.0)</f>
        <v>0</v>
      </c>
      <c r="I46" s="45">
        <f>IFERROR(__xludf.DUMMYFUNCTION("""COMPUTED_VALUE"""),85.0)</f>
        <v>85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1" t="str">
        <f>IFERROR(__xludf.DUMMYFUNCTION("""COMPUTED_VALUE"""),"Carpinus caroliniana")</f>
        <v>Carpinus caroliniana</v>
      </c>
      <c r="B47" s="41">
        <f>IFERROR(__xludf.DUMMYFUNCTION("""COMPUTED_VALUE"""),5.0)</f>
        <v>5</v>
      </c>
      <c r="C47" s="41" t="str">
        <f>IFERROR(__xludf.DUMMYFUNCTION("""COMPUTED_VALUE"""),"American Hornbeam")</f>
        <v>American Hornbeam</v>
      </c>
      <c r="D47" s="41" t="str">
        <f>IFERROR(__xludf.DUMMYFUNCTION("""COMPUTED_VALUE"""),"#5")</f>
        <v>#5</v>
      </c>
      <c r="E47" s="43" t="str">
        <f>IFERROR(__xludf.DUMMYFUNCTION("""COMPUTED_VALUE"""),"0.5-0.75""")</f>
        <v>0.5-0.75"</v>
      </c>
      <c r="F47" s="41" t="str">
        <f>IFERROR(__xludf.DUMMYFUNCTION("""COMPUTED_VALUE"""),"4-6'")</f>
        <v>4-6'</v>
      </c>
      <c r="G47" s="44">
        <f>IFERROR(__xludf.DUMMYFUNCTION("""COMPUTED_VALUE"""),216.0)</f>
        <v>216</v>
      </c>
      <c r="H47" s="41">
        <f>IFERROR(__xludf.DUMMYFUNCTION("""COMPUTED_VALUE"""),225.0)</f>
        <v>225</v>
      </c>
      <c r="I47" s="45">
        <f>IFERROR(__xludf.DUMMYFUNCTION("""COMPUTED_VALUE"""),40.0)</f>
        <v>40</v>
      </c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1" t="str">
        <f>IFERROR(__xludf.DUMMYFUNCTION("""COMPUTED_VALUE"""),"Carpinus caroliniana")</f>
        <v>Carpinus caroliniana</v>
      </c>
      <c r="B48" s="41">
        <f>IFERROR(__xludf.DUMMYFUNCTION("""COMPUTED_VALUE"""),7.0)</f>
        <v>7</v>
      </c>
      <c r="C48" s="41" t="str">
        <f>IFERROR(__xludf.DUMMYFUNCTION("""COMPUTED_VALUE"""),"American Hornbeam")</f>
        <v>American Hornbeam</v>
      </c>
      <c r="D48" s="41" t="str">
        <f>IFERROR(__xludf.DUMMYFUNCTION("""COMPUTED_VALUE"""),"#7")</f>
        <v>#7</v>
      </c>
      <c r="E48" s="43" t="str">
        <f>IFERROR(__xludf.DUMMYFUNCTION("""COMPUTED_VALUE"""),"0.75-0.75""")</f>
        <v>0.75-0.75"</v>
      </c>
      <c r="F48" s="41" t="str">
        <f>IFERROR(__xludf.DUMMYFUNCTION("""COMPUTED_VALUE"""),"5-7'")</f>
        <v>5-7'</v>
      </c>
      <c r="G48" s="44">
        <f>IFERROR(__xludf.DUMMYFUNCTION("""COMPUTED_VALUE"""),20.0)</f>
        <v>20</v>
      </c>
      <c r="H48" s="41">
        <f>IFERROR(__xludf.DUMMYFUNCTION("""COMPUTED_VALUE"""),0.0)</f>
        <v>0</v>
      </c>
      <c r="I48" s="45">
        <f>IFERROR(__xludf.DUMMYFUNCTION("""COMPUTED_VALUE"""),50.0)</f>
        <v>50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1" t="str">
        <f>IFERROR(__xludf.DUMMYFUNCTION("""COMPUTED_VALUE"""),"Carpinus caroliniana")</f>
        <v>Carpinus caroliniana</v>
      </c>
      <c r="B49" s="41">
        <f>IFERROR(__xludf.DUMMYFUNCTION("""COMPUTED_VALUE"""),15.0)</f>
        <v>15</v>
      </c>
      <c r="C49" s="41" t="str">
        <f>IFERROR(__xludf.DUMMYFUNCTION("""COMPUTED_VALUE"""),"American Hornbeam")</f>
        <v>American Hornbeam</v>
      </c>
      <c r="D49" s="41" t="str">
        <f>IFERROR(__xludf.DUMMYFUNCTION("""COMPUTED_VALUE"""),"#15")</f>
        <v>#15</v>
      </c>
      <c r="E49" s="43" t="str">
        <f>IFERROR(__xludf.DUMMYFUNCTION("""COMPUTED_VALUE"""),"0-1.5""")</f>
        <v>0-1.5"</v>
      </c>
      <c r="F49" s="41" t="str">
        <f>IFERROR(__xludf.DUMMYFUNCTION("""COMPUTED_VALUE"""),"0-11'")</f>
        <v>0-11'</v>
      </c>
      <c r="G49" s="44">
        <f>IFERROR(__xludf.DUMMYFUNCTION("""COMPUTED_VALUE"""),0.0)</f>
        <v>0</v>
      </c>
      <c r="H49" s="41">
        <f>IFERROR(__xludf.DUMMYFUNCTION("""COMPUTED_VALUE"""),15.0)</f>
        <v>15</v>
      </c>
      <c r="I49" s="45">
        <f>IFERROR(__xludf.DUMMYFUNCTION("""COMPUTED_VALUE"""),115.0)</f>
        <v>115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1" t="str">
        <f>IFERROR(__xludf.DUMMYFUNCTION("""COMPUTED_VALUE"""),"Carya laciniosa")</f>
        <v>Carya laciniosa</v>
      </c>
      <c r="B50" s="41">
        <f>IFERROR(__xludf.DUMMYFUNCTION("""COMPUTED_VALUE"""),5.0)</f>
        <v>5</v>
      </c>
      <c r="C50" s="41" t="str">
        <f>IFERROR(__xludf.DUMMYFUNCTION("""COMPUTED_VALUE"""),"Shellbark Hickory")</f>
        <v>Shellbark Hickory</v>
      </c>
      <c r="D50" s="41" t="str">
        <f>IFERROR(__xludf.DUMMYFUNCTION("""COMPUTED_VALUE"""),"#5")</f>
        <v>#5</v>
      </c>
      <c r="E50" s="43" t="str">
        <f>IFERROR(__xludf.DUMMYFUNCTION("""COMPUTED_VALUE"""),"0.25-0.5""")</f>
        <v>0.25-0.5"</v>
      </c>
      <c r="F50" s="41" t="str">
        <f>IFERROR(__xludf.DUMMYFUNCTION("""COMPUTED_VALUE"""),"1.5-2.5'")</f>
        <v>1.5-2.5'</v>
      </c>
      <c r="G50" s="44">
        <f>IFERROR(__xludf.DUMMYFUNCTION("""COMPUTED_VALUE"""),8.0)</f>
        <v>8</v>
      </c>
      <c r="H50" s="41">
        <f>IFERROR(__xludf.DUMMYFUNCTION("""COMPUTED_VALUE"""),0.0)</f>
        <v>0</v>
      </c>
      <c r="I50" s="45">
        <f>IFERROR(__xludf.DUMMYFUNCTION("""COMPUTED_VALUE"""),35.0)</f>
        <v>35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1" t="str">
        <f>IFERROR(__xludf.DUMMYFUNCTION("""COMPUTED_VALUE"""),"Carya ovata")</f>
        <v>Carya ovata</v>
      </c>
      <c r="B51" s="41">
        <f>IFERROR(__xludf.DUMMYFUNCTION("""COMPUTED_VALUE"""),5.0)</f>
        <v>5</v>
      </c>
      <c r="C51" s="41" t="str">
        <f>IFERROR(__xludf.DUMMYFUNCTION("""COMPUTED_VALUE"""),"Shagbark Hickory")</f>
        <v>Shagbark Hickory</v>
      </c>
      <c r="D51" s="41" t="str">
        <f>IFERROR(__xludf.DUMMYFUNCTION("""COMPUTED_VALUE"""),"#5")</f>
        <v>#5</v>
      </c>
      <c r="E51" s="43" t="str">
        <f>IFERROR(__xludf.DUMMYFUNCTION("""COMPUTED_VALUE"""),"0.125-0.5""")</f>
        <v>0.125-0.5"</v>
      </c>
      <c r="F51" s="41" t="str">
        <f>IFERROR(__xludf.DUMMYFUNCTION("""COMPUTED_VALUE"""),"0.5-2'")</f>
        <v>0.5-2'</v>
      </c>
      <c r="G51" s="44">
        <f>IFERROR(__xludf.DUMMYFUNCTION("""COMPUTED_VALUE"""),164.0)</f>
        <v>164</v>
      </c>
      <c r="H51" s="41">
        <f>IFERROR(__xludf.DUMMYFUNCTION("""COMPUTED_VALUE"""),0.0)</f>
        <v>0</v>
      </c>
      <c r="I51" s="45">
        <f>IFERROR(__xludf.DUMMYFUNCTION("""COMPUTED_VALUE"""),35.0)</f>
        <v>35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1" t="str">
        <f>IFERROR(__xludf.DUMMYFUNCTION("""COMPUTED_VALUE"""),"Catalpa bignonioides")</f>
        <v>Catalpa bignonioides</v>
      </c>
      <c r="B52" s="41">
        <f>IFERROR(__xludf.DUMMYFUNCTION("""COMPUTED_VALUE"""),5.0)</f>
        <v>5</v>
      </c>
      <c r="C52" s="41" t="str">
        <f>IFERROR(__xludf.DUMMYFUNCTION("""COMPUTED_VALUE"""),"Southern Catalpa")</f>
        <v>Southern Catalpa</v>
      </c>
      <c r="D52" s="41" t="str">
        <f>IFERROR(__xludf.DUMMYFUNCTION("""COMPUTED_VALUE"""),"#5")</f>
        <v>#5</v>
      </c>
      <c r="E52" s="43" t="str">
        <f>IFERROR(__xludf.DUMMYFUNCTION("""COMPUTED_VALUE"""),"0-0""")</f>
        <v>0-0"</v>
      </c>
      <c r="F52" s="41" t="str">
        <f>IFERROR(__xludf.DUMMYFUNCTION("""COMPUTED_VALUE"""),"0-0'")</f>
        <v>0-0'</v>
      </c>
      <c r="G52" s="41">
        <f>IFERROR(__xludf.DUMMYFUNCTION("""COMPUTED_VALUE"""),26.0)</f>
        <v>26</v>
      </c>
      <c r="H52" s="41">
        <f>IFERROR(__xludf.DUMMYFUNCTION("""COMPUTED_VALUE"""),12.5)</f>
        <v>12.5</v>
      </c>
      <c r="I52" s="45">
        <f>IFERROR(__xludf.DUMMYFUNCTION("""COMPUTED_VALUE"""),40.0)</f>
        <v>40</v>
      </c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1" t="str">
        <f>IFERROR(__xludf.DUMMYFUNCTION("""COMPUTED_VALUE"""),"Catalpa bignonioides")</f>
        <v>Catalpa bignonioides</v>
      </c>
      <c r="B53" s="41">
        <f>IFERROR(__xludf.DUMMYFUNCTION("""COMPUTED_VALUE"""),5.0)</f>
        <v>5</v>
      </c>
      <c r="C53" s="41" t="str">
        <f>IFERROR(__xludf.DUMMYFUNCTION("""COMPUTED_VALUE"""),"Southern Catalpa")</f>
        <v>Southern Catalpa</v>
      </c>
      <c r="D53" s="41" t="str">
        <f>IFERROR(__xludf.DUMMYFUNCTION("""COMPUTED_VALUE"""),"#5")</f>
        <v>#5</v>
      </c>
      <c r="E53" s="43" t="str">
        <f>IFERROR(__xludf.DUMMYFUNCTION("""COMPUTED_VALUE"""),"0.5-0.75""")</f>
        <v>0.5-0.75"</v>
      </c>
      <c r="F53" s="41" t="str">
        <f>IFERROR(__xludf.DUMMYFUNCTION("""COMPUTED_VALUE"""),"2-3'")</f>
        <v>2-3'</v>
      </c>
      <c r="G53" s="44">
        <f>IFERROR(__xludf.DUMMYFUNCTION("""COMPUTED_VALUE"""),0.0)</f>
        <v>0</v>
      </c>
      <c r="H53" s="41">
        <f>IFERROR(__xludf.DUMMYFUNCTION("""COMPUTED_VALUE"""),12.5)</f>
        <v>12.5</v>
      </c>
      <c r="I53" s="45">
        <f>IFERROR(__xludf.DUMMYFUNCTION("""COMPUTED_VALUE"""),40.0)</f>
        <v>40</v>
      </c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1" t="str">
        <f>IFERROR(__xludf.DUMMYFUNCTION("""COMPUTED_VALUE"""),"Catalpa speciosa")</f>
        <v>Catalpa speciosa</v>
      </c>
      <c r="B54" s="41">
        <f>IFERROR(__xludf.DUMMYFUNCTION("""COMPUTED_VALUE"""),5.0)</f>
        <v>5</v>
      </c>
      <c r="C54" s="41" t="str">
        <f>IFERROR(__xludf.DUMMYFUNCTION("""COMPUTED_VALUE"""),"Northern Catalpa")</f>
        <v>Northern Catalpa</v>
      </c>
      <c r="D54" s="41" t="str">
        <f>IFERROR(__xludf.DUMMYFUNCTION("""COMPUTED_VALUE"""),"#5")</f>
        <v>#5</v>
      </c>
      <c r="E54" s="43" t="str">
        <f>IFERROR(__xludf.DUMMYFUNCTION("""COMPUTED_VALUE"""),"1-1""")</f>
        <v>1-1"</v>
      </c>
      <c r="F54" s="41" t="str">
        <f>IFERROR(__xludf.DUMMYFUNCTION("""COMPUTED_VALUE"""),"4-5'")</f>
        <v>4-5'</v>
      </c>
      <c r="G54" s="44">
        <f>IFERROR(__xludf.DUMMYFUNCTION("""COMPUTED_VALUE"""),23.0)</f>
        <v>23</v>
      </c>
      <c r="H54" s="41">
        <f>IFERROR(__xludf.DUMMYFUNCTION("""COMPUTED_VALUE"""),0.0)</f>
        <v>0</v>
      </c>
      <c r="I54" s="45">
        <f>IFERROR(__xludf.DUMMYFUNCTION("""COMPUTED_VALUE"""),40.0)</f>
        <v>40</v>
      </c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1" t="str">
        <f>IFERROR(__xludf.DUMMYFUNCTION("""COMPUTED_VALUE"""),"Catalpa speciosa")</f>
        <v>Catalpa speciosa</v>
      </c>
      <c r="B55" s="41">
        <f>IFERROR(__xludf.DUMMYFUNCTION("""COMPUTED_VALUE"""),25.0)</f>
        <v>25</v>
      </c>
      <c r="C55" s="41" t="str">
        <f>IFERROR(__xludf.DUMMYFUNCTION("""COMPUTED_VALUE"""),"Northern Catalpa")</f>
        <v>Northern Catalpa</v>
      </c>
      <c r="D55" s="41" t="str">
        <f>IFERROR(__xludf.DUMMYFUNCTION("""COMPUTED_VALUE"""),"#25")</f>
        <v>#25</v>
      </c>
      <c r="E55" s="43" t="str">
        <f>IFERROR(__xludf.DUMMYFUNCTION("""COMPUTED_VALUE"""),"1.5-1.75""")</f>
        <v>1.5-1.75"</v>
      </c>
      <c r="F55" s="41" t="str">
        <f>IFERROR(__xludf.DUMMYFUNCTION("""COMPUTED_VALUE"""),"9-10'")</f>
        <v>9-10'</v>
      </c>
      <c r="G55" s="44">
        <f>IFERROR(__xludf.DUMMYFUNCTION("""COMPUTED_VALUE"""),1.0)</f>
        <v>1</v>
      </c>
      <c r="H55" s="41">
        <f>IFERROR(__xludf.DUMMYFUNCTION("""COMPUTED_VALUE"""),0.0)</f>
        <v>0</v>
      </c>
      <c r="I55" s="45">
        <f>IFERROR(__xludf.DUMMYFUNCTION("""COMPUTED_VALUE"""),140.0)</f>
        <v>140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1" t="str">
        <f>IFERROR(__xludf.DUMMYFUNCTION("""COMPUTED_VALUE"""),"Celtis occidentalis")</f>
        <v>Celtis occidentalis</v>
      </c>
      <c r="B56" s="41">
        <f>IFERROR(__xludf.DUMMYFUNCTION("""COMPUTED_VALUE"""),5.0)</f>
        <v>5</v>
      </c>
      <c r="C56" s="41" t="str">
        <f>IFERROR(__xludf.DUMMYFUNCTION("""COMPUTED_VALUE"""),"Hackberry")</f>
        <v>Hackberry</v>
      </c>
      <c r="D56" s="41" t="str">
        <f>IFERROR(__xludf.DUMMYFUNCTION("""COMPUTED_VALUE"""),"#5")</f>
        <v>#5</v>
      </c>
      <c r="E56" s="43" t="str">
        <f>IFERROR(__xludf.DUMMYFUNCTION("""COMPUTED_VALUE"""),"0.25-0.25""")</f>
        <v>0.25-0.25"</v>
      </c>
      <c r="F56" s="41" t="str">
        <f>IFERROR(__xludf.DUMMYFUNCTION("""COMPUTED_VALUE"""),"2-4.5'")</f>
        <v>2-4.5'</v>
      </c>
      <c r="G56" s="44">
        <f>IFERROR(__xludf.DUMMYFUNCTION("""COMPUTED_VALUE"""),122.0)</f>
        <v>122</v>
      </c>
      <c r="H56" s="41">
        <f>IFERROR(__xludf.DUMMYFUNCTION("""COMPUTED_VALUE"""),100.0)</f>
        <v>100</v>
      </c>
      <c r="I56" s="45">
        <f>IFERROR(__xludf.DUMMYFUNCTION("""COMPUTED_VALUE"""),40.0)</f>
        <v>40</v>
      </c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1" t="str">
        <f>IFERROR(__xludf.DUMMYFUNCTION("""COMPUTED_VALUE"""),"Cephalanthus occidentalis")</f>
        <v>Cephalanthus occidentalis</v>
      </c>
      <c r="B57" s="41">
        <f>IFERROR(__xludf.DUMMYFUNCTION("""COMPUTED_VALUE"""),5.0)</f>
        <v>5</v>
      </c>
      <c r="C57" s="41" t="str">
        <f>IFERROR(__xludf.DUMMYFUNCTION("""COMPUTED_VALUE"""),"ButtonBush")</f>
        <v>ButtonBush</v>
      </c>
      <c r="D57" s="41" t="str">
        <f>IFERROR(__xludf.DUMMYFUNCTION("""COMPUTED_VALUE"""),"#5")</f>
        <v>#5</v>
      </c>
      <c r="E57" s="46" t="str">
        <f>IFERROR(__xludf.DUMMYFUNCTION("""COMPUTED_VALUE"""),"Multi")</f>
        <v>Multi</v>
      </c>
      <c r="F57" s="41" t="str">
        <f>IFERROR(__xludf.DUMMYFUNCTION("""COMPUTED_VALUE"""),"3-5'")</f>
        <v>3-5'</v>
      </c>
      <c r="G57" s="44">
        <f>IFERROR(__xludf.DUMMYFUNCTION("""COMPUTED_VALUE"""),3.0)</f>
        <v>3</v>
      </c>
      <c r="H57" s="41">
        <f>IFERROR(__xludf.DUMMYFUNCTION("""COMPUTED_VALUE"""),50.0)</f>
        <v>50</v>
      </c>
      <c r="I57" s="45">
        <f>IFERROR(__xludf.DUMMYFUNCTION("""COMPUTED_VALUE"""),32.0)</f>
        <v>32</v>
      </c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1" t="str">
        <f>IFERROR(__xludf.DUMMYFUNCTION("""COMPUTED_VALUE"""),"Cercis canadensis")</f>
        <v>Cercis canadensis</v>
      </c>
      <c r="B58" s="41">
        <f>IFERROR(__xludf.DUMMYFUNCTION("""COMPUTED_VALUE"""),10.0)</f>
        <v>10</v>
      </c>
      <c r="C58" s="41" t="str">
        <f>IFERROR(__xludf.DUMMYFUNCTION("""COMPUTED_VALUE"""),"Eastern Redbud")</f>
        <v>Eastern Redbud</v>
      </c>
      <c r="D58" s="41" t="str">
        <f>IFERROR(__xludf.DUMMYFUNCTION("""COMPUTED_VALUE"""),"#10")</f>
        <v>#10</v>
      </c>
      <c r="E58" s="43" t="str">
        <f>IFERROR(__xludf.DUMMYFUNCTION("""COMPUTED_VALUE"""),"0-1.25""")</f>
        <v>0-1.25"</v>
      </c>
      <c r="F58" s="41" t="str">
        <f>IFERROR(__xludf.DUMMYFUNCTION("""COMPUTED_VALUE"""),"0-8'")</f>
        <v>0-8'</v>
      </c>
      <c r="G58" s="44">
        <f>IFERROR(__xludf.DUMMYFUNCTION("""COMPUTED_VALUE"""),0.0)</f>
        <v>0</v>
      </c>
      <c r="H58" s="41">
        <f>IFERROR(__xludf.DUMMYFUNCTION("""COMPUTED_VALUE"""),10.0)</f>
        <v>10</v>
      </c>
      <c r="I58" s="45">
        <f>IFERROR(__xludf.DUMMYFUNCTION("""COMPUTED_VALUE"""),85.0)</f>
        <v>85</v>
      </c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1" t="str">
        <f>IFERROR(__xludf.DUMMYFUNCTION("""COMPUTED_VALUE"""),"Cercis canadensis")</f>
        <v>Cercis canadensis</v>
      </c>
      <c r="B59" s="41">
        <f>IFERROR(__xludf.DUMMYFUNCTION("""COMPUTED_VALUE"""),15.0)</f>
        <v>15</v>
      </c>
      <c r="C59" s="41" t="str">
        <f>IFERROR(__xludf.DUMMYFUNCTION("""COMPUTED_VALUE"""),"Eastern Redbud")</f>
        <v>Eastern Redbud</v>
      </c>
      <c r="D59" s="41" t="str">
        <f>IFERROR(__xludf.DUMMYFUNCTION("""COMPUTED_VALUE"""),"#15")</f>
        <v>#15</v>
      </c>
      <c r="E59" s="43" t="str">
        <f>IFERROR(__xludf.DUMMYFUNCTION("""COMPUTED_VALUE"""),"0-1.5""")</f>
        <v>0-1.5"</v>
      </c>
      <c r="F59" s="41" t="str">
        <f>IFERROR(__xludf.DUMMYFUNCTION("""COMPUTED_VALUE"""),"0-11'")</f>
        <v>0-11'</v>
      </c>
      <c r="G59" s="44">
        <f>IFERROR(__xludf.DUMMYFUNCTION("""COMPUTED_VALUE"""),0.0)</f>
        <v>0</v>
      </c>
      <c r="H59" s="41">
        <f>IFERROR(__xludf.DUMMYFUNCTION("""COMPUTED_VALUE"""),25.0)</f>
        <v>25</v>
      </c>
      <c r="I59" s="45">
        <f>IFERROR(__xludf.DUMMYFUNCTION("""COMPUTED_VALUE"""),115.0)</f>
        <v>115</v>
      </c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 t="str">
        <f>IFERROR(__xludf.DUMMYFUNCTION("""COMPUTED_VALUE"""),"Cercis canadensis 'Forest Pansy'")</f>
        <v>Cercis canadensis 'Forest Pansy'</v>
      </c>
      <c r="B60" s="41">
        <f>IFERROR(__xludf.DUMMYFUNCTION("""COMPUTED_VALUE"""),7.0)</f>
        <v>7</v>
      </c>
      <c r="C60" s="41" t="str">
        <f>IFERROR(__xludf.DUMMYFUNCTION("""COMPUTED_VALUE"""),"Forest Pansy Redbud")</f>
        <v>Forest Pansy Redbud</v>
      </c>
      <c r="D60" s="41" t="str">
        <f>IFERROR(__xludf.DUMMYFUNCTION("""COMPUTED_VALUE"""),"#7")</f>
        <v>#7</v>
      </c>
      <c r="E60" s="43" t="str">
        <f>IFERROR(__xludf.DUMMYFUNCTION("""COMPUTED_VALUE"""),"0.75-1""")</f>
        <v>0.75-1"</v>
      </c>
      <c r="F60" s="41" t="str">
        <f>IFERROR(__xludf.DUMMYFUNCTION("""COMPUTED_VALUE"""),"3-6'")</f>
        <v>3-6'</v>
      </c>
      <c r="G60" s="44">
        <f>IFERROR(__xludf.DUMMYFUNCTION("""COMPUTED_VALUE"""),54.0)</f>
        <v>54</v>
      </c>
      <c r="H60" s="41">
        <f>IFERROR(__xludf.DUMMYFUNCTION("""COMPUTED_VALUE"""),100.0)</f>
        <v>100</v>
      </c>
      <c r="I60" s="45">
        <f>IFERROR(__xludf.DUMMYFUNCTION("""COMPUTED_VALUE"""),65.0)</f>
        <v>65</v>
      </c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 t="str">
        <f>IFERROR(__xludf.DUMMYFUNCTION("""COMPUTED_VALUE"""),"Cercis canadensis 'Forest Pansy'")</f>
        <v>Cercis canadensis 'Forest Pansy'</v>
      </c>
      <c r="B61" s="41">
        <f>IFERROR(__xludf.DUMMYFUNCTION("""COMPUTED_VALUE"""),15.0)</f>
        <v>15</v>
      </c>
      <c r="C61" s="41" t="str">
        <f>IFERROR(__xludf.DUMMYFUNCTION("""COMPUTED_VALUE"""),"Forest Pansy Redbud")</f>
        <v>Forest Pansy Redbud</v>
      </c>
      <c r="D61" s="41" t="str">
        <f>IFERROR(__xludf.DUMMYFUNCTION("""COMPUTED_VALUE"""),"#15p")</f>
        <v>#15p</v>
      </c>
      <c r="E61" s="43" t="str">
        <f>IFERROR(__xludf.DUMMYFUNCTION("""COMPUTED_VALUE"""),"0.5-0.75""")</f>
        <v>0.5-0.75"</v>
      </c>
      <c r="F61" s="41" t="str">
        <f>IFERROR(__xludf.DUMMYFUNCTION("""COMPUTED_VALUE"""),"7-8'")</f>
        <v>7-8'</v>
      </c>
      <c r="G61" s="44">
        <f>IFERROR(__xludf.DUMMYFUNCTION("""COMPUTED_VALUE"""),0.0)</f>
        <v>0</v>
      </c>
      <c r="H61" s="41">
        <f>IFERROR(__xludf.DUMMYFUNCTION("""COMPUTED_VALUE"""),15.0)</f>
        <v>15</v>
      </c>
      <c r="I61" s="45">
        <f>IFERROR(__xludf.DUMMYFUNCTION("""COMPUTED_VALUE"""),115.0)</f>
        <v>115</v>
      </c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1" t="str">
        <f>IFERROR(__xludf.DUMMYFUNCTION("""COMPUTED_VALUE"""),"Cercis canadensis 'Lavender Twist'")</f>
        <v>Cercis canadensis 'Lavender Twist'</v>
      </c>
      <c r="B62" s="41">
        <f>IFERROR(__xludf.DUMMYFUNCTION("""COMPUTED_VALUE"""),7.0)</f>
        <v>7</v>
      </c>
      <c r="C62" s="41" t="str">
        <f>IFERROR(__xludf.DUMMYFUNCTION("""COMPUTED_VALUE"""),"Lavender Twist Redbud")</f>
        <v>Lavender Twist Redbud</v>
      </c>
      <c r="D62" s="41" t="str">
        <f>IFERROR(__xludf.DUMMYFUNCTION("""COMPUTED_VALUE"""),"#7")</f>
        <v>#7</v>
      </c>
      <c r="E62" s="43" t="str">
        <f>IFERROR(__xludf.DUMMYFUNCTION("""COMPUTED_VALUE"""),"0.75-1""")</f>
        <v>0.75-1"</v>
      </c>
      <c r="F62" s="41" t="str">
        <f>IFERROR(__xludf.DUMMYFUNCTION("""COMPUTED_VALUE"""),"3-6'")</f>
        <v>3-6'</v>
      </c>
      <c r="G62" s="44">
        <f>IFERROR(__xludf.DUMMYFUNCTION("""COMPUTED_VALUE"""),7.0)</f>
        <v>7</v>
      </c>
      <c r="H62" s="41">
        <f>IFERROR(__xludf.DUMMYFUNCTION("""COMPUTED_VALUE"""),20.0)</f>
        <v>20</v>
      </c>
      <c r="I62" s="45">
        <f>IFERROR(__xludf.DUMMYFUNCTION("""COMPUTED_VALUE"""),90.0)</f>
        <v>90</v>
      </c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1" t="str">
        <f>IFERROR(__xludf.DUMMYFUNCTION("""COMPUTED_VALUE"""),"Cercis canadensis 'Oklahoma'")</f>
        <v>Cercis canadensis 'Oklahoma'</v>
      </c>
      <c r="B63" s="41">
        <f>IFERROR(__xludf.DUMMYFUNCTION("""COMPUTED_VALUE"""),7.0)</f>
        <v>7</v>
      </c>
      <c r="C63" s="41" t="str">
        <f>IFERROR(__xludf.DUMMYFUNCTION("""COMPUTED_VALUE"""),"Oklahoma Redbud")</f>
        <v>Oklahoma Redbud</v>
      </c>
      <c r="D63" s="41" t="str">
        <f>IFERROR(__xludf.DUMMYFUNCTION("""COMPUTED_VALUE"""),"#7")</f>
        <v>#7</v>
      </c>
      <c r="E63" s="43" t="str">
        <f>IFERROR(__xludf.DUMMYFUNCTION("""COMPUTED_VALUE"""),"0.75-1""")</f>
        <v>0.75-1"</v>
      </c>
      <c r="F63" s="41" t="str">
        <f>IFERROR(__xludf.DUMMYFUNCTION("""COMPUTED_VALUE"""),"3-4'")</f>
        <v>3-4'</v>
      </c>
      <c r="G63" s="44">
        <f>IFERROR(__xludf.DUMMYFUNCTION("""COMPUTED_VALUE"""),5.0)</f>
        <v>5</v>
      </c>
      <c r="H63" s="41">
        <f>IFERROR(__xludf.DUMMYFUNCTION("""COMPUTED_VALUE"""),0.0)</f>
        <v>0</v>
      </c>
      <c r="I63" s="45">
        <f>IFERROR(__xludf.DUMMYFUNCTION("""COMPUTED_VALUE"""),70.0)</f>
        <v>70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1" t="str">
        <f>IFERROR(__xludf.DUMMYFUNCTION("""COMPUTED_VALUE"""),"Cercis canadensis 'Rising Sun'")</f>
        <v>Cercis canadensis 'Rising Sun'</v>
      </c>
      <c r="B64" s="41">
        <f>IFERROR(__xludf.DUMMYFUNCTION("""COMPUTED_VALUE"""),7.0)</f>
        <v>7</v>
      </c>
      <c r="C64" s="41" t="str">
        <f>IFERROR(__xludf.DUMMYFUNCTION("""COMPUTED_VALUE"""),"Rising Sun Redbud")</f>
        <v>Rising Sun Redbud</v>
      </c>
      <c r="D64" s="41" t="str">
        <f>IFERROR(__xludf.DUMMYFUNCTION("""COMPUTED_VALUE"""),"#7")</f>
        <v>#7</v>
      </c>
      <c r="E64" s="43" t="str">
        <f>IFERROR(__xludf.DUMMYFUNCTION("""COMPUTED_VALUE"""),"0.5-0.75""")</f>
        <v>0.5-0.75"</v>
      </c>
      <c r="F64" s="41" t="str">
        <f>IFERROR(__xludf.DUMMYFUNCTION("""COMPUTED_VALUE"""),"1-2'")</f>
        <v>1-2'</v>
      </c>
      <c r="G64" s="44">
        <f>IFERROR(__xludf.DUMMYFUNCTION("""COMPUTED_VALUE"""),15.0)</f>
        <v>15</v>
      </c>
      <c r="H64" s="41">
        <f>IFERROR(__xludf.DUMMYFUNCTION("""COMPUTED_VALUE"""),40.0)</f>
        <v>40</v>
      </c>
      <c r="I64" s="45">
        <f>IFERROR(__xludf.DUMMYFUNCTION("""COMPUTED_VALUE"""),90.0)</f>
        <v>90</v>
      </c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1" t="str">
        <f>IFERROR(__xludf.DUMMYFUNCTION("""COMPUTED_VALUE"""),"Cercis canadensis 'Rising Sun'")</f>
        <v>Cercis canadensis 'Rising Sun'</v>
      </c>
      <c r="B65" s="41">
        <f>IFERROR(__xludf.DUMMYFUNCTION("""COMPUTED_VALUE"""),10.0)</f>
        <v>10</v>
      </c>
      <c r="C65" s="41" t="str">
        <f>IFERROR(__xludf.DUMMYFUNCTION("""COMPUTED_VALUE"""),"Rising Sun Redbud")</f>
        <v>Rising Sun Redbud</v>
      </c>
      <c r="D65" s="41" t="str">
        <f>IFERROR(__xludf.DUMMYFUNCTION("""COMPUTED_VALUE"""),"#10")</f>
        <v>#10</v>
      </c>
      <c r="E65" s="43" t="str">
        <f>IFERROR(__xludf.DUMMYFUNCTION("""COMPUTED_VALUE"""),"1-1""")</f>
        <v>1-1"</v>
      </c>
      <c r="F65" s="41" t="str">
        <f>IFERROR(__xludf.DUMMYFUNCTION("""COMPUTED_VALUE"""),"3-4'")</f>
        <v>3-4'</v>
      </c>
      <c r="G65" s="44">
        <f>IFERROR(__xludf.DUMMYFUNCTION("""COMPUTED_VALUE"""),2.0)</f>
        <v>2</v>
      </c>
      <c r="H65" s="41">
        <f>IFERROR(__xludf.DUMMYFUNCTION("""COMPUTED_VALUE"""),0.0)</f>
        <v>0</v>
      </c>
      <c r="I65" s="45">
        <f>IFERROR(__xludf.DUMMYFUNCTION("""COMPUTED_VALUE"""),105.0)</f>
        <v>105</v>
      </c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1" t="str">
        <f>IFERROR(__xludf.DUMMYFUNCTION("""COMPUTED_VALUE"""),"Cercis canadensis 'Ruby Falls'")</f>
        <v>Cercis canadensis 'Ruby Falls'</v>
      </c>
      <c r="B66" s="41">
        <f>IFERROR(__xludf.DUMMYFUNCTION("""COMPUTED_VALUE"""),7.0)</f>
        <v>7</v>
      </c>
      <c r="C66" s="41" t="str">
        <f>IFERROR(__xludf.DUMMYFUNCTION("""COMPUTED_VALUE"""),"Ruby Falls Redbud")</f>
        <v>Ruby Falls Redbud</v>
      </c>
      <c r="D66" s="41" t="str">
        <f>IFERROR(__xludf.DUMMYFUNCTION("""COMPUTED_VALUE"""),"#7")</f>
        <v>#7</v>
      </c>
      <c r="E66" s="43" t="str">
        <f>IFERROR(__xludf.DUMMYFUNCTION("""COMPUTED_VALUE"""),"0.5-0.75""")</f>
        <v>0.5-0.75"</v>
      </c>
      <c r="F66" s="41" t="str">
        <f>IFERROR(__xludf.DUMMYFUNCTION("""COMPUTED_VALUE"""),"0.5-2'")</f>
        <v>0.5-2'</v>
      </c>
      <c r="G66" s="44">
        <f>IFERROR(__xludf.DUMMYFUNCTION("""COMPUTED_VALUE"""),4.0)</f>
        <v>4</v>
      </c>
      <c r="H66" s="41">
        <f>IFERROR(__xludf.DUMMYFUNCTION("""COMPUTED_VALUE"""),20.0)</f>
        <v>20</v>
      </c>
      <c r="I66" s="45">
        <f>IFERROR(__xludf.DUMMYFUNCTION("""COMPUTED_VALUE"""),90.0)</f>
        <v>90</v>
      </c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1" t="str">
        <f>IFERROR(__xludf.DUMMYFUNCTION("""COMPUTED_VALUE"""),"Cercis canadensis 'Ruby Falls'")</f>
        <v>Cercis canadensis 'Ruby Falls'</v>
      </c>
      <c r="B67" s="41">
        <f>IFERROR(__xludf.DUMMYFUNCTION("""COMPUTED_VALUE"""),15.0)</f>
        <v>15</v>
      </c>
      <c r="C67" s="41" t="str">
        <f>IFERROR(__xludf.DUMMYFUNCTION("""COMPUTED_VALUE"""),"Ruby Falls Redbud")</f>
        <v>Ruby Falls Redbud</v>
      </c>
      <c r="D67" s="41" t="str">
        <f>IFERROR(__xludf.DUMMYFUNCTION("""COMPUTED_VALUE"""),"#15")</f>
        <v>#15</v>
      </c>
      <c r="E67" s="43" t="str">
        <f>IFERROR(__xludf.DUMMYFUNCTION("""COMPUTED_VALUE"""),"0.75-1""")</f>
        <v>0.75-1"</v>
      </c>
      <c r="F67" s="41" t="str">
        <f>IFERROR(__xludf.DUMMYFUNCTION("""COMPUTED_VALUE"""),"6-7'")</f>
        <v>6-7'</v>
      </c>
      <c r="G67" s="44">
        <f>IFERROR(__xludf.DUMMYFUNCTION("""COMPUTED_VALUE"""),4.0)</f>
        <v>4</v>
      </c>
      <c r="H67" s="41">
        <f>IFERROR(__xludf.DUMMYFUNCTION("""COMPUTED_VALUE"""),0.0)</f>
        <v>0</v>
      </c>
      <c r="I67" s="45">
        <f>IFERROR(__xludf.DUMMYFUNCTION("""COMPUTED_VALUE"""),115.0)</f>
        <v>115</v>
      </c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1" t="str">
        <f>IFERROR(__xludf.DUMMYFUNCTION("""COMPUTED_VALUE"""),"Cercis tex. 'Merlot'")</f>
        <v>Cercis tex. 'Merlot'</v>
      </c>
      <c r="B68" s="41">
        <f>IFERROR(__xludf.DUMMYFUNCTION("""COMPUTED_VALUE"""),10.0)</f>
        <v>10</v>
      </c>
      <c r="C68" s="41" t="str">
        <f>IFERROR(__xludf.DUMMYFUNCTION("""COMPUTED_VALUE"""),"Merlot Redbud")</f>
        <v>Merlot Redbud</v>
      </c>
      <c r="D68" s="41" t="str">
        <f>IFERROR(__xludf.DUMMYFUNCTION("""COMPUTED_VALUE"""),"#10")</f>
        <v>#10</v>
      </c>
      <c r="E68" s="43" t="str">
        <f>IFERROR(__xludf.DUMMYFUNCTION("""COMPUTED_VALUE"""),"0.5-0.75""")</f>
        <v>0.5-0.75"</v>
      </c>
      <c r="F68" s="41" t="str">
        <f>IFERROR(__xludf.DUMMYFUNCTION("""COMPUTED_VALUE"""),"3-4'")</f>
        <v>3-4'</v>
      </c>
      <c r="G68" s="44">
        <f>IFERROR(__xludf.DUMMYFUNCTION("""COMPUTED_VALUE"""),4.0)</f>
        <v>4</v>
      </c>
      <c r="H68" s="41">
        <f>IFERROR(__xludf.DUMMYFUNCTION("""COMPUTED_VALUE"""),0.0)</f>
        <v>0</v>
      </c>
      <c r="I68" s="45">
        <f>IFERROR(__xludf.DUMMYFUNCTION("""COMPUTED_VALUE"""),85.0)</f>
        <v>85</v>
      </c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1" t="str">
        <f>IFERROR(__xludf.DUMMYFUNCTION("""COMPUTED_VALUE"""),"Chionanthus retusus")</f>
        <v>Chionanthus retusus</v>
      </c>
      <c r="B69" s="41">
        <f>IFERROR(__xludf.DUMMYFUNCTION("""COMPUTED_VALUE"""),5.0)</f>
        <v>5</v>
      </c>
      <c r="C69" s="41" t="str">
        <f>IFERROR(__xludf.DUMMYFUNCTION("""COMPUTED_VALUE"""),"Chinese Fringe Tree")</f>
        <v>Chinese Fringe Tree</v>
      </c>
      <c r="D69" s="41" t="str">
        <f>IFERROR(__xludf.DUMMYFUNCTION("""COMPUTED_VALUE"""),"#5")</f>
        <v>#5</v>
      </c>
      <c r="E69" s="43" t="str">
        <f>IFERROR(__xludf.DUMMYFUNCTION("""COMPUTED_VALUE"""),"0.125-0.25""")</f>
        <v>0.125-0.25"</v>
      </c>
      <c r="F69" s="41" t="str">
        <f>IFERROR(__xludf.DUMMYFUNCTION("""COMPUTED_VALUE"""),"1-3'")</f>
        <v>1-3'</v>
      </c>
      <c r="G69" s="44">
        <f>IFERROR(__xludf.DUMMYFUNCTION("""COMPUTED_VALUE"""),4.0)</f>
        <v>4</v>
      </c>
      <c r="H69" s="41">
        <f>IFERROR(__xludf.DUMMYFUNCTION("""COMPUTED_VALUE"""),0.0)</f>
        <v>0</v>
      </c>
      <c r="I69" s="45">
        <f>IFERROR(__xludf.DUMMYFUNCTION("""COMPUTED_VALUE"""),40.0)</f>
        <v>40</v>
      </c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1" t="str">
        <f>IFERROR(__xludf.DUMMYFUNCTION("""COMPUTED_VALUE"""),"Chionanthus virginicus")</f>
        <v>Chionanthus virginicus</v>
      </c>
      <c r="B70" s="41">
        <f>IFERROR(__xludf.DUMMYFUNCTION("""COMPUTED_VALUE"""),5.0)</f>
        <v>5</v>
      </c>
      <c r="C70" s="41" t="str">
        <f>IFERROR(__xludf.DUMMYFUNCTION("""COMPUTED_VALUE"""),"White Fringe Tree")</f>
        <v>White Fringe Tree</v>
      </c>
      <c r="D70" s="41" t="str">
        <f>IFERROR(__xludf.DUMMYFUNCTION("""COMPUTED_VALUE"""),"#5")</f>
        <v>#5</v>
      </c>
      <c r="E70" s="43" t="str">
        <f>IFERROR(__xludf.DUMMYFUNCTION("""COMPUTED_VALUE"""),"0.125-0.75""")</f>
        <v>0.125-0.75"</v>
      </c>
      <c r="F70" s="41" t="str">
        <f>IFERROR(__xludf.DUMMYFUNCTION("""COMPUTED_VALUE"""),"2-5'")</f>
        <v>2-5'</v>
      </c>
      <c r="G70" s="44">
        <f>IFERROR(__xludf.DUMMYFUNCTION("""COMPUTED_VALUE"""),264.0)</f>
        <v>264</v>
      </c>
      <c r="H70" s="41">
        <f>IFERROR(__xludf.DUMMYFUNCTION("""COMPUTED_VALUE"""),100.0)</f>
        <v>100</v>
      </c>
      <c r="I70" s="45">
        <f>IFERROR(__xludf.DUMMYFUNCTION("""COMPUTED_VALUE"""),40.0)</f>
        <v>40</v>
      </c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1" t="str">
        <f>IFERROR(__xludf.DUMMYFUNCTION("""COMPUTED_VALUE"""),"Cladastris kentuckea 'Perkins Pink'")</f>
        <v>Cladastris kentuckea 'Perkins Pink'</v>
      </c>
      <c r="B71" s="41">
        <f>IFERROR(__xludf.DUMMYFUNCTION("""COMPUTED_VALUE"""),15.0)</f>
        <v>15</v>
      </c>
      <c r="C71" s="41" t="str">
        <f>IFERROR(__xludf.DUMMYFUNCTION("""COMPUTED_VALUE"""),"Perkins Pink Yellowwood")</f>
        <v>Perkins Pink Yellowwood</v>
      </c>
      <c r="D71" s="41" t="str">
        <f>IFERROR(__xludf.DUMMYFUNCTION("""COMPUTED_VALUE"""),"#15")</f>
        <v>#15</v>
      </c>
      <c r="E71" s="43" t="str">
        <f>IFERROR(__xludf.DUMMYFUNCTION("""COMPUTED_VALUE"""),"0-1""")</f>
        <v>0-1"</v>
      </c>
      <c r="F71" s="41" t="str">
        <f>IFERROR(__xludf.DUMMYFUNCTION("""COMPUTED_VALUE"""),"0-8'")</f>
        <v>0-8'</v>
      </c>
      <c r="G71" s="44">
        <f>IFERROR(__xludf.DUMMYFUNCTION("""COMPUTED_VALUE"""),0.0)</f>
        <v>0</v>
      </c>
      <c r="H71" s="41">
        <f>IFERROR(__xludf.DUMMYFUNCTION("""COMPUTED_VALUE"""),5.0)</f>
        <v>5</v>
      </c>
      <c r="I71" s="45">
        <f>IFERROR(__xludf.DUMMYFUNCTION("""COMPUTED_VALUE"""),115.0)</f>
        <v>115</v>
      </c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1" t="str">
        <f>IFERROR(__xludf.DUMMYFUNCTION("""COMPUTED_VALUE"""),"Cladrastis kentukea")</f>
        <v>Cladrastis kentukea</v>
      </c>
      <c r="B72" s="41">
        <f>IFERROR(__xludf.DUMMYFUNCTION("""COMPUTED_VALUE"""),5.0)</f>
        <v>5</v>
      </c>
      <c r="C72" s="41" t="str">
        <f>IFERROR(__xludf.DUMMYFUNCTION("""COMPUTED_VALUE"""),"Yellowwood")</f>
        <v>Yellowwood</v>
      </c>
      <c r="D72" s="41" t="str">
        <f>IFERROR(__xludf.DUMMYFUNCTION("""COMPUTED_VALUE"""),"#5")</f>
        <v>#5</v>
      </c>
      <c r="E72" s="43" t="str">
        <f>IFERROR(__xludf.DUMMYFUNCTION("""COMPUTED_VALUE"""),"0.375-0.5""")</f>
        <v>0.375-0.5"</v>
      </c>
      <c r="F72" s="41" t="str">
        <f>IFERROR(__xludf.DUMMYFUNCTION("""COMPUTED_VALUE"""),"2-6'")</f>
        <v>2-6'</v>
      </c>
      <c r="G72" s="44">
        <f>IFERROR(__xludf.DUMMYFUNCTION("""COMPUTED_VALUE"""),62.0)</f>
        <v>62</v>
      </c>
      <c r="H72" s="41">
        <f>IFERROR(__xludf.DUMMYFUNCTION("""COMPUTED_VALUE"""),200.0)</f>
        <v>200</v>
      </c>
      <c r="I72" s="45">
        <f>IFERROR(__xludf.DUMMYFUNCTION("""COMPUTED_VALUE"""),40.0)</f>
        <v>40</v>
      </c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1" t="str">
        <f>IFERROR(__xludf.DUMMYFUNCTION("""COMPUTED_VALUE"""),"Conium maculatum")</f>
        <v>Conium maculatum</v>
      </c>
      <c r="B73" s="41">
        <f>IFERROR(__xludf.DUMMYFUNCTION("""COMPUTED_VALUE"""),7.0)</f>
        <v>7</v>
      </c>
      <c r="C73" s="41" t="str">
        <f>IFERROR(__xludf.DUMMYFUNCTION("""COMPUTED_VALUE"""),"Hemlock")</f>
        <v>Hemlock</v>
      </c>
      <c r="D73" s="41" t="str">
        <f>IFERROR(__xludf.DUMMYFUNCTION("""COMPUTED_VALUE"""),"#7")</f>
        <v>#7</v>
      </c>
      <c r="E73" s="43" t="str">
        <f>IFERROR(__xludf.DUMMYFUNCTION("""COMPUTED_VALUE"""),"1-1""")</f>
        <v>1-1"</v>
      </c>
      <c r="F73" s="41" t="str">
        <f>IFERROR(__xludf.DUMMYFUNCTION("""COMPUTED_VALUE"""),"3-4'")</f>
        <v>3-4'</v>
      </c>
      <c r="G73" s="44">
        <f>IFERROR(__xludf.DUMMYFUNCTION("""COMPUTED_VALUE"""),1.0)</f>
        <v>1</v>
      </c>
      <c r="H73" s="41">
        <f>IFERROR(__xludf.DUMMYFUNCTION("""COMPUTED_VALUE"""),0.0)</f>
        <v>0</v>
      </c>
      <c r="I73" s="45">
        <f>IFERROR(__xludf.DUMMYFUNCTION("""COMPUTED_VALUE"""),75.0)</f>
        <v>75</v>
      </c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1" t="str">
        <f>IFERROR(__xludf.DUMMYFUNCTION("""COMPUTED_VALUE"""),"Cornus 'Cherokee Brave'")</f>
        <v>Cornus 'Cherokee Brave'</v>
      </c>
      <c r="B74" s="41">
        <f>IFERROR(__xludf.DUMMYFUNCTION("""COMPUTED_VALUE"""),5.0)</f>
        <v>5</v>
      </c>
      <c r="C74" s="41" t="str">
        <f>IFERROR(__xludf.DUMMYFUNCTION("""COMPUTED_VALUE"""),"Cherokee Brave Dogwood")</f>
        <v>Cherokee Brave Dogwood</v>
      </c>
      <c r="D74" s="41" t="str">
        <f>IFERROR(__xludf.DUMMYFUNCTION("""COMPUTED_VALUE"""),"#5")</f>
        <v>#5</v>
      </c>
      <c r="E74" s="43" t="str">
        <f>IFERROR(__xludf.DUMMYFUNCTION("""COMPUTED_VALUE"""),"0.25-0.5""")</f>
        <v>0.25-0.5"</v>
      </c>
      <c r="F74" s="41" t="str">
        <f>IFERROR(__xludf.DUMMYFUNCTION("""COMPUTED_VALUE"""),"2-3'")</f>
        <v>2-3'</v>
      </c>
      <c r="G74" s="44">
        <f>IFERROR(__xludf.DUMMYFUNCTION("""COMPUTED_VALUE"""),0.0)</f>
        <v>0</v>
      </c>
      <c r="H74" s="41">
        <f>IFERROR(__xludf.DUMMYFUNCTION("""COMPUTED_VALUE"""),100.0)</f>
        <v>100</v>
      </c>
      <c r="I74" s="45">
        <f>IFERROR(__xludf.DUMMYFUNCTION("""COMPUTED_VALUE"""),55.0)</f>
        <v>55</v>
      </c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1" t="str">
        <f>IFERROR(__xludf.DUMMYFUNCTION("""COMPUTED_VALUE"""),"Cornus 'Cherokee Brave'")</f>
        <v>Cornus 'Cherokee Brave'</v>
      </c>
      <c r="B75" s="41">
        <f>IFERROR(__xludf.DUMMYFUNCTION("""COMPUTED_VALUE"""),7.0)</f>
        <v>7</v>
      </c>
      <c r="C75" s="41" t="str">
        <f>IFERROR(__xludf.DUMMYFUNCTION("""COMPUTED_VALUE"""),"Cherokee Brave Dogwood")</f>
        <v>Cherokee Brave Dogwood</v>
      </c>
      <c r="D75" s="41" t="str">
        <f>IFERROR(__xludf.DUMMYFUNCTION("""COMPUTED_VALUE"""),"#7")</f>
        <v>#7</v>
      </c>
      <c r="E75" s="43" t="str">
        <f>IFERROR(__xludf.DUMMYFUNCTION("""COMPUTED_VALUE"""),"0.5-0.75""")</f>
        <v>0.5-0.75"</v>
      </c>
      <c r="F75" s="41" t="str">
        <f>IFERROR(__xludf.DUMMYFUNCTION("""COMPUTED_VALUE"""),"4-5'")</f>
        <v>4-5'</v>
      </c>
      <c r="G75" s="44">
        <f>IFERROR(__xludf.DUMMYFUNCTION("""COMPUTED_VALUE"""),3.0)</f>
        <v>3</v>
      </c>
      <c r="H75" s="41">
        <f>IFERROR(__xludf.DUMMYFUNCTION("""COMPUTED_VALUE"""),0.0)</f>
        <v>0</v>
      </c>
      <c r="I75" s="45">
        <f>IFERROR(__xludf.DUMMYFUNCTION("""COMPUTED_VALUE"""),80.0)</f>
        <v>80</v>
      </c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1" t="str">
        <f>IFERROR(__xludf.DUMMYFUNCTION("""COMPUTED_VALUE"""),"Cornus 'Cherokee Brave'")</f>
        <v>Cornus 'Cherokee Brave'</v>
      </c>
      <c r="B76" s="41">
        <f>IFERROR(__xludf.DUMMYFUNCTION("""COMPUTED_VALUE"""),10.0)</f>
        <v>10</v>
      </c>
      <c r="C76" s="41" t="str">
        <f>IFERROR(__xludf.DUMMYFUNCTION("""COMPUTED_VALUE"""),"Cherokee Brave Dogwood")</f>
        <v>Cherokee Brave Dogwood</v>
      </c>
      <c r="D76" s="41" t="str">
        <f>IFERROR(__xludf.DUMMYFUNCTION("""COMPUTED_VALUE"""),"#10")</f>
        <v>#10</v>
      </c>
      <c r="E76" s="43" t="str">
        <f>IFERROR(__xludf.DUMMYFUNCTION("""COMPUTED_VALUE"""),"0.5-0.75""")</f>
        <v>0.5-0.75"</v>
      </c>
      <c r="F76" s="41" t="str">
        <f>IFERROR(__xludf.DUMMYFUNCTION("""COMPUTED_VALUE"""),"4-5'")</f>
        <v>4-5'</v>
      </c>
      <c r="G76" s="44">
        <f>IFERROR(__xludf.DUMMYFUNCTION("""COMPUTED_VALUE"""),4.0)</f>
        <v>4</v>
      </c>
      <c r="H76" s="41">
        <f>IFERROR(__xludf.DUMMYFUNCTION("""COMPUTED_VALUE"""),0.0)</f>
        <v>0</v>
      </c>
      <c r="I76" s="45">
        <f>IFERROR(__xludf.DUMMYFUNCTION("""COMPUTED_VALUE"""),90.0)</f>
        <v>90</v>
      </c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1" t="str">
        <f>IFERROR(__xludf.DUMMYFUNCTION("""COMPUTED_VALUE"""),"Cornus 'Constellation'")</f>
        <v>Cornus 'Constellation'</v>
      </c>
      <c r="B77" s="41">
        <f>IFERROR(__xludf.DUMMYFUNCTION("""COMPUTED_VALUE"""),10.0)</f>
        <v>10</v>
      </c>
      <c r="C77" s="41" t="str">
        <f>IFERROR(__xludf.DUMMYFUNCTION("""COMPUTED_VALUE"""),"Constellation Dogwood")</f>
        <v>Constellation Dogwood</v>
      </c>
      <c r="D77" s="41" t="str">
        <f>IFERROR(__xludf.DUMMYFUNCTION("""COMPUTED_VALUE"""),"#10")</f>
        <v>#10</v>
      </c>
      <c r="E77" s="43" t="str">
        <f>IFERROR(__xludf.DUMMYFUNCTION("""COMPUTED_VALUE"""),"0.5-0.75""")</f>
        <v>0.5-0.75"</v>
      </c>
      <c r="F77" s="41" t="str">
        <f>IFERROR(__xludf.DUMMYFUNCTION("""COMPUTED_VALUE"""),"5-8'")</f>
        <v>5-8'</v>
      </c>
      <c r="G77" s="44">
        <f>IFERROR(__xludf.DUMMYFUNCTION("""COMPUTED_VALUE"""),14.0)</f>
        <v>14</v>
      </c>
      <c r="H77" s="41">
        <f>IFERROR(__xludf.DUMMYFUNCTION("""COMPUTED_VALUE"""),0.0)</f>
        <v>0</v>
      </c>
      <c r="I77" s="45">
        <f>IFERROR(__xludf.DUMMYFUNCTION("""COMPUTED_VALUE"""),90.0)</f>
        <v>90</v>
      </c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1" t="str">
        <f>IFERROR(__xludf.DUMMYFUNCTION("""COMPUTED_VALUE"""),"Cornus 'Constellation'")</f>
        <v>Cornus 'Constellation'</v>
      </c>
      <c r="B78" s="41">
        <f>IFERROR(__xludf.DUMMYFUNCTION("""COMPUTED_VALUE"""),15.0)</f>
        <v>15</v>
      </c>
      <c r="C78" s="41" t="str">
        <f>IFERROR(__xludf.DUMMYFUNCTION("""COMPUTED_VALUE"""),"Constellation Dogwood")</f>
        <v>Constellation Dogwood</v>
      </c>
      <c r="D78" s="41" t="str">
        <f>IFERROR(__xludf.DUMMYFUNCTION("""COMPUTED_VALUE"""),"#15")</f>
        <v>#15</v>
      </c>
      <c r="E78" s="43" t="str">
        <f>IFERROR(__xludf.DUMMYFUNCTION("""COMPUTED_VALUE"""),"1-1""")</f>
        <v>1-1"</v>
      </c>
      <c r="F78" s="41" t="str">
        <f>IFERROR(__xludf.DUMMYFUNCTION("""COMPUTED_VALUE"""),"8-8'")</f>
        <v>8-8'</v>
      </c>
      <c r="G78" s="44">
        <f>IFERROR(__xludf.DUMMYFUNCTION("""COMPUTED_VALUE"""),1.0)</f>
        <v>1</v>
      </c>
      <c r="H78" s="41">
        <f>IFERROR(__xludf.DUMMYFUNCTION("""COMPUTED_VALUE"""),20.0)</f>
        <v>20</v>
      </c>
      <c r="I78" s="45">
        <f>IFERROR(__xludf.DUMMYFUNCTION("""COMPUTED_VALUE"""),115.0)</f>
        <v>115</v>
      </c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1" t="str">
        <f>IFERROR(__xludf.DUMMYFUNCTION("""COMPUTED_VALUE"""),"Cornus 'Rutdan' Celestial ")</f>
        <v>Cornus 'Rutdan' Celestial </v>
      </c>
      <c r="B79" s="41">
        <f>IFERROR(__xludf.DUMMYFUNCTION("""COMPUTED_VALUE"""),5.0)</f>
        <v>5</v>
      </c>
      <c r="C79" s="41" t="str">
        <f>IFERROR(__xludf.DUMMYFUNCTION("""COMPUTED_VALUE"""),"Celestial Dogwood")</f>
        <v>Celestial Dogwood</v>
      </c>
      <c r="D79" s="41" t="str">
        <f>IFERROR(__xludf.DUMMYFUNCTION("""COMPUTED_VALUE"""),"#5")</f>
        <v>#5</v>
      </c>
      <c r="E79" s="43" t="str">
        <f>IFERROR(__xludf.DUMMYFUNCTION("""COMPUTED_VALUE"""),"0.75-1""")</f>
        <v>0.75-1"</v>
      </c>
      <c r="F79" s="41" t="str">
        <f>IFERROR(__xludf.DUMMYFUNCTION("""COMPUTED_VALUE"""),"5-5'")</f>
        <v>5-5'</v>
      </c>
      <c r="G79" s="44">
        <f>IFERROR(__xludf.DUMMYFUNCTION("""COMPUTED_VALUE"""),11.0)</f>
        <v>11</v>
      </c>
      <c r="H79" s="41">
        <f>IFERROR(__xludf.DUMMYFUNCTION("""COMPUTED_VALUE"""),0.0)</f>
        <v>0</v>
      </c>
      <c r="I79" s="45">
        <f>IFERROR(__xludf.DUMMYFUNCTION("""COMPUTED_VALUE"""),50.0)</f>
        <v>50</v>
      </c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1" t="str">
        <f>IFERROR(__xludf.DUMMYFUNCTION("""COMPUTED_VALUE"""),"Cornus 'Rutgan' Stellar Pink")</f>
        <v>Cornus 'Rutgan' Stellar Pink</v>
      </c>
      <c r="B80" s="41">
        <f>IFERROR(__xludf.DUMMYFUNCTION("""COMPUTED_VALUE"""),10.0)</f>
        <v>10</v>
      </c>
      <c r="C80" s="41" t="str">
        <f>IFERROR(__xludf.DUMMYFUNCTION("""COMPUTED_VALUE"""),"Stellar Pink Dogwood")</f>
        <v>Stellar Pink Dogwood</v>
      </c>
      <c r="D80" s="41" t="str">
        <f>IFERROR(__xludf.DUMMYFUNCTION("""COMPUTED_VALUE"""),"#10")</f>
        <v>#10</v>
      </c>
      <c r="E80" s="43" t="str">
        <f>IFERROR(__xludf.DUMMYFUNCTION("""COMPUTED_VALUE"""),"0.75-1""")</f>
        <v>0.75-1"</v>
      </c>
      <c r="F80" s="41" t="str">
        <f>IFERROR(__xludf.DUMMYFUNCTION("""COMPUTED_VALUE"""),"5-8'")</f>
        <v>5-8'</v>
      </c>
      <c r="G80" s="44">
        <f>IFERROR(__xludf.DUMMYFUNCTION("""COMPUTED_VALUE"""),20.0)</f>
        <v>20</v>
      </c>
      <c r="H80" s="41">
        <f>IFERROR(__xludf.DUMMYFUNCTION("""COMPUTED_VALUE"""),100.0)</f>
        <v>100</v>
      </c>
      <c r="I80" s="45">
        <f>IFERROR(__xludf.DUMMYFUNCTION("""COMPUTED_VALUE"""),90.0)</f>
        <v>90</v>
      </c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1" t="str">
        <f>IFERROR(__xludf.DUMMYFUNCTION("""COMPUTED_VALUE"""),"Cornus 'Rutgan' Stellar Pink")</f>
        <v>Cornus 'Rutgan' Stellar Pink</v>
      </c>
      <c r="B81" s="41">
        <f>IFERROR(__xludf.DUMMYFUNCTION("""COMPUTED_VALUE"""),15.0)</f>
        <v>15</v>
      </c>
      <c r="C81" s="41" t="str">
        <f>IFERROR(__xludf.DUMMYFUNCTION("""COMPUTED_VALUE"""),"Stellar Pink Dogwood")</f>
        <v>Stellar Pink Dogwood</v>
      </c>
      <c r="D81" s="41" t="str">
        <f>IFERROR(__xludf.DUMMYFUNCTION("""COMPUTED_VALUE"""),"#15")</f>
        <v>#15</v>
      </c>
      <c r="E81" s="43" t="str">
        <f>IFERROR(__xludf.DUMMYFUNCTION("""COMPUTED_VALUE"""),"0.5-0.75""")</f>
        <v>0.5-0.75"</v>
      </c>
      <c r="F81" s="41" t="str">
        <f>IFERROR(__xludf.DUMMYFUNCTION("""COMPUTED_VALUE"""),"5-6'")</f>
        <v>5-6'</v>
      </c>
      <c r="G81" s="44">
        <f>IFERROR(__xludf.DUMMYFUNCTION("""COMPUTED_VALUE"""),0.0)</f>
        <v>0</v>
      </c>
      <c r="H81" s="41">
        <f>IFERROR(__xludf.DUMMYFUNCTION("""COMPUTED_VALUE"""),10.0)</f>
        <v>10</v>
      </c>
      <c r="I81" s="45">
        <f>IFERROR(__xludf.DUMMYFUNCTION("""COMPUTED_VALUE"""),120.0)</f>
        <v>120</v>
      </c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1" t="str">
        <f>IFERROR(__xludf.DUMMYFUNCTION("""COMPUTED_VALUE"""),"Cornus kousa")</f>
        <v>Cornus kousa</v>
      </c>
      <c r="B82" s="41">
        <f>IFERROR(__xludf.DUMMYFUNCTION("""COMPUTED_VALUE"""),5.0)</f>
        <v>5</v>
      </c>
      <c r="C82" s="41" t="str">
        <f>IFERROR(__xludf.DUMMYFUNCTION("""COMPUTED_VALUE"""),"Kousa Dogwood")</f>
        <v>Kousa Dogwood</v>
      </c>
      <c r="D82" s="41" t="str">
        <f>IFERROR(__xludf.DUMMYFUNCTION("""COMPUTED_VALUE"""),"#5")</f>
        <v>#5</v>
      </c>
      <c r="E82" s="43" t="str">
        <f>IFERROR(__xludf.DUMMYFUNCTION("""COMPUTED_VALUE"""),"0.5-0.75""")</f>
        <v>0.5-0.75"</v>
      </c>
      <c r="F82" s="41" t="str">
        <f>IFERROR(__xludf.DUMMYFUNCTION("""COMPUTED_VALUE"""),"3-4.5'")</f>
        <v>3-4.5'</v>
      </c>
      <c r="G82" s="44">
        <f>IFERROR(__xludf.DUMMYFUNCTION("""COMPUTED_VALUE"""),88.0)</f>
        <v>88</v>
      </c>
      <c r="H82" s="41">
        <f>IFERROR(__xludf.DUMMYFUNCTION("""COMPUTED_VALUE"""),0.0)</f>
        <v>0</v>
      </c>
      <c r="I82" s="45">
        <f>IFERROR(__xludf.DUMMYFUNCTION("""COMPUTED_VALUE"""),40.0)</f>
        <v>40</v>
      </c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1" t="str">
        <f>IFERROR(__xludf.DUMMYFUNCTION("""COMPUTED_VALUE"""),"Cornus kousa")</f>
        <v>Cornus kousa</v>
      </c>
      <c r="B83" s="41">
        <f>IFERROR(__xludf.DUMMYFUNCTION("""COMPUTED_VALUE"""),15.0)</f>
        <v>15</v>
      </c>
      <c r="C83" s="41" t="str">
        <f>IFERROR(__xludf.DUMMYFUNCTION("""COMPUTED_VALUE"""),"Kousa Dogwood")</f>
        <v>Kousa Dogwood</v>
      </c>
      <c r="D83" s="41" t="str">
        <f>IFERROR(__xludf.DUMMYFUNCTION("""COMPUTED_VALUE"""),"#15")</f>
        <v>#15</v>
      </c>
      <c r="E83" s="43" t="str">
        <f>IFERROR(__xludf.DUMMYFUNCTION("""COMPUTED_VALUE"""),"0-1.25""")</f>
        <v>0-1.25"</v>
      </c>
      <c r="F83" s="41" t="str">
        <f>IFERROR(__xludf.DUMMYFUNCTION("""COMPUTED_VALUE"""),"0-7'")</f>
        <v>0-7'</v>
      </c>
      <c r="G83" s="44">
        <f>IFERROR(__xludf.DUMMYFUNCTION("""COMPUTED_VALUE"""),0.0)</f>
        <v>0</v>
      </c>
      <c r="H83" s="41">
        <f>IFERROR(__xludf.DUMMYFUNCTION("""COMPUTED_VALUE"""),10.0)</f>
        <v>10</v>
      </c>
      <c r="I83" s="45">
        <f>IFERROR(__xludf.DUMMYFUNCTION("""COMPUTED_VALUE"""),120.0)</f>
        <v>120</v>
      </c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1" t="str">
        <f>IFERROR(__xludf.DUMMYFUNCTION("""COMPUTED_VALUE"""),"Cornus kousa 'Rutpink'")</f>
        <v>Cornus kousa 'Rutpink'</v>
      </c>
      <c r="B84" s="41">
        <f>IFERROR(__xludf.DUMMYFUNCTION("""COMPUTED_VALUE"""),7.0)</f>
        <v>7</v>
      </c>
      <c r="C84" s="41" t="str">
        <f>IFERROR(__xludf.DUMMYFUNCTION("""COMPUTED_VALUE"""),"Scarlet Fire Dogwood")</f>
        <v>Scarlet Fire Dogwood</v>
      </c>
      <c r="D84" s="41" t="str">
        <f>IFERROR(__xludf.DUMMYFUNCTION("""COMPUTED_VALUE"""),"#7")</f>
        <v>#7</v>
      </c>
      <c r="E84" s="43" t="str">
        <f>IFERROR(__xludf.DUMMYFUNCTION("""COMPUTED_VALUE"""),"0.5-0.75""")</f>
        <v>0.5-0.75"</v>
      </c>
      <c r="F84" s="41" t="str">
        <f>IFERROR(__xludf.DUMMYFUNCTION("""COMPUTED_VALUE"""),"3-5'")</f>
        <v>3-5'</v>
      </c>
      <c r="G84" s="44">
        <f>IFERROR(__xludf.DUMMYFUNCTION("""COMPUTED_VALUE"""),6.0)</f>
        <v>6</v>
      </c>
      <c r="H84" s="41">
        <f>IFERROR(__xludf.DUMMYFUNCTION("""COMPUTED_VALUE"""),50.0)</f>
        <v>50</v>
      </c>
      <c r="I84" s="45">
        <f>IFERROR(__xludf.DUMMYFUNCTION("""COMPUTED_VALUE"""),65.0)</f>
        <v>65</v>
      </c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1" t="str">
        <f>IFERROR(__xludf.DUMMYFUNCTION("""COMPUTED_VALUE"""),"Cornus mas")</f>
        <v>Cornus mas</v>
      </c>
      <c r="B85" s="41">
        <f>IFERROR(__xludf.DUMMYFUNCTION("""COMPUTED_VALUE"""),5.0)</f>
        <v>5</v>
      </c>
      <c r="C85" s="41" t="str">
        <f>IFERROR(__xludf.DUMMYFUNCTION("""COMPUTED_VALUE"""),"Corneliancherry Dogwood")</f>
        <v>Corneliancherry Dogwood</v>
      </c>
      <c r="D85" s="41" t="str">
        <f>IFERROR(__xludf.DUMMYFUNCTION("""COMPUTED_VALUE"""),"#5")</f>
        <v>#5</v>
      </c>
      <c r="E85" s="43" t="str">
        <f>IFERROR(__xludf.DUMMYFUNCTION("""COMPUTED_VALUE"""),"0.5-0.75""")</f>
        <v>0.5-0.75"</v>
      </c>
      <c r="F85" s="41" t="str">
        <f>IFERROR(__xludf.DUMMYFUNCTION("""COMPUTED_VALUE"""),"4-5'")</f>
        <v>4-5'</v>
      </c>
      <c r="G85" s="44">
        <f>IFERROR(__xludf.DUMMYFUNCTION("""COMPUTED_VALUE"""),31.0)</f>
        <v>31</v>
      </c>
      <c r="H85" s="41">
        <f>IFERROR(__xludf.DUMMYFUNCTION("""COMPUTED_VALUE"""),25.0)</f>
        <v>25</v>
      </c>
      <c r="I85" s="45">
        <f>IFERROR(__xludf.DUMMYFUNCTION("""COMPUTED_VALUE"""),40.0)</f>
        <v>40</v>
      </c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1" t="str">
        <f>IFERROR(__xludf.DUMMYFUNCTION("""COMPUTED_VALUE"""),"Cornus racemosa")</f>
        <v>Cornus racemosa</v>
      </c>
      <c r="B86" s="41">
        <f>IFERROR(__xludf.DUMMYFUNCTION("""COMPUTED_VALUE"""),5.0)</f>
        <v>5</v>
      </c>
      <c r="C86" s="41" t="str">
        <f>IFERROR(__xludf.DUMMYFUNCTION("""COMPUTED_VALUE"""),"Gray Dogwood")</f>
        <v>Gray Dogwood</v>
      </c>
      <c r="D86" s="41" t="str">
        <f>IFERROR(__xludf.DUMMYFUNCTION("""COMPUTED_VALUE"""),"#5")</f>
        <v>#5</v>
      </c>
      <c r="E86" s="43" t="str">
        <f>IFERROR(__xludf.DUMMYFUNCTION("""COMPUTED_VALUE"""),"0.5-0.75""")</f>
        <v>0.5-0.75"</v>
      </c>
      <c r="F86" s="41" t="str">
        <f>IFERROR(__xludf.DUMMYFUNCTION("""COMPUTED_VALUE"""),"4-5'")</f>
        <v>4-5'</v>
      </c>
      <c r="G86" s="44">
        <f>IFERROR(__xludf.DUMMYFUNCTION("""COMPUTED_VALUE"""),5.0)</f>
        <v>5</v>
      </c>
      <c r="H86" s="41">
        <f>IFERROR(__xludf.DUMMYFUNCTION("""COMPUTED_VALUE"""),0.0)</f>
        <v>0</v>
      </c>
      <c r="I86" s="45">
        <f>IFERROR(__xludf.DUMMYFUNCTION("""COMPUTED_VALUE"""),32.0)</f>
        <v>32</v>
      </c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1" t="str">
        <f>IFERROR(__xludf.DUMMYFUNCTION("""COMPUTED_VALUE"""),"Cornus sericea 'Baileyi'")</f>
        <v>Cornus sericea 'Baileyi'</v>
      </c>
      <c r="B87" s="41">
        <f>IFERROR(__xludf.DUMMYFUNCTION("""COMPUTED_VALUE"""),5.0)</f>
        <v>5</v>
      </c>
      <c r="C87" s="41" t="str">
        <f>IFERROR(__xludf.DUMMYFUNCTION("""COMPUTED_VALUE"""),"Baileyi Red Twig Dogwood")</f>
        <v>Baileyi Red Twig Dogwood</v>
      </c>
      <c r="D87" s="41" t="str">
        <f>IFERROR(__xludf.DUMMYFUNCTION("""COMPUTED_VALUE"""),"#5")</f>
        <v>#5</v>
      </c>
      <c r="E87" s="46" t="str">
        <f>IFERROR(__xludf.DUMMYFUNCTION("""COMPUTED_VALUE"""),"Multi")</f>
        <v>Multi</v>
      </c>
      <c r="F87" s="41" t="str">
        <f>IFERROR(__xludf.DUMMYFUNCTION("""COMPUTED_VALUE"""),"3-5'")</f>
        <v>3-5'</v>
      </c>
      <c r="G87" s="44">
        <f>IFERROR(__xludf.DUMMYFUNCTION("""COMPUTED_VALUE"""),11.0)</f>
        <v>11</v>
      </c>
      <c r="H87" s="41">
        <f>IFERROR(__xludf.DUMMYFUNCTION("""COMPUTED_VALUE"""),0.0)</f>
        <v>0</v>
      </c>
      <c r="I87" s="45">
        <f>IFERROR(__xludf.DUMMYFUNCTION("""COMPUTED_VALUE"""),32.0)</f>
        <v>32</v>
      </c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1" t="str">
        <f>IFERROR(__xludf.DUMMYFUNCTION("""COMPUTED_VALUE"""),"Cotinus coggygria 'Royal Purple'")</f>
        <v>Cotinus coggygria 'Royal Purple'</v>
      </c>
      <c r="B88" s="41">
        <f>IFERROR(__xludf.DUMMYFUNCTION("""COMPUTED_VALUE"""),5.0)</f>
        <v>5</v>
      </c>
      <c r="C88" s="41" t="str">
        <f>IFERROR(__xludf.DUMMYFUNCTION("""COMPUTED_VALUE"""),"Royal Purple Smokebush")</f>
        <v>Royal Purple Smokebush</v>
      </c>
      <c r="D88" s="41" t="str">
        <f>IFERROR(__xludf.DUMMYFUNCTION("""COMPUTED_VALUE"""),"#5")</f>
        <v>#5</v>
      </c>
      <c r="E88" s="43" t="str">
        <f>IFERROR(__xludf.DUMMYFUNCTION("""COMPUTED_VALUE"""),"0.25-0.5""")</f>
        <v>0.25-0.5"</v>
      </c>
      <c r="F88" s="41" t="str">
        <f>IFERROR(__xludf.DUMMYFUNCTION("""COMPUTED_VALUE"""),"3-5'")</f>
        <v>3-5'</v>
      </c>
      <c r="G88" s="44">
        <f>IFERROR(__xludf.DUMMYFUNCTION("""COMPUTED_VALUE"""),22.0)</f>
        <v>22</v>
      </c>
      <c r="H88" s="41">
        <f>IFERROR(__xludf.DUMMYFUNCTION("""COMPUTED_VALUE"""),20.0)</f>
        <v>20</v>
      </c>
      <c r="I88" s="45">
        <f>IFERROR(__xludf.DUMMYFUNCTION("""COMPUTED_VALUE"""),40.0)</f>
        <v>40</v>
      </c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1" t="str">
        <f>IFERROR(__xludf.DUMMYFUNCTION("""COMPUTED_VALUE"""),"Cotinus obovatus")</f>
        <v>Cotinus obovatus</v>
      </c>
      <c r="B89" s="41">
        <f>IFERROR(__xludf.DUMMYFUNCTION("""COMPUTED_VALUE"""),5.0)</f>
        <v>5</v>
      </c>
      <c r="C89" s="41" t="str">
        <f>IFERROR(__xludf.DUMMYFUNCTION("""COMPUTED_VALUE"""),"American Smoke Tree")</f>
        <v>American Smoke Tree</v>
      </c>
      <c r="D89" s="41" t="str">
        <f>IFERROR(__xludf.DUMMYFUNCTION("""COMPUTED_VALUE"""),"#5")</f>
        <v>#5</v>
      </c>
      <c r="E89" s="43" t="str">
        <f>IFERROR(__xludf.DUMMYFUNCTION("""COMPUTED_VALUE"""),"0.38-0.5""")</f>
        <v>0.38-0.5"</v>
      </c>
      <c r="F89" s="41" t="str">
        <f>IFERROR(__xludf.DUMMYFUNCTION("""COMPUTED_VALUE"""),"1-2'")</f>
        <v>1-2'</v>
      </c>
      <c r="G89" s="44">
        <f>IFERROR(__xludf.DUMMYFUNCTION("""COMPUTED_VALUE"""),0.0)</f>
        <v>0</v>
      </c>
      <c r="H89" s="41">
        <f>IFERROR(__xludf.DUMMYFUNCTION("""COMPUTED_VALUE"""),50.0)</f>
        <v>50</v>
      </c>
      <c r="I89" s="45">
        <f>IFERROR(__xludf.DUMMYFUNCTION("""COMPUTED_VALUE"""),0.0)</f>
        <v>0</v>
      </c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1" t="str">
        <f>IFERROR(__xludf.DUMMYFUNCTION("""COMPUTED_VALUE"""),"Cotinus obovatus")</f>
        <v>Cotinus obovatus</v>
      </c>
      <c r="B90" s="41">
        <f>IFERROR(__xludf.DUMMYFUNCTION("""COMPUTED_VALUE"""),5.0)</f>
        <v>5</v>
      </c>
      <c r="C90" s="41" t="str">
        <f>IFERROR(__xludf.DUMMYFUNCTION("""COMPUTED_VALUE"""),"Smokebush (Native)")</f>
        <v>Smokebush (Native)</v>
      </c>
      <c r="D90" s="41" t="str">
        <f>IFERROR(__xludf.DUMMYFUNCTION("""COMPUTED_VALUE"""),"#5")</f>
        <v>#5</v>
      </c>
      <c r="E90" s="46" t="str">
        <f>IFERROR(__xludf.DUMMYFUNCTION("""COMPUTED_VALUE"""),"Multi")</f>
        <v>Multi</v>
      </c>
      <c r="F90" s="41" t="str">
        <f>IFERROR(__xludf.DUMMYFUNCTION("""COMPUTED_VALUE"""),"4-9'")</f>
        <v>4-9'</v>
      </c>
      <c r="G90" s="44">
        <f>IFERROR(__xludf.DUMMYFUNCTION("""COMPUTED_VALUE"""),155.0)</f>
        <v>155</v>
      </c>
      <c r="H90" s="41">
        <f>IFERROR(__xludf.DUMMYFUNCTION("""COMPUTED_VALUE"""),0.0)</f>
        <v>0</v>
      </c>
      <c r="I90" s="45">
        <f>IFERROR(__xludf.DUMMYFUNCTION("""COMPUTED_VALUE"""),40.0)</f>
        <v>40</v>
      </c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1" t="str">
        <f>IFERROR(__xludf.DUMMYFUNCTION("""COMPUTED_VALUE"""),"Crataegus viridis 'Winter King'")</f>
        <v>Crataegus viridis 'Winter King'</v>
      </c>
      <c r="B91" s="41">
        <f>IFERROR(__xludf.DUMMYFUNCTION("""COMPUTED_VALUE"""),15.0)</f>
        <v>15</v>
      </c>
      <c r="C91" s="41" t="str">
        <f>IFERROR(__xludf.DUMMYFUNCTION("""COMPUTED_VALUE"""),"Winter King Hawthorn")</f>
        <v>Winter King Hawthorn</v>
      </c>
      <c r="D91" s="41" t="str">
        <f>IFERROR(__xludf.DUMMYFUNCTION("""COMPUTED_VALUE"""),"#15")</f>
        <v>#15</v>
      </c>
      <c r="E91" s="43" t="str">
        <f>IFERROR(__xludf.DUMMYFUNCTION("""COMPUTED_VALUE"""),"0-1.25""")</f>
        <v>0-1.25"</v>
      </c>
      <c r="F91" s="41" t="str">
        <f>IFERROR(__xludf.DUMMYFUNCTION("""COMPUTED_VALUE"""),"0-10'")</f>
        <v>0-10'</v>
      </c>
      <c r="G91" s="44">
        <f>IFERROR(__xludf.DUMMYFUNCTION("""COMPUTED_VALUE"""),0.0)</f>
        <v>0</v>
      </c>
      <c r="H91" s="41">
        <f>IFERROR(__xludf.DUMMYFUNCTION("""COMPUTED_VALUE"""),25.0)</f>
        <v>25</v>
      </c>
      <c r="I91" s="45">
        <f>IFERROR(__xludf.DUMMYFUNCTION("""COMPUTED_VALUE"""),115.0)</f>
        <v>115</v>
      </c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1" t="str">
        <f>IFERROR(__xludf.DUMMYFUNCTION("""COMPUTED_VALUE"""),"Diospyros virginiana")</f>
        <v>Diospyros virginiana</v>
      </c>
      <c r="B92" s="41">
        <f>IFERROR(__xludf.DUMMYFUNCTION("""COMPUTED_VALUE"""),5.0)</f>
        <v>5</v>
      </c>
      <c r="C92" s="41" t="str">
        <f>IFERROR(__xludf.DUMMYFUNCTION("""COMPUTED_VALUE"""),"American Persimmon")</f>
        <v>American Persimmon</v>
      </c>
      <c r="D92" s="41" t="str">
        <f>IFERROR(__xludf.DUMMYFUNCTION("""COMPUTED_VALUE"""),"#5")</f>
        <v>#5</v>
      </c>
      <c r="E92" s="43" t="str">
        <f>IFERROR(__xludf.DUMMYFUNCTION("""COMPUTED_VALUE"""),"0.125-0.75""")</f>
        <v>0.125-0.75"</v>
      </c>
      <c r="F92" s="41" t="str">
        <f>IFERROR(__xludf.DUMMYFUNCTION("""COMPUTED_VALUE"""),"1-6'")</f>
        <v>1-6'</v>
      </c>
      <c r="G92" s="44">
        <f>IFERROR(__xludf.DUMMYFUNCTION("""COMPUTED_VALUE"""),36.0)</f>
        <v>36</v>
      </c>
      <c r="H92" s="41">
        <f>IFERROR(__xludf.DUMMYFUNCTION("""COMPUTED_VALUE"""),150.0)</f>
        <v>150</v>
      </c>
      <c r="I92" s="45">
        <f>IFERROR(__xludf.DUMMYFUNCTION("""COMPUTED_VALUE"""),40.0)</f>
        <v>40</v>
      </c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1" t="str">
        <f>IFERROR(__xludf.DUMMYFUNCTION("""COMPUTED_VALUE"""),"Diospyros virginiana")</f>
        <v>Diospyros virginiana</v>
      </c>
      <c r="B93" s="41">
        <f>IFERROR(__xludf.DUMMYFUNCTION("""COMPUTED_VALUE"""),7.0)</f>
        <v>7</v>
      </c>
      <c r="C93" s="41" t="str">
        <f>IFERROR(__xludf.DUMMYFUNCTION("""COMPUTED_VALUE"""),"American Persimmon")</f>
        <v>American Persimmon</v>
      </c>
      <c r="D93" s="41" t="str">
        <f>IFERROR(__xludf.DUMMYFUNCTION("""COMPUTED_VALUE"""),"#7")</f>
        <v>#7</v>
      </c>
      <c r="E93" s="43" t="str">
        <f>IFERROR(__xludf.DUMMYFUNCTION("""COMPUTED_VALUE"""),"0.25-0.5""")</f>
        <v>0.25-0.5"</v>
      </c>
      <c r="F93" s="41" t="str">
        <f>IFERROR(__xludf.DUMMYFUNCTION("""COMPUTED_VALUE"""),"1-5'")</f>
        <v>1-5'</v>
      </c>
      <c r="G93" s="44">
        <f>IFERROR(__xludf.DUMMYFUNCTION("""COMPUTED_VALUE"""),3.0)</f>
        <v>3</v>
      </c>
      <c r="H93" s="41">
        <f>IFERROR(__xludf.DUMMYFUNCTION("""COMPUTED_VALUE"""),0.0)</f>
        <v>0</v>
      </c>
      <c r="I93" s="45">
        <f>IFERROR(__xludf.DUMMYFUNCTION("""COMPUTED_VALUE"""),50.0)</f>
        <v>50</v>
      </c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1" t="str">
        <f>IFERROR(__xludf.DUMMYFUNCTION("""COMPUTED_VALUE"""),"Eucommia ulmoides")</f>
        <v>Eucommia ulmoides</v>
      </c>
      <c r="B94" s="41">
        <f>IFERROR(__xludf.DUMMYFUNCTION("""COMPUTED_VALUE"""),15.0)</f>
        <v>15</v>
      </c>
      <c r="C94" s="41" t="str">
        <f>IFERROR(__xludf.DUMMYFUNCTION("""COMPUTED_VALUE"""),"Hardy Rubber Tree")</f>
        <v>Hardy Rubber Tree</v>
      </c>
      <c r="D94" s="41" t="str">
        <f>IFERROR(__xludf.DUMMYFUNCTION("""COMPUTED_VALUE"""),"#15")</f>
        <v>#15</v>
      </c>
      <c r="E94" s="43" t="str">
        <f>IFERROR(__xludf.DUMMYFUNCTION("""COMPUTED_VALUE"""),"1.75-2""")</f>
        <v>1.75-2"</v>
      </c>
      <c r="F94" s="41" t="str">
        <f>IFERROR(__xludf.DUMMYFUNCTION("""COMPUTED_VALUE"""),"12-13'")</f>
        <v>12-13'</v>
      </c>
      <c r="G94" s="44">
        <f>IFERROR(__xludf.DUMMYFUNCTION("""COMPUTED_VALUE"""),5.0)</f>
        <v>5</v>
      </c>
      <c r="H94" s="41">
        <f>IFERROR(__xludf.DUMMYFUNCTION("""COMPUTED_VALUE"""),0.0)</f>
        <v>0</v>
      </c>
      <c r="I94" s="45">
        <f>IFERROR(__xludf.DUMMYFUNCTION("""COMPUTED_VALUE"""),115.0)</f>
        <v>115</v>
      </c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1" t="str">
        <f>IFERROR(__xludf.DUMMYFUNCTION("""COMPUTED_VALUE"""),"Euonymus americanus")</f>
        <v>Euonymus americanus</v>
      </c>
      <c r="B95" s="41">
        <f>IFERROR(__xludf.DUMMYFUNCTION("""COMPUTED_VALUE"""),5.0)</f>
        <v>5</v>
      </c>
      <c r="C95" s="41" t="str">
        <f>IFERROR(__xludf.DUMMYFUNCTION("""COMPUTED_VALUE"""),"Strawberry Bush")</f>
        <v>Strawberry Bush</v>
      </c>
      <c r="D95" s="41" t="str">
        <f>IFERROR(__xludf.DUMMYFUNCTION("""COMPUTED_VALUE"""),"#5")</f>
        <v>#5</v>
      </c>
      <c r="E95" s="43" t="str">
        <f>IFERROR(__xludf.DUMMYFUNCTION("""COMPUTED_VALUE"""),"0-0""")</f>
        <v>0-0"</v>
      </c>
      <c r="F95" s="41" t="str">
        <f>IFERROR(__xludf.DUMMYFUNCTION("""COMPUTED_VALUE"""),"0-0'")</f>
        <v>0-0'</v>
      </c>
      <c r="G95" s="41">
        <f>IFERROR(__xludf.DUMMYFUNCTION("""COMPUTED_VALUE"""),29.0)</f>
        <v>29</v>
      </c>
      <c r="H95" s="41">
        <f>IFERROR(__xludf.DUMMYFUNCTION("""COMPUTED_VALUE"""),25.0)</f>
        <v>25</v>
      </c>
      <c r="I95" s="45">
        <f>IFERROR(__xludf.DUMMYFUNCTION("""COMPUTED_VALUE"""),45.0)</f>
        <v>45</v>
      </c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1" t="str">
        <f>IFERROR(__xludf.DUMMYFUNCTION("""COMPUTED_VALUE"""),"Euonymus americanus")</f>
        <v>Euonymus americanus</v>
      </c>
      <c r="B96" s="41">
        <f>IFERROR(__xludf.DUMMYFUNCTION("""COMPUTED_VALUE"""),5.0)</f>
        <v>5</v>
      </c>
      <c r="C96" s="41" t="str">
        <f>IFERROR(__xludf.DUMMYFUNCTION("""COMPUTED_VALUE"""),"Strawberry Bush")</f>
        <v>Strawberry Bush</v>
      </c>
      <c r="D96" s="41" t="str">
        <f>IFERROR(__xludf.DUMMYFUNCTION("""COMPUTED_VALUE"""),"#5")</f>
        <v>#5</v>
      </c>
      <c r="E96" s="43" t="str">
        <f>IFERROR(__xludf.DUMMYFUNCTION("""COMPUTED_VALUE"""),"0.38-0.25""")</f>
        <v>0.38-0.25"</v>
      </c>
      <c r="F96" s="41" t="str">
        <f>IFERROR(__xludf.DUMMYFUNCTION("""COMPUTED_VALUE"""),"1-2'")</f>
        <v>1-2'</v>
      </c>
      <c r="G96" s="44">
        <f>IFERROR(__xludf.DUMMYFUNCTION("""COMPUTED_VALUE"""),0.0)</f>
        <v>0</v>
      </c>
      <c r="H96" s="41">
        <f>IFERROR(__xludf.DUMMYFUNCTION("""COMPUTED_VALUE"""),25.0)</f>
        <v>25</v>
      </c>
      <c r="I96" s="45">
        <f>IFERROR(__xludf.DUMMYFUNCTION("""COMPUTED_VALUE"""),45.0)</f>
        <v>45</v>
      </c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 t="str">
        <f>IFERROR(__xludf.DUMMYFUNCTION("""COMPUTED_VALUE"""),"Fagus sylvatica")</f>
        <v>Fagus sylvatica</v>
      </c>
      <c r="B97" s="41">
        <f>IFERROR(__xludf.DUMMYFUNCTION("""COMPUTED_VALUE"""),5.0)</f>
        <v>5</v>
      </c>
      <c r="C97" s="41" t="str">
        <f>IFERROR(__xludf.DUMMYFUNCTION("""COMPUTED_VALUE"""),"European Beech")</f>
        <v>European Beech</v>
      </c>
      <c r="D97" s="41" t="str">
        <f>IFERROR(__xludf.DUMMYFUNCTION("""COMPUTED_VALUE"""),"#5")</f>
        <v>#5</v>
      </c>
      <c r="E97" s="43" t="str">
        <f>IFERROR(__xludf.DUMMYFUNCTION("""COMPUTED_VALUE"""),"1-1""")</f>
        <v>1-1"</v>
      </c>
      <c r="F97" s="41" t="str">
        <f>IFERROR(__xludf.DUMMYFUNCTION("""COMPUTED_VALUE"""),"6-7'")</f>
        <v>6-7'</v>
      </c>
      <c r="G97" s="44">
        <f>IFERROR(__xludf.DUMMYFUNCTION("""COMPUTED_VALUE"""),12.0)</f>
        <v>12</v>
      </c>
      <c r="H97" s="41">
        <f>IFERROR(__xludf.DUMMYFUNCTION("""COMPUTED_VALUE"""),0.0)</f>
        <v>0</v>
      </c>
      <c r="I97" s="45">
        <f>IFERROR(__xludf.DUMMYFUNCTION("""COMPUTED_VALUE"""),45.0)</f>
        <v>45</v>
      </c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 t="str">
        <f>IFERROR(__xludf.DUMMYFUNCTION("""COMPUTED_VALUE"""),"Fagus sylvatica")</f>
        <v>Fagus sylvatica</v>
      </c>
      <c r="B98" s="41">
        <f>IFERROR(__xludf.DUMMYFUNCTION("""COMPUTED_VALUE"""),10.0)</f>
        <v>10</v>
      </c>
      <c r="C98" s="41" t="str">
        <f>IFERROR(__xludf.DUMMYFUNCTION("""COMPUTED_VALUE"""),"European Beech")</f>
        <v>European Beech</v>
      </c>
      <c r="D98" s="41" t="str">
        <f>IFERROR(__xludf.DUMMYFUNCTION("""COMPUTED_VALUE"""),"#10")</f>
        <v>#10</v>
      </c>
      <c r="E98" s="43" t="str">
        <f>IFERROR(__xludf.DUMMYFUNCTION("""COMPUTED_VALUE"""),"1.25-1.25""")</f>
        <v>1.25-1.25"</v>
      </c>
      <c r="F98" s="41" t="str">
        <f>IFERROR(__xludf.DUMMYFUNCTION("""COMPUTED_VALUE"""),"9-13'")</f>
        <v>9-13'</v>
      </c>
      <c r="G98" s="44">
        <f>IFERROR(__xludf.DUMMYFUNCTION("""COMPUTED_VALUE"""),1.0)</f>
        <v>1</v>
      </c>
      <c r="H98" s="41">
        <f>IFERROR(__xludf.DUMMYFUNCTION("""COMPUTED_VALUE"""),0.0)</f>
        <v>0</v>
      </c>
      <c r="I98" s="45">
        <f>IFERROR(__xludf.DUMMYFUNCTION("""COMPUTED_VALUE"""),100.0)</f>
        <v>100</v>
      </c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 t="str">
        <f>IFERROR(__xludf.DUMMYFUNCTION("""COMPUTED_VALUE"""),"Fagus sylvatica f. purpurea")</f>
        <v>Fagus sylvatica f. purpurea</v>
      </c>
      <c r="B99" s="41">
        <f>IFERROR(__xludf.DUMMYFUNCTION("""COMPUTED_VALUE"""),10.0)</f>
        <v>10</v>
      </c>
      <c r="C99" s="41" t="str">
        <f>IFERROR(__xludf.DUMMYFUNCTION("""COMPUTED_VALUE"""),"Purple Beech")</f>
        <v>Purple Beech</v>
      </c>
      <c r="D99" s="41" t="str">
        <f>IFERROR(__xludf.DUMMYFUNCTION("""COMPUTED_VALUE"""),"#10")</f>
        <v>#10</v>
      </c>
      <c r="E99" s="43" t="str">
        <f>IFERROR(__xludf.DUMMYFUNCTION("""COMPUTED_VALUE"""),"0.75-1""")</f>
        <v>0.75-1"</v>
      </c>
      <c r="F99" s="41" t="str">
        <f>IFERROR(__xludf.DUMMYFUNCTION("""COMPUTED_VALUE"""),"4-5'")</f>
        <v>4-5'</v>
      </c>
      <c r="G99" s="44">
        <f>IFERROR(__xludf.DUMMYFUNCTION("""COMPUTED_VALUE"""),3.0)</f>
        <v>3</v>
      </c>
      <c r="H99" s="41">
        <f>IFERROR(__xludf.DUMMYFUNCTION("""COMPUTED_VALUE"""),0.0)</f>
        <v>0</v>
      </c>
      <c r="I99" s="45">
        <f>IFERROR(__xludf.DUMMYFUNCTION("""COMPUTED_VALUE"""),85.0)</f>
        <v>85</v>
      </c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 t="str">
        <f>IFERROR(__xludf.DUMMYFUNCTION("""COMPUTED_VALUE"""),"Franklinia alatamaha")</f>
        <v>Franklinia alatamaha</v>
      </c>
      <c r="B100" s="41">
        <f>IFERROR(__xludf.DUMMYFUNCTION("""COMPUTED_VALUE"""),5.0)</f>
        <v>5</v>
      </c>
      <c r="C100" s="41" t="str">
        <f>IFERROR(__xludf.DUMMYFUNCTION("""COMPUTED_VALUE"""),"Franklinia")</f>
        <v>Franklinia</v>
      </c>
      <c r="D100" s="41" t="str">
        <f>IFERROR(__xludf.DUMMYFUNCTION("""COMPUTED_VALUE"""),"#5")</f>
        <v>#5</v>
      </c>
      <c r="E100" s="43" t="str">
        <f>IFERROR(__xludf.DUMMYFUNCTION("""COMPUTED_VALUE"""),"0.75-1""")</f>
        <v>0.75-1"</v>
      </c>
      <c r="F100" s="41" t="str">
        <f>IFERROR(__xludf.DUMMYFUNCTION("""COMPUTED_VALUE"""),"5-6'")</f>
        <v>5-6'</v>
      </c>
      <c r="G100" s="44">
        <f>IFERROR(__xludf.DUMMYFUNCTION("""COMPUTED_VALUE"""),6.0)</f>
        <v>6</v>
      </c>
      <c r="H100" s="41">
        <f>IFERROR(__xludf.DUMMYFUNCTION("""COMPUTED_VALUE"""),50.0)</f>
        <v>50</v>
      </c>
      <c r="I100" s="45">
        <f>IFERROR(__xludf.DUMMYFUNCTION("""COMPUTED_VALUE"""),55.0)</f>
        <v>55</v>
      </c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 t="str">
        <f>IFERROR(__xludf.DUMMYFUNCTION("""COMPUTED_VALUE"""),"Ginkgo biloba 'Autumn Gold'")</f>
        <v>Ginkgo biloba 'Autumn Gold'</v>
      </c>
      <c r="B101" s="41">
        <f>IFERROR(__xludf.DUMMYFUNCTION("""COMPUTED_VALUE"""),7.0)</f>
        <v>7</v>
      </c>
      <c r="C101" s="41" t="str">
        <f>IFERROR(__xludf.DUMMYFUNCTION("""COMPUTED_VALUE"""),"Autumn Gold Ginkgo")</f>
        <v>Autumn Gold Ginkgo</v>
      </c>
      <c r="D101" s="41" t="str">
        <f>IFERROR(__xludf.DUMMYFUNCTION("""COMPUTED_VALUE"""),"#7")</f>
        <v>#7</v>
      </c>
      <c r="E101" s="43" t="str">
        <f>IFERROR(__xludf.DUMMYFUNCTION("""COMPUTED_VALUE"""),"0.5-0.75""")</f>
        <v>0.5-0.75"</v>
      </c>
      <c r="F101" s="41" t="str">
        <f>IFERROR(__xludf.DUMMYFUNCTION("""COMPUTED_VALUE"""),"3-4'")</f>
        <v>3-4'</v>
      </c>
      <c r="G101" s="44">
        <f>IFERROR(__xludf.DUMMYFUNCTION("""COMPUTED_VALUE"""),0.0)</f>
        <v>0</v>
      </c>
      <c r="H101" s="41">
        <f>IFERROR(__xludf.DUMMYFUNCTION("""COMPUTED_VALUE"""),20.0)</f>
        <v>20</v>
      </c>
      <c r="I101" s="45">
        <f>IFERROR(__xludf.DUMMYFUNCTION("""COMPUTED_VALUE"""),55.0)</f>
        <v>55</v>
      </c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 t="str">
        <f>IFERROR(__xludf.DUMMYFUNCTION("""COMPUTED_VALUE"""),"Ginkgo biloba 'Autumn Gold'")</f>
        <v>Ginkgo biloba 'Autumn Gold'</v>
      </c>
      <c r="B102" s="41">
        <f>IFERROR(__xludf.DUMMYFUNCTION("""COMPUTED_VALUE"""),10.0)</f>
        <v>10</v>
      </c>
      <c r="C102" s="41" t="str">
        <f>IFERROR(__xludf.DUMMYFUNCTION("""COMPUTED_VALUE"""),"Autumn Gold Ginkgo")</f>
        <v>Autumn Gold Ginkgo</v>
      </c>
      <c r="D102" s="41" t="str">
        <f>IFERROR(__xludf.DUMMYFUNCTION("""COMPUTED_VALUE"""),"#10")</f>
        <v>#10</v>
      </c>
      <c r="E102" s="43" t="str">
        <f>IFERROR(__xludf.DUMMYFUNCTION("""COMPUTED_VALUE"""),"0.25-0.5""")</f>
        <v>0.25-0.5"</v>
      </c>
      <c r="F102" s="41" t="str">
        <f>IFERROR(__xludf.DUMMYFUNCTION("""COMPUTED_VALUE"""),"2-3'")</f>
        <v>2-3'</v>
      </c>
      <c r="G102" s="44">
        <f>IFERROR(__xludf.DUMMYFUNCTION("""COMPUTED_VALUE"""),0.0)</f>
        <v>0</v>
      </c>
      <c r="H102" s="41">
        <f>IFERROR(__xludf.DUMMYFUNCTION("""COMPUTED_VALUE"""),20.0)</f>
        <v>20</v>
      </c>
      <c r="I102" s="45">
        <f>IFERROR(__xludf.DUMMYFUNCTION("""COMPUTED_VALUE"""),55.0)</f>
        <v>55</v>
      </c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 t="str">
        <f>IFERROR(__xludf.DUMMYFUNCTION("""COMPUTED_VALUE"""),"Ginkgo biloba 'Princeton Sentry'")</f>
        <v>Ginkgo biloba 'Princeton Sentry'</v>
      </c>
      <c r="B103" s="41">
        <f>IFERROR(__xludf.DUMMYFUNCTION("""COMPUTED_VALUE"""),15.0)</f>
        <v>15</v>
      </c>
      <c r="C103" s="41" t="str">
        <f>IFERROR(__xludf.DUMMYFUNCTION("""COMPUTED_VALUE"""),"Princeton Sentry Ginkgo biloba")</f>
        <v>Princeton Sentry Ginkgo biloba</v>
      </c>
      <c r="D103" s="41" t="str">
        <f>IFERROR(__xludf.DUMMYFUNCTION("""COMPUTED_VALUE"""),"#15")</f>
        <v>#15</v>
      </c>
      <c r="E103" s="43" t="str">
        <f>IFERROR(__xludf.DUMMYFUNCTION("""COMPUTED_VALUE"""),"1.25-1.25""")</f>
        <v>1.25-1.25"</v>
      </c>
      <c r="F103" s="41" t="str">
        <f>IFERROR(__xludf.DUMMYFUNCTION("""COMPUTED_VALUE"""),"9-9'")</f>
        <v>9-9'</v>
      </c>
      <c r="G103" s="44">
        <f>IFERROR(__xludf.DUMMYFUNCTION("""COMPUTED_VALUE"""),2.0)</f>
        <v>2</v>
      </c>
      <c r="H103" s="41">
        <f>IFERROR(__xludf.DUMMYFUNCTION("""COMPUTED_VALUE"""),0.0)</f>
        <v>0</v>
      </c>
      <c r="I103" s="45">
        <f>IFERROR(__xludf.DUMMYFUNCTION("""COMPUTED_VALUE"""),115.0)</f>
        <v>115</v>
      </c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 t="str">
        <f>IFERROR(__xludf.DUMMYFUNCTION("""COMPUTED_VALUE"""),"Ginkgo biloba 'Windover Gold'")</f>
        <v>Ginkgo biloba 'Windover Gold'</v>
      </c>
      <c r="B104" s="41">
        <f>IFERROR(__xludf.DUMMYFUNCTION("""COMPUTED_VALUE"""),25.0)</f>
        <v>25</v>
      </c>
      <c r="C104" s="41" t="str">
        <f>IFERROR(__xludf.DUMMYFUNCTION("""COMPUTED_VALUE"""),"Windover Gold Ginkgo")</f>
        <v>Windover Gold Ginkgo</v>
      </c>
      <c r="D104" s="41" t="str">
        <f>IFERROR(__xludf.DUMMYFUNCTION("""COMPUTED_VALUE"""),"#25")</f>
        <v>#25</v>
      </c>
      <c r="E104" s="43" t="str">
        <f>IFERROR(__xludf.DUMMYFUNCTION("""COMPUTED_VALUE"""),"1.5-1.5""")</f>
        <v>1.5-1.5"</v>
      </c>
      <c r="F104" s="41" t="str">
        <f>IFERROR(__xludf.DUMMYFUNCTION("""COMPUTED_VALUE"""),"10-11'")</f>
        <v>10-11'</v>
      </c>
      <c r="G104" s="44">
        <f>IFERROR(__xludf.DUMMYFUNCTION("""COMPUTED_VALUE"""),1.0)</f>
        <v>1</v>
      </c>
      <c r="H104" s="41">
        <f>IFERROR(__xludf.DUMMYFUNCTION("""COMPUTED_VALUE"""),0.0)</f>
        <v>0</v>
      </c>
      <c r="I104" s="45">
        <f>IFERROR(__xludf.DUMMYFUNCTION("""COMPUTED_VALUE"""),140.0)</f>
        <v>140</v>
      </c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 t="str">
        <f>IFERROR(__xludf.DUMMYFUNCTION("""COMPUTED_VALUE"""),"Gledistia triacanthos 'Sunset Gold'")</f>
        <v>Gledistia triacanthos 'Sunset Gold'</v>
      </c>
      <c r="B105" s="41">
        <f>IFERROR(__xludf.DUMMYFUNCTION("""COMPUTED_VALUE"""),15.0)</f>
        <v>15</v>
      </c>
      <c r="C105" s="41" t="str">
        <f>IFERROR(__xludf.DUMMYFUNCTION("""COMPUTED_VALUE"""),"Sunset Gold Honeylocust")</f>
        <v>Sunset Gold Honeylocust</v>
      </c>
      <c r="D105" s="41" t="str">
        <f>IFERROR(__xludf.DUMMYFUNCTION("""COMPUTED_VALUE"""),"#15")</f>
        <v>#15</v>
      </c>
      <c r="E105" s="43" t="str">
        <f>IFERROR(__xludf.DUMMYFUNCTION("""COMPUTED_VALUE"""),"1.25-1.5""")</f>
        <v>1.25-1.5"</v>
      </c>
      <c r="F105" s="41" t="str">
        <f>IFERROR(__xludf.DUMMYFUNCTION("""COMPUTED_VALUE"""),"8-10'")</f>
        <v>8-10'</v>
      </c>
      <c r="G105" s="44">
        <f>IFERROR(__xludf.DUMMYFUNCTION("""COMPUTED_VALUE"""),5.0)</f>
        <v>5</v>
      </c>
      <c r="H105" s="41">
        <f>IFERROR(__xludf.DUMMYFUNCTION("""COMPUTED_VALUE"""),0.0)</f>
        <v>0</v>
      </c>
      <c r="I105" s="45">
        <f>IFERROR(__xludf.DUMMYFUNCTION("""COMPUTED_VALUE"""),115.0)</f>
        <v>115</v>
      </c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 t="str">
        <f>IFERROR(__xludf.DUMMYFUNCTION("""COMPUTED_VALUE"""),"Gledistia triacanthos 'Sunset Gold'")</f>
        <v>Gledistia triacanthos 'Sunset Gold'</v>
      </c>
      <c r="B106" s="41">
        <f>IFERROR(__xludf.DUMMYFUNCTION("""COMPUTED_VALUE"""),25.0)</f>
        <v>25</v>
      </c>
      <c r="C106" s="41" t="str">
        <f>IFERROR(__xludf.DUMMYFUNCTION("""COMPUTED_VALUE"""),"Sunset Gold Honeylocust")</f>
        <v>Sunset Gold Honeylocust</v>
      </c>
      <c r="D106" s="41" t="str">
        <f>IFERROR(__xludf.DUMMYFUNCTION("""COMPUTED_VALUE"""),"#25")</f>
        <v>#25</v>
      </c>
      <c r="E106" s="43" t="str">
        <f>IFERROR(__xludf.DUMMYFUNCTION("""COMPUTED_VALUE"""),"1.25-1.25""")</f>
        <v>1.25-1.25"</v>
      </c>
      <c r="F106" s="41" t="str">
        <f>IFERROR(__xludf.DUMMYFUNCTION("""COMPUTED_VALUE"""),"10-10'")</f>
        <v>10-10'</v>
      </c>
      <c r="G106" s="44">
        <f>IFERROR(__xludf.DUMMYFUNCTION("""COMPUTED_VALUE"""),1.0)</f>
        <v>1</v>
      </c>
      <c r="H106" s="41">
        <f>IFERROR(__xludf.DUMMYFUNCTION("""COMPUTED_VALUE"""),0.0)</f>
        <v>0</v>
      </c>
      <c r="I106" s="45">
        <f>IFERROR(__xludf.DUMMYFUNCTION("""COMPUTED_VALUE"""),140.0)</f>
        <v>140</v>
      </c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 t="str">
        <f>IFERROR(__xludf.DUMMYFUNCTION("""COMPUTED_VALUE"""),"Gleditsia triacanthos 'Shademaster'")</f>
        <v>Gleditsia triacanthos 'Shademaster'</v>
      </c>
      <c r="B107" s="41">
        <f>IFERROR(__xludf.DUMMYFUNCTION("""COMPUTED_VALUE"""),15.0)</f>
        <v>15</v>
      </c>
      <c r="C107" s="41" t="str">
        <f>IFERROR(__xludf.DUMMYFUNCTION("""COMPUTED_VALUE"""),"Shademaster Honeylocust")</f>
        <v>Shademaster Honeylocust</v>
      </c>
      <c r="D107" s="41" t="str">
        <f>IFERROR(__xludf.DUMMYFUNCTION("""COMPUTED_VALUE"""),"#15")</f>
        <v>#15</v>
      </c>
      <c r="E107" s="43" t="str">
        <f>IFERROR(__xludf.DUMMYFUNCTION("""COMPUTED_VALUE"""),"1.25-1.5""")</f>
        <v>1.25-1.5"</v>
      </c>
      <c r="F107" s="41" t="str">
        <f>IFERROR(__xludf.DUMMYFUNCTION("""COMPUTED_VALUE"""),"10-11'")</f>
        <v>10-11'</v>
      </c>
      <c r="G107" s="44">
        <f>IFERROR(__xludf.DUMMYFUNCTION("""COMPUTED_VALUE"""),6.0)</f>
        <v>6</v>
      </c>
      <c r="H107" s="41">
        <f>IFERROR(__xludf.DUMMYFUNCTION("""COMPUTED_VALUE"""),15.0)</f>
        <v>15</v>
      </c>
      <c r="I107" s="45">
        <f>IFERROR(__xludf.DUMMYFUNCTION("""COMPUTED_VALUE"""),115.0)</f>
        <v>115</v>
      </c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 t="str">
        <f>IFERROR(__xludf.DUMMYFUNCTION("""COMPUTED_VALUE"""),"Gleditsia triacanthos 'Skyline'")</f>
        <v>Gleditsia triacanthos 'Skyline'</v>
      </c>
      <c r="B108" s="41">
        <f>IFERROR(__xludf.DUMMYFUNCTION("""COMPUTED_VALUE"""),15.0)</f>
        <v>15</v>
      </c>
      <c r="C108" s="41" t="str">
        <f>IFERROR(__xludf.DUMMYFUNCTION("""COMPUTED_VALUE"""),"Skyline Honeylocust")</f>
        <v>Skyline Honeylocust</v>
      </c>
      <c r="D108" s="41" t="str">
        <f>IFERROR(__xludf.DUMMYFUNCTION("""COMPUTED_VALUE"""),"#15")</f>
        <v>#15</v>
      </c>
      <c r="E108" s="43" t="str">
        <f>IFERROR(__xludf.DUMMYFUNCTION("""COMPUTED_VALUE"""),"1-1""")</f>
        <v>1-1"</v>
      </c>
      <c r="F108" s="41" t="str">
        <f>IFERROR(__xludf.DUMMYFUNCTION("""COMPUTED_VALUE"""),"8-9'")</f>
        <v>8-9'</v>
      </c>
      <c r="G108" s="44">
        <f>IFERROR(__xludf.DUMMYFUNCTION("""COMPUTED_VALUE"""),0.0)</f>
        <v>0</v>
      </c>
      <c r="H108" s="41">
        <f>IFERROR(__xludf.DUMMYFUNCTION("""COMPUTED_VALUE"""),15.0)</f>
        <v>15</v>
      </c>
      <c r="I108" s="45">
        <f>IFERROR(__xludf.DUMMYFUNCTION("""COMPUTED_VALUE"""),115.0)</f>
        <v>115</v>
      </c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 t="str">
        <f>IFERROR(__xludf.DUMMYFUNCTION("""COMPUTED_VALUE"""),"Gleditsia triacanthos 'Skyline'")</f>
        <v>Gleditsia triacanthos 'Skyline'</v>
      </c>
      <c r="B109" s="41">
        <f>IFERROR(__xludf.DUMMYFUNCTION("""COMPUTED_VALUE"""),25.0)</f>
        <v>25</v>
      </c>
      <c r="C109" s="41" t="str">
        <f>IFERROR(__xludf.DUMMYFUNCTION("""COMPUTED_VALUE"""),"Skyline Honeylocust")</f>
        <v>Skyline Honeylocust</v>
      </c>
      <c r="D109" s="41" t="str">
        <f>IFERROR(__xludf.DUMMYFUNCTION("""COMPUTED_VALUE"""),"#25")</f>
        <v>#25</v>
      </c>
      <c r="E109" s="43" t="str">
        <f>IFERROR(__xludf.DUMMYFUNCTION("""COMPUTED_VALUE"""),"0-1.5""")</f>
        <v>0-1.5"</v>
      </c>
      <c r="F109" s="41" t="str">
        <f>IFERROR(__xludf.DUMMYFUNCTION("""COMPUTED_VALUE"""),"0-10'")</f>
        <v>0-10'</v>
      </c>
      <c r="G109" s="44">
        <f>IFERROR(__xludf.DUMMYFUNCTION("""COMPUTED_VALUE"""),0.0)</f>
        <v>0</v>
      </c>
      <c r="H109" s="41">
        <f>IFERROR(__xludf.DUMMYFUNCTION("""COMPUTED_VALUE"""),5.0)</f>
        <v>5</v>
      </c>
      <c r="I109" s="45">
        <f>IFERROR(__xludf.DUMMYFUNCTION("""COMPUTED_VALUE"""),140.0)</f>
        <v>140</v>
      </c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 t="str">
        <f>IFERROR(__xludf.DUMMYFUNCTION("""COMPUTED_VALUE"""),"Gymnocladus dioicus")</f>
        <v>Gymnocladus dioicus</v>
      </c>
      <c r="B110" s="41">
        <f>IFERROR(__xludf.DUMMYFUNCTION("""COMPUTED_VALUE"""),5.0)</f>
        <v>5</v>
      </c>
      <c r="C110" s="41" t="str">
        <f>IFERROR(__xludf.DUMMYFUNCTION("""COMPUTED_VALUE"""),"Kentucky Coffeetree")</f>
        <v>Kentucky Coffeetree</v>
      </c>
      <c r="D110" s="41" t="str">
        <f>IFERROR(__xludf.DUMMYFUNCTION("""COMPUTED_VALUE"""),"#5")</f>
        <v>#5</v>
      </c>
      <c r="E110" s="43" t="str">
        <f>IFERROR(__xludf.DUMMYFUNCTION("""COMPUTED_VALUE"""),"0.25-0.75""")</f>
        <v>0.25-0.75"</v>
      </c>
      <c r="F110" s="41" t="str">
        <f>IFERROR(__xludf.DUMMYFUNCTION("""COMPUTED_VALUE"""),"1-5'")</f>
        <v>1-5'</v>
      </c>
      <c r="G110" s="44">
        <f>IFERROR(__xludf.DUMMYFUNCTION("""COMPUTED_VALUE"""),152.0)</f>
        <v>152</v>
      </c>
      <c r="H110" s="41">
        <f>IFERROR(__xludf.DUMMYFUNCTION("""COMPUTED_VALUE"""),50.0)</f>
        <v>50</v>
      </c>
      <c r="I110" s="45">
        <f>IFERROR(__xludf.DUMMYFUNCTION("""COMPUTED_VALUE"""),40.0)</f>
        <v>40</v>
      </c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 t="str">
        <f>IFERROR(__xludf.DUMMYFUNCTION("""COMPUTED_VALUE"""),"Gymnocladus dioicus")</f>
        <v>Gymnocladus dioicus</v>
      </c>
      <c r="B111" s="41">
        <f>IFERROR(__xludf.DUMMYFUNCTION("""COMPUTED_VALUE"""),15.0)</f>
        <v>15</v>
      </c>
      <c r="C111" s="41" t="str">
        <f>IFERROR(__xludf.DUMMYFUNCTION("""COMPUTED_VALUE"""),"Kentucky Coffeetree")</f>
        <v>Kentucky Coffeetree</v>
      </c>
      <c r="D111" s="41" t="str">
        <f>IFERROR(__xludf.DUMMYFUNCTION("""COMPUTED_VALUE"""),"#15")</f>
        <v>#15</v>
      </c>
      <c r="E111" s="43" t="str">
        <f>IFERROR(__xludf.DUMMYFUNCTION("""COMPUTED_VALUE"""),"0.75-1""")</f>
        <v>0.75-1"</v>
      </c>
      <c r="F111" s="41" t="str">
        <f>IFERROR(__xludf.DUMMYFUNCTION("""COMPUTED_VALUE"""),"8-9'")</f>
        <v>8-9'</v>
      </c>
      <c r="G111" s="44">
        <f>IFERROR(__xludf.DUMMYFUNCTION("""COMPUTED_VALUE"""),0.0)</f>
        <v>0</v>
      </c>
      <c r="H111" s="41">
        <f>IFERROR(__xludf.DUMMYFUNCTION("""COMPUTED_VALUE"""),10.0)</f>
        <v>10</v>
      </c>
      <c r="I111" s="45">
        <f>IFERROR(__xludf.DUMMYFUNCTION("""COMPUTED_VALUE"""),115.0)</f>
        <v>115</v>
      </c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 t="str">
        <f>IFERROR(__xludf.DUMMYFUNCTION("""COMPUTED_VALUE"""),"Gymnocladus dioicus 'Espresso'")</f>
        <v>Gymnocladus dioicus 'Espresso'</v>
      </c>
      <c r="B112" s="41">
        <f>IFERROR(__xludf.DUMMYFUNCTION("""COMPUTED_VALUE"""),15.0)</f>
        <v>15</v>
      </c>
      <c r="C112" s="41" t="str">
        <f>IFERROR(__xludf.DUMMYFUNCTION("""COMPUTED_VALUE"""),"Espresso Kentucky Coffeetree")</f>
        <v>Espresso Kentucky Coffeetree</v>
      </c>
      <c r="D112" s="41" t="str">
        <f>IFERROR(__xludf.DUMMYFUNCTION("""COMPUTED_VALUE"""),"#15")</f>
        <v>#15</v>
      </c>
      <c r="E112" s="43" t="str">
        <f>IFERROR(__xludf.DUMMYFUNCTION("""COMPUTED_VALUE"""),"1-1""")</f>
        <v>1-1"</v>
      </c>
      <c r="F112" s="41" t="str">
        <f>IFERROR(__xludf.DUMMYFUNCTION("""COMPUTED_VALUE"""),"7-10'")</f>
        <v>7-10'</v>
      </c>
      <c r="G112" s="44">
        <f>IFERROR(__xludf.DUMMYFUNCTION("""COMPUTED_VALUE"""),2.0)</f>
        <v>2</v>
      </c>
      <c r="H112" s="41">
        <f>IFERROR(__xludf.DUMMYFUNCTION("""COMPUTED_VALUE"""),0.0)</f>
        <v>0</v>
      </c>
      <c r="I112" s="45">
        <f>IFERROR(__xludf.DUMMYFUNCTION("""COMPUTED_VALUE"""),115.0)</f>
        <v>115</v>
      </c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 t="str">
        <f>IFERROR(__xludf.DUMMYFUNCTION("""COMPUTED_VALUE"""),"Gymnocladus dioicus 'Espresso'")</f>
        <v>Gymnocladus dioicus 'Espresso'</v>
      </c>
      <c r="B113" s="41">
        <f>IFERROR(__xludf.DUMMYFUNCTION("""COMPUTED_VALUE"""),25.0)</f>
        <v>25</v>
      </c>
      <c r="C113" s="41" t="str">
        <f>IFERROR(__xludf.DUMMYFUNCTION("""COMPUTED_VALUE"""),"Espresso Kentucky Coffeetree")</f>
        <v>Espresso Kentucky Coffeetree</v>
      </c>
      <c r="D113" s="41" t="str">
        <f>IFERROR(__xludf.DUMMYFUNCTION("""COMPUTED_VALUE"""),"#25")</f>
        <v>#25</v>
      </c>
      <c r="E113" s="43" t="str">
        <f>IFERROR(__xludf.DUMMYFUNCTION("""COMPUTED_VALUE"""),"1-1""")</f>
        <v>1-1"</v>
      </c>
      <c r="F113" s="41" t="str">
        <f>IFERROR(__xludf.DUMMYFUNCTION("""COMPUTED_VALUE"""),"7-10'")</f>
        <v>7-10'</v>
      </c>
      <c r="G113" s="44">
        <f>IFERROR(__xludf.DUMMYFUNCTION("""COMPUTED_VALUE"""),1.0)</f>
        <v>1</v>
      </c>
      <c r="H113" s="41">
        <f>IFERROR(__xludf.DUMMYFUNCTION("""COMPUTED_VALUE"""),0.0)</f>
        <v>0</v>
      </c>
      <c r="I113" s="45">
        <f>IFERROR(__xludf.DUMMYFUNCTION("""COMPUTED_VALUE"""),140.0)</f>
        <v>140</v>
      </c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 t="str">
        <f>IFERROR(__xludf.DUMMYFUNCTION("""COMPUTED_VALUE"""),"Halesia carolina")</f>
        <v>Halesia carolina</v>
      </c>
      <c r="B114" s="41">
        <f>IFERROR(__xludf.DUMMYFUNCTION("""COMPUTED_VALUE"""),5.0)</f>
        <v>5</v>
      </c>
      <c r="C114" s="41" t="str">
        <f>IFERROR(__xludf.DUMMYFUNCTION("""COMPUTED_VALUE"""),"Carolina Silverbell")</f>
        <v>Carolina Silverbell</v>
      </c>
      <c r="D114" s="41" t="str">
        <f>IFERROR(__xludf.DUMMYFUNCTION("""COMPUTED_VALUE"""),"#5")</f>
        <v>#5</v>
      </c>
      <c r="E114" s="43" t="str">
        <f>IFERROR(__xludf.DUMMYFUNCTION("""COMPUTED_VALUE"""),"0.25-0.5""")</f>
        <v>0.25-0.5"</v>
      </c>
      <c r="F114" s="41" t="str">
        <f>IFERROR(__xludf.DUMMYFUNCTION("""COMPUTED_VALUE"""),"3-4'")</f>
        <v>3-4'</v>
      </c>
      <c r="G114" s="44">
        <f>IFERROR(__xludf.DUMMYFUNCTION("""COMPUTED_VALUE"""),4.0)</f>
        <v>4</v>
      </c>
      <c r="H114" s="41">
        <f>IFERROR(__xludf.DUMMYFUNCTION("""COMPUTED_VALUE"""),50.0)</f>
        <v>50</v>
      </c>
      <c r="I114" s="45">
        <f>IFERROR(__xludf.DUMMYFUNCTION("""COMPUTED_VALUE"""),40.0)</f>
        <v>40</v>
      </c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 t="str">
        <f>IFERROR(__xludf.DUMMYFUNCTION("""COMPUTED_VALUE"""),"Hamamelis virginiana")</f>
        <v>Hamamelis virginiana</v>
      </c>
      <c r="B115" s="41">
        <f>IFERROR(__xludf.DUMMYFUNCTION("""COMPUTED_VALUE"""),5.0)</f>
        <v>5</v>
      </c>
      <c r="C115" s="41" t="str">
        <f>IFERROR(__xludf.DUMMYFUNCTION("""COMPUTED_VALUE"""),"Witch Hazel")</f>
        <v>Witch Hazel</v>
      </c>
      <c r="D115" s="41" t="str">
        <f>IFERROR(__xludf.DUMMYFUNCTION("""COMPUTED_VALUE"""),"#5")</f>
        <v>#5</v>
      </c>
      <c r="E115" s="46" t="str">
        <f>IFERROR(__xludf.DUMMYFUNCTION("""COMPUTED_VALUE"""),"Multi")</f>
        <v>Multi</v>
      </c>
      <c r="F115" s="41" t="str">
        <f>IFERROR(__xludf.DUMMYFUNCTION("""COMPUTED_VALUE"""),"1-4.5'")</f>
        <v>1-4.5'</v>
      </c>
      <c r="G115" s="44">
        <f>IFERROR(__xludf.DUMMYFUNCTION("""COMPUTED_VALUE"""),65.0)</f>
        <v>65</v>
      </c>
      <c r="H115" s="41">
        <f>IFERROR(__xludf.DUMMYFUNCTION("""COMPUTED_VALUE"""),200.0)</f>
        <v>200</v>
      </c>
      <c r="I115" s="45">
        <f>IFERROR(__xludf.DUMMYFUNCTION("""COMPUTED_VALUE"""),40.0)</f>
        <v>40</v>
      </c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 t="str">
        <f>IFERROR(__xludf.DUMMYFUNCTION("""COMPUTED_VALUE"""),"Hamamelis x 'Diane'")</f>
        <v>Hamamelis x 'Diane'</v>
      </c>
      <c r="B116" s="41">
        <f>IFERROR(__xludf.DUMMYFUNCTION("""COMPUTED_VALUE"""),5.0)</f>
        <v>5</v>
      </c>
      <c r="C116" s="41" t="str">
        <f>IFERROR(__xludf.DUMMYFUNCTION("""COMPUTED_VALUE"""),"Diane Witch Hazel")</f>
        <v>Diane Witch Hazel</v>
      </c>
      <c r="D116" s="41" t="str">
        <f>IFERROR(__xludf.DUMMYFUNCTION("""COMPUTED_VALUE"""),"#5")</f>
        <v>#5</v>
      </c>
      <c r="E116" s="43" t="str">
        <f>IFERROR(__xludf.DUMMYFUNCTION("""COMPUTED_VALUE"""),"Multi")</f>
        <v>Multi</v>
      </c>
      <c r="F116" s="41" t="str">
        <f>IFERROR(__xludf.DUMMYFUNCTION("""COMPUTED_VALUE"""),"1-2'")</f>
        <v>1-2'</v>
      </c>
      <c r="G116" s="44">
        <f>IFERROR(__xludf.DUMMYFUNCTION("""COMPUTED_VALUE"""),1.0)</f>
        <v>1</v>
      </c>
      <c r="H116" s="41">
        <f>IFERROR(__xludf.DUMMYFUNCTION("""COMPUTED_VALUE"""),10.0)</f>
        <v>10</v>
      </c>
      <c r="I116" s="45">
        <f>IFERROR(__xludf.DUMMYFUNCTION("""COMPUTED_VALUE"""),35.0)</f>
        <v>35</v>
      </c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 t="str">
        <f>IFERROR(__xludf.DUMMYFUNCTION("""COMPUTED_VALUE"""),"Hydrangea qu. 'Ruby slippers'")</f>
        <v>Hydrangea qu. 'Ruby slippers'</v>
      </c>
      <c r="B117" s="41">
        <f>IFERROR(__xludf.DUMMYFUNCTION("""COMPUTED_VALUE"""),5.0)</f>
        <v>5</v>
      </c>
      <c r="C117" s="41" t="str">
        <f>IFERROR(__xludf.DUMMYFUNCTION("""COMPUTED_VALUE"""),"Ruby Slippers Oakleaf Hydrangea")</f>
        <v>Ruby Slippers Oakleaf Hydrangea</v>
      </c>
      <c r="D117" s="41" t="str">
        <f>IFERROR(__xludf.DUMMYFUNCTION("""COMPUTED_VALUE"""),"#5")</f>
        <v>#5</v>
      </c>
      <c r="E117" s="43" t="str">
        <f>IFERROR(__xludf.DUMMYFUNCTION("""COMPUTED_VALUE"""),"Multi")</f>
        <v>Multi</v>
      </c>
      <c r="F117" s="41" t="str">
        <f>IFERROR(__xludf.DUMMYFUNCTION("""COMPUTED_VALUE"""),"1-3'")</f>
        <v>1-3'</v>
      </c>
      <c r="G117" s="44">
        <f>IFERROR(__xludf.DUMMYFUNCTION("""COMPUTED_VALUE"""),6.0)</f>
        <v>6</v>
      </c>
      <c r="H117" s="41">
        <f>IFERROR(__xludf.DUMMYFUNCTION("""COMPUTED_VALUE"""),100.0)</f>
        <v>100</v>
      </c>
      <c r="I117" s="45">
        <f>IFERROR(__xludf.DUMMYFUNCTION("""COMPUTED_VALUE"""),32.0)</f>
        <v>32</v>
      </c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 t="str">
        <f>IFERROR(__xludf.DUMMYFUNCTION("""COMPUTED_VALUE"""),"Hydrangea que. 'Pee Wee'")</f>
        <v>Hydrangea que. 'Pee Wee'</v>
      </c>
      <c r="B118" s="41">
        <f>IFERROR(__xludf.DUMMYFUNCTION("""COMPUTED_VALUE"""),5.0)</f>
        <v>5</v>
      </c>
      <c r="C118" s="41" t="str">
        <f>IFERROR(__xludf.DUMMYFUNCTION("""COMPUTED_VALUE"""),"Pee Wee Oakleaf Hydrangea")</f>
        <v>Pee Wee Oakleaf Hydrangea</v>
      </c>
      <c r="D118" s="41" t="str">
        <f>IFERROR(__xludf.DUMMYFUNCTION("""COMPUTED_VALUE"""),"#5")</f>
        <v>#5</v>
      </c>
      <c r="E118" s="46" t="str">
        <f>IFERROR(__xludf.DUMMYFUNCTION("""COMPUTED_VALUE"""),"Multi")</f>
        <v>Multi</v>
      </c>
      <c r="F118" s="41" t="str">
        <f>IFERROR(__xludf.DUMMYFUNCTION("""COMPUTED_VALUE"""),"1-2'")</f>
        <v>1-2'</v>
      </c>
      <c r="G118" s="44">
        <f>IFERROR(__xludf.DUMMYFUNCTION("""COMPUTED_VALUE"""),4.0)</f>
        <v>4</v>
      </c>
      <c r="H118" s="41">
        <f>IFERROR(__xludf.DUMMYFUNCTION("""COMPUTED_VALUE"""),50.0)</f>
        <v>50</v>
      </c>
      <c r="I118" s="45">
        <f>IFERROR(__xludf.DUMMYFUNCTION("""COMPUTED_VALUE"""),32.0)</f>
        <v>32</v>
      </c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 t="str">
        <f>IFERROR(__xludf.DUMMYFUNCTION("""COMPUTED_VALUE"""),"Hydrangea que. 'Snow Queen'")</f>
        <v>Hydrangea que. 'Snow Queen'</v>
      </c>
      <c r="B119" s="41">
        <f>IFERROR(__xludf.DUMMYFUNCTION("""COMPUTED_VALUE"""),5.0)</f>
        <v>5</v>
      </c>
      <c r="C119" s="41" t="str">
        <f>IFERROR(__xludf.DUMMYFUNCTION("""COMPUTED_VALUE"""),"Snow Queen Oakleaf Hydrangea")</f>
        <v>Snow Queen Oakleaf Hydrangea</v>
      </c>
      <c r="D119" s="41" t="str">
        <f>IFERROR(__xludf.DUMMYFUNCTION("""COMPUTED_VALUE"""),"#5")</f>
        <v>#5</v>
      </c>
      <c r="E119" s="43" t="str">
        <f>IFERROR(__xludf.DUMMYFUNCTION("""COMPUTED_VALUE"""),"Multi")</f>
        <v>Multi</v>
      </c>
      <c r="F119" s="41" t="str">
        <f>IFERROR(__xludf.DUMMYFUNCTION("""COMPUTED_VALUE"""),"2-3'")</f>
        <v>2-3'</v>
      </c>
      <c r="G119" s="44">
        <f>IFERROR(__xludf.DUMMYFUNCTION("""COMPUTED_VALUE"""),7.0)</f>
        <v>7</v>
      </c>
      <c r="H119" s="41">
        <f>IFERROR(__xludf.DUMMYFUNCTION("""COMPUTED_VALUE"""),50.0)</f>
        <v>50</v>
      </c>
      <c r="I119" s="45">
        <f>IFERROR(__xludf.DUMMYFUNCTION("""COMPUTED_VALUE"""),32.0)</f>
        <v>32</v>
      </c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 t="str">
        <f>IFERROR(__xludf.DUMMYFUNCTION("""COMPUTED_VALUE"""),"Hydrangea quercifolia 'Alice'")</f>
        <v>Hydrangea quercifolia 'Alice'</v>
      </c>
      <c r="B120" s="41">
        <f>IFERROR(__xludf.DUMMYFUNCTION("""COMPUTED_VALUE"""),5.0)</f>
        <v>5</v>
      </c>
      <c r="C120" s="41" t="str">
        <f>IFERROR(__xludf.DUMMYFUNCTION("""COMPUTED_VALUE"""),"Alice Oakleaf Hydrangea")</f>
        <v>Alice Oakleaf Hydrangea</v>
      </c>
      <c r="D120" s="41" t="str">
        <f>IFERROR(__xludf.DUMMYFUNCTION("""COMPUTED_VALUE"""),"#5")</f>
        <v>#5</v>
      </c>
      <c r="E120" s="46" t="str">
        <f>IFERROR(__xludf.DUMMYFUNCTION("""COMPUTED_VALUE"""),"Multi")</f>
        <v>Multi</v>
      </c>
      <c r="F120" s="41" t="str">
        <f>IFERROR(__xludf.DUMMYFUNCTION("""COMPUTED_VALUE"""),"1-2'")</f>
        <v>1-2'</v>
      </c>
      <c r="G120" s="44">
        <f>IFERROR(__xludf.DUMMYFUNCTION("""COMPUTED_VALUE"""),1.0)</f>
        <v>1</v>
      </c>
      <c r="H120" s="41">
        <f>IFERROR(__xludf.DUMMYFUNCTION("""COMPUTED_VALUE"""),0.0)</f>
        <v>0</v>
      </c>
      <c r="I120" s="45">
        <f>IFERROR(__xludf.DUMMYFUNCTION("""COMPUTED_VALUE"""),32.0)</f>
        <v>32</v>
      </c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 t="str">
        <f>IFERROR(__xludf.DUMMYFUNCTION("""COMPUTED_VALUE"""),"Hypericum calycinum 'Fiesta'")</f>
        <v>Hypericum calycinum 'Fiesta'</v>
      </c>
      <c r="B121" s="41">
        <f>IFERROR(__xludf.DUMMYFUNCTION("""COMPUTED_VALUE"""),5.0)</f>
        <v>5</v>
      </c>
      <c r="C121" s="41" t="str">
        <f>IFERROR(__xludf.DUMMYFUNCTION("""COMPUTED_VALUE"""),"Fiesta St. John's wort")</f>
        <v>Fiesta St. John's wort</v>
      </c>
      <c r="D121" s="41" t="str">
        <f>IFERROR(__xludf.DUMMYFUNCTION("""COMPUTED_VALUE"""),"#5")</f>
        <v>#5</v>
      </c>
      <c r="E121" s="46" t="str">
        <f>IFERROR(__xludf.DUMMYFUNCTION("""COMPUTED_VALUE"""),"Multi")</f>
        <v>Multi</v>
      </c>
      <c r="F121" s="41" t="str">
        <f>IFERROR(__xludf.DUMMYFUNCTION("""COMPUTED_VALUE"""),"0.5-1'")</f>
        <v>0.5-1'</v>
      </c>
      <c r="G121" s="44">
        <f>IFERROR(__xludf.DUMMYFUNCTION("""COMPUTED_VALUE"""),3.0)</f>
        <v>3</v>
      </c>
      <c r="H121" s="41">
        <f>IFERROR(__xludf.DUMMYFUNCTION("""COMPUTED_VALUE"""),0.0)</f>
        <v>0</v>
      </c>
      <c r="I121" s="45">
        <f>IFERROR(__xludf.DUMMYFUNCTION("""COMPUTED_VALUE"""),30.0)</f>
        <v>30</v>
      </c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 t="str">
        <f>IFERROR(__xludf.DUMMYFUNCTION("""COMPUTED_VALUE"""),"Ilex verticillata 'Winter Gold'")</f>
        <v>Ilex verticillata 'Winter Gold'</v>
      </c>
      <c r="B122" s="41">
        <f>IFERROR(__xludf.DUMMYFUNCTION("""COMPUTED_VALUE"""),5.0)</f>
        <v>5</v>
      </c>
      <c r="C122" s="41" t="str">
        <f>IFERROR(__xludf.DUMMYFUNCTION("""COMPUTED_VALUE"""),"Winter Gold Holly")</f>
        <v>Winter Gold Holly</v>
      </c>
      <c r="D122" s="41" t="str">
        <f>IFERROR(__xludf.DUMMYFUNCTION("""COMPUTED_VALUE"""),"#2")</f>
        <v>#2</v>
      </c>
      <c r="E122" s="46" t="str">
        <f>IFERROR(__xludf.DUMMYFUNCTION("""COMPUTED_VALUE"""),"Multi")</f>
        <v>Multi</v>
      </c>
      <c r="F122" s="41" t="str">
        <f>IFERROR(__xludf.DUMMYFUNCTION("""COMPUTED_VALUE"""),"0-3'")</f>
        <v>0-3'</v>
      </c>
      <c r="G122" s="44">
        <f>IFERROR(__xludf.DUMMYFUNCTION("""COMPUTED_VALUE"""),0.0)</f>
        <v>0</v>
      </c>
      <c r="H122" s="41">
        <f>IFERROR(__xludf.DUMMYFUNCTION("""COMPUTED_VALUE"""),50.0)</f>
        <v>50</v>
      </c>
      <c r="I122" s="45">
        <f>IFERROR(__xludf.DUMMYFUNCTION("""COMPUTED_VALUE"""),15.0)</f>
        <v>15</v>
      </c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 t="str">
        <f>IFERROR(__xludf.DUMMYFUNCTION("""COMPUTED_VALUE"""),"Ilex verticillata 'Winter Red'")</f>
        <v>Ilex verticillata 'Winter Red'</v>
      </c>
      <c r="B123" s="41">
        <f>IFERROR(__xludf.DUMMYFUNCTION("""COMPUTED_VALUE"""),5.0)</f>
        <v>5</v>
      </c>
      <c r="C123" s="41" t="str">
        <f>IFERROR(__xludf.DUMMYFUNCTION("""COMPUTED_VALUE"""),"Winter Red Winterberry Holly")</f>
        <v>Winter Red Winterberry Holly</v>
      </c>
      <c r="D123" s="41" t="str">
        <f>IFERROR(__xludf.DUMMYFUNCTION("""COMPUTED_VALUE"""),"#5")</f>
        <v>#5</v>
      </c>
      <c r="E123" s="43" t="str">
        <f>IFERROR(__xludf.DUMMYFUNCTION("""COMPUTED_VALUE"""),"Multi")</f>
        <v>Multi</v>
      </c>
      <c r="F123" s="41" t="str">
        <f>IFERROR(__xludf.DUMMYFUNCTION("""COMPUTED_VALUE"""),"2-2'")</f>
        <v>2-2'</v>
      </c>
      <c r="G123" s="44">
        <f>IFERROR(__xludf.DUMMYFUNCTION("""COMPUTED_VALUE"""),2.0)</f>
        <v>2</v>
      </c>
      <c r="H123" s="41">
        <f>IFERROR(__xludf.DUMMYFUNCTION("""COMPUTED_VALUE"""),100.0)</f>
        <v>100</v>
      </c>
      <c r="I123" s="45">
        <f>IFERROR(__xludf.DUMMYFUNCTION("""COMPUTED_VALUE"""),30.0)</f>
        <v>30</v>
      </c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 t="str">
        <f>IFERROR(__xludf.DUMMYFUNCTION("""COMPUTED_VALUE"""),"Juglans cinerea")</f>
        <v>Juglans cinerea</v>
      </c>
      <c r="B124" s="41">
        <f>IFERROR(__xludf.DUMMYFUNCTION("""COMPUTED_VALUE"""),5.0)</f>
        <v>5</v>
      </c>
      <c r="C124" s="41" t="str">
        <f>IFERROR(__xludf.DUMMYFUNCTION("""COMPUTED_VALUE"""),"Butternut")</f>
        <v>Butternut</v>
      </c>
      <c r="D124" s="41" t="str">
        <f>IFERROR(__xludf.DUMMYFUNCTION("""COMPUTED_VALUE"""),"#5")</f>
        <v>#5</v>
      </c>
      <c r="E124" s="43" t="str">
        <f>IFERROR(__xludf.DUMMYFUNCTION("""COMPUTED_VALUE"""),"0.5-0.75""")</f>
        <v>0.5-0.75"</v>
      </c>
      <c r="F124" s="41" t="str">
        <f>IFERROR(__xludf.DUMMYFUNCTION("""COMPUTED_VALUE"""),"3-5'")</f>
        <v>3-5'</v>
      </c>
      <c r="G124" s="44">
        <f>IFERROR(__xludf.DUMMYFUNCTION("""COMPUTED_VALUE"""),59.0)</f>
        <v>59</v>
      </c>
      <c r="H124" s="41">
        <f>IFERROR(__xludf.DUMMYFUNCTION("""COMPUTED_VALUE"""),0.0)</f>
        <v>0</v>
      </c>
      <c r="I124" s="45">
        <f>IFERROR(__xludf.DUMMYFUNCTION("""COMPUTED_VALUE"""),40.0)</f>
        <v>40</v>
      </c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 t="str">
        <f>IFERROR(__xludf.DUMMYFUNCTION("""COMPUTED_VALUE"""),"Koelreuteria paniculata")</f>
        <v>Koelreuteria paniculata</v>
      </c>
      <c r="B125" s="41">
        <f>IFERROR(__xludf.DUMMYFUNCTION("""COMPUTED_VALUE"""),5.0)</f>
        <v>5</v>
      </c>
      <c r="C125" s="41" t="str">
        <f>IFERROR(__xludf.DUMMYFUNCTION("""COMPUTED_VALUE"""),"Golden Rain Tree")</f>
        <v>Golden Rain Tree</v>
      </c>
      <c r="D125" s="41" t="str">
        <f>IFERROR(__xludf.DUMMYFUNCTION("""COMPUTED_VALUE"""),"#5")</f>
        <v>#5</v>
      </c>
      <c r="E125" s="43" t="str">
        <f>IFERROR(__xludf.DUMMYFUNCTION("""COMPUTED_VALUE"""),"0.75-1""")</f>
        <v>0.75-1"</v>
      </c>
      <c r="F125" s="41" t="str">
        <f>IFERROR(__xludf.DUMMYFUNCTION("""COMPUTED_VALUE"""),"6-9'")</f>
        <v>6-9'</v>
      </c>
      <c r="G125" s="44">
        <f>IFERROR(__xludf.DUMMYFUNCTION("""COMPUTED_VALUE"""),16.0)</f>
        <v>16</v>
      </c>
      <c r="H125" s="41">
        <f>IFERROR(__xludf.DUMMYFUNCTION("""COMPUTED_VALUE"""),0.0)</f>
        <v>0</v>
      </c>
      <c r="I125" s="45">
        <f>IFERROR(__xludf.DUMMYFUNCTION("""COMPUTED_VALUE"""),40.0)</f>
        <v>40</v>
      </c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 t="str">
        <f>IFERROR(__xludf.DUMMYFUNCTION("""COMPUTED_VALUE"""),"Koelreuteria paniculata")</f>
        <v>Koelreuteria paniculata</v>
      </c>
      <c r="B126" s="41">
        <f>IFERROR(__xludf.DUMMYFUNCTION("""COMPUTED_VALUE"""),15.0)</f>
        <v>15</v>
      </c>
      <c r="C126" s="41" t="str">
        <f>IFERROR(__xludf.DUMMYFUNCTION("""COMPUTED_VALUE"""),"Golden Rain Tree")</f>
        <v>Golden Rain Tree</v>
      </c>
      <c r="D126" s="41" t="str">
        <f>IFERROR(__xludf.DUMMYFUNCTION("""COMPUTED_VALUE"""),"#15")</f>
        <v>#15</v>
      </c>
      <c r="E126" s="43" t="str">
        <f>IFERROR(__xludf.DUMMYFUNCTION("""COMPUTED_VALUE"""),"0-0""")</f>
        <v>0-0"</v>
      </c>
      <c r="F126" s="41" t="str">
        <f>IFERROR(__xludf.DUMMYFUNCTION("""COMPUTED_VALUE"""),"0-0'")</f>
        <v>0-0'</v>
      </c>
      <c r="G126" s="44">
        <f>IFERROR(__xludf.DUMMYFUNCTION("""COMPUTED_VALUE"""),0.0)</f>
        <v>0</v>
      </c>
      <c r="H126" s="41">
        <f>IFERROR(__xludf.DUMMYFUNCTION("""COMPUTED_VALUE"""),10.0)</f>
        <v>10</v>
      </c>
      <c r="I126" s="45">
        <f>IFERROR(__xludf.DUMMYFUNCTION("""COMPUTED_VALUE"""),115.0)</f>
        <v>115</v>
      </c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 t="str">
        <f>IFERROR(__xludf.DUMMYFUNCTION("""COMPUTED_VALUE"""),"Laburnum anagyroides")</f>
        <v>Laburnum anagyroides</v>
      </c>
      <c r="B127" s="41">
        <f>IFERROR(__xludf.DUMMYFUNCTION("""COMPUTED_VALUE"""),5.0)</f>
        <v>5</v>
      </c>
      <c r="C127" s="41" t="str">
        <f>IFERROR(__xludf.DUMMYFUNCTION("""COMPUTED_VALUE"""),"Golden Chain Tree")</f>
        <v>Golden Chain Tree</v>
      </c>
      <c r="D127" s="41" t="str">
        <f>IFERROR(__xludf.DUMMYFUNCTION("""COMPUTED_VALUE"""),"#5")</f>
        <v>#5</v>
      </c>
      <c r="E127" s="46" t="str">
        <f>IFERROR(__xludf.DUMMYFUNCTION("""COMPUTED_VALUE"""),"Multi")</f>
        <v>Multi</v>
      </c>
      <c r="F127" s="41" t="str">
        <f>IFERROR(__xludf.DUMMYFUNCTION("""COMPUTED_VALUE"""),"2-7'")</f>
        <v>2-7'</v>
      </c>
      <c r="G127" s="44">
        <f>IFERROR(__xludf.DUMMYFUNCTION("""COMPUTED_VALUE"""),30.0)</f>
        <v>30</v>
      </c>
      <c r="H127" s="41">
        <f>IFERROR(__xludf.DUMMYFUNCTION("""COMPUTED_VALUE"""),0.0)</f>
        <v>0</v>
      </c>
      <c r="I127" s="45">
        <f>IFERROR(__xludf.DUMMYFUNCTION("""COMPUTED_VALUE"""),45.0)</f>
        <v>45</v>
      </c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 t="str">
        <f>IFERROR(__xludf.DUMMYFUNCTION("""COMPUTED_VALUE"""),"Lindera benzoin")</f>
        <v>Lindera benzoin</v>
      </c>
      <c r="B128" s="41">
        <f>IFERROR(__xludf.DUMMYFUNCTION("""COMPUTED_VALUE"""),5.0)</f>
        <v>5</v>
      </c>
      <c r="C128" s="41" t="str">
        <f>IFERROR(__xludf.DUMMYFUNCTION("""COMPUTED_VALUE"""),"Spice Bush")</f>
        <v>Spice Bush</v>
      </c>
      <c r="D128" s="41" t="str">
        <f>IFERROR(__xludf.DUMMYFUNCTION("""COMPUTED_VALUE"""),"#5")</f>
        <v>#5</v>
      </c>
      <c r="E128" s="43" t="str">
        <f>IFERROR(__xludf.DUMMYFUNCTION("""COMPUTED_VALUE"""),"Multi")</f>
        <v>Multi</v>
      </c>
      <c r="F128" s="41" t="str">
        <f>IFERROR(__xludf.DUMMYFUNCTION("""COMPUTED_VALUE"""),"1-2'")</f>
        <v>1-2'</v>
      </c>
      <c r="G128" s="44">
        <f>IFERROR(__xludf.DUMMYFUNCTION("""COMPUTED_VALUE"""),0.0)</f>
        <v>0</v>
      </c>
      <c r="H128" s="41">
        <f>IFERROR(__xludf.DUMMYFUNCTION("""COMPUTED_VALUE"""),300.0)</f>
        <v>300</v>
      </c>
      <c r="I128" s="45">
        <f>IFERROR(__xludf.DUMMYFUNCTION("""COMPUTED_VALUE"""),35.0)</f>
        <v>35</v>
      </c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 t="str">
        <f>IFERROR(__xludf.DUMMYFUNCTION("""COMPUTED_VALUE"""),"Liquidambar styraciflua")</f>
        <v>Liquidambar styraciflua</v>
      </c>
      <c r="B129" s="41">
        <f>IFERROR(__xludf.DUMMYFUNCTION("""COMPUTED_VALUE"""),5.0)</f>
        <v>5</v>
      </c>
      <c r="C129" s="41" t="str">
        <f>IFERROR(__xludf.DUMMYFUNCTION("""COMPUTED_VALUE"""),"Sweet Gum")</f>
        <v>Sweet Gum</v>
      </c>
      <c r="D129" s="41" t="str">
        <f>IFERROR(__xludf.DUMMYFUNCTION("""COMPUTED_VALUE"""),"#5")</f>
        <v>#5</v>
      </c>
      <c r="E129" s="43" t="str">
        <f>IFERROR(__xludf.DUMMYFUNCTION("""COMPUTED_VALUE"""),"0.25-1""")</f>
        <v>0.25-1"</v>
      </c>
      <c r="F129" s="41" t="str">
        <f>IFERROR(__xludf.DUMMYFUNCTION("""COMPUTED_VALUE"""),"2-6.5'")</f>
        <v>2-6.5'</v>
      </c>
      <c r="G129" s="44">
        <f>IFERROR(__xludf.DUMMYFUNCTION("""COMPUTED_VALUE"""),46.0)</f>
        <v>46</v>
      </c>
      <c r="H129" s="41">
        <f>IFERROR(__xludf.DUMMYFUNCTION("""COMPUTED_VALUE"""),0.0)</f>
        <v>0</v>
      </c>
      <c r="I129" s="45">
        <f>IFERROR(__xludf.DUMMYFUNCTION("""COMPUTED_VALUE"""),40.0)</f>
        <v>40</v>
      </c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 t="str">
        <f>IFERROR(__xludf.DUMMYFUNCTION("""COMPUTED_VALUE"""),"Liquidambar styraciflua")</f>
        <v>Liquidambar styraciflua</v>
      </c>
      <c r="B130" s="41">
        <f>IFERROR(__xludf.DUMMYFUNCTION("""COMPUTED_VALUE"""),7.0)</f>
        <v>7</v>
      </c>
      <c r="C130" s="41" t="str">
        <f>IFERROR(__xludf.DUMMYFUNCTION("""COMPUTED_VALUE"""),"Sweet Gum")</f>
        <v>Sweet Gum</v>
      </c>
      <c r="D130" s="41" t="str">
        <f>IFERROR(__xludf.DUMMYFUNCTION("""COMPUTED_VALUE"""),"#7")</f>
        <v>#7</v>
      </c>
      <c r="E130" s="43" t="str">
        <f>IFERROR(__xludf.DUMMYFUNCTION("""COMPUTED_VALUE"""),"0.5-0.5""")</f>
        <v>0.5-0.5"</v>
      </c>
      <c r="F130" s="41" t="str">
        <f>IFERROR(__xludf.DUMMYFUNCTION("""COMPUTED_VALUE"""),"3-4'")</f>
        <v>3-4'</v>
      </c>
      <c r="G130" s="44">
        <f>IFERROR(__xludf.DUMMYFUNCTION("""COMPUTED_VALUE"""),8.0)</f>
        <v>8</v>
      </c>
      <c r="H130" s="41">
        <f>IFERROR(__xludf.DUMMYFUNCTION("""COMPUTED_VALUE"""),0.0)</f>
        <v>0</v>
      </c>
      <c r="I130" s="45">
        <f>IFERROR(__xludf.DUMMYFUNCTION("""COMPUTED_VALUE"""),45.0)</f>
        <v>45</v>
      </c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 t="str">
        <f>IFERROR(__xludf.DUMMYFUNCTION("""COMPUTED_VALUE"""),"Liquidambar styraciflua")</f>
        <v>Liquidambar styraciflua</v>
      </c>
      <c r="B131" s="41">
        <f>IFERROR(__xludf.DUMMYFUNCTION("""COMPUTED_VALUE"""),15.0)</f>
        <v>15</v>
      </c>
      <c r="C131" s="41" t="str">
        <f>IFERROR(__xludf.DUMMYFUNCTION("""COMPUTED_VALUE"""),"Sweet Gum")</f>
        <v>Sweet Gum</v>
      </c>
      <c r="D131" s="41" t="str">
        <f>IFERROR(__xludf.DUMMYFUNCTION("""COMPUTED_VALUE"""),"#15")</f>
        <v>#15</v>
      </c>
      <c r="E131" s="43" t="str">
        <f>IFERROR(__xludf.DUMMYFUNCTION("""COMPUTED_VALUE"""),"0-0""")</f>
        <v>0-0"</v>
      </c>
      <c r="F131" s="41" t="str">
        <f>IFERROR(__xludf.DUMMYFUNCTION("""COMPUTED_VALUE"""),"0-0'")</f>
        <v>0-0'</v>
      </c>
      <c r="G131" s="44">
        <f>IFERROR(__xludf.DUMMYFUNCTION("""COMPUTED_VALUE"""),0.0)</f>
        <v>0</v>
      </c>
      <c r="H131" s="41">
        <f>IFERROR(__xludf.DUMMYFUNCTION("""COMPUTED_VALUE"""),1.0)</f>
        <v>1</v>
      </c>
      <c r="I131" s="45">
        <f>IFERROR(__xludf.DUMMYFUNCTION("""COMPUTED_VALUE"""),105.0)</f>
        <v>105</v>
      </c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 t="str">
        <f>IFERROR(__xludf.DUMMYFUNCTION("""COMPUTED_VALUE"""),"Liquidambar styraciflua 'Rotundaloba'")</f>
        <v>Liquidambar styraciflua 'Rotundaloba'</v>
      </c>
      <c r="B132" s="41">
        <f>IFERROR(__xludf.DUMMYFUNCTION("""COMPUTED_VALUE"""),7.0)</f>
        <v>7</v>
      </c>
      <c r="C132" s="41" t="str">
        <f>IFERROR(__xludf.DUMMYFUNCTION("""COMPUTED_VALUE"""),"Rotundaloba Sweet Gum")</f>
        <v>Rotundaloba Sweet Gum</v>
      </c>
      <c r="D132" s="41" t="str">
        <f>IFERROR(__xludf.DUMMYFUNCTION("""COMPUTED_VALUE"""),"#7")</f>
        <v>#7</v>
      </c>
      <c r="E132" s="43" t="str">
        <f>IFERROR(__xludf.DUMMYFUNCTION("""COMPUTED_VALUE"""),"1-1.25""")</f>
        <v>1-1.25"</v>
      </c>
      <c r="F132" s="41" t="str">
        <f>IFERROR(__xludf.DUMMYFUNCTION("""COMPUTED_VALUE"""),"6-8'")</f>
        <v>6-8'</v>
      </c>
      <c r="G132" s="44">
        <f>IFERROR(__xludf.DUMMYFUNCTION("""COMPUTED_VALUE"""),16.0)</f>
        <v>16</v>
      </c>
      <c r="H132" s="41">
        <f>IFERROR(__xludf.DUMMYFUNCTION("""COMPUTED_VALUE"""),0.0)</f>
        <v>0</v>
      </c>
      <c r="I132" s="45">
        <f>IFERROR(__xludf.DUMMYFUNCTION("""COMPUTED_VALUE"""),60.0)</f>
        <v>60</v>
      </c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 t="str">
        <f>IFERROR(__xludf.DUMMYFUNCTION("""COMPUTED_VALUE"""),"Liriodendron tulipifera")</f>
        <v>Liriodendron tulipifera</v>
      </c>
      <c r="B133" s="41">
        <f>IFERROR(__xludf.DUMMYFUNCTION("""COMPUTED_VALUE"""),5.0)</f>
        <v>5</v>
      </c>
      <c r="C133" s="41" t="str">
        <f>IFERROR(__xludf.DUMMYFUNCTION("""COMPUTED_VALUE"""),"Tulip Poplar")</f>
        <v>Tulip Poplar</v>
      </c>
      <c r="D133" s="41" t="str">
        <f>IFERROR(__xludf.DUMMYFUNCTION("""COMPUTED_VALUE"""),"#5")</f>
        <v>#5</v>
      </c>
      <c r="E133" s="43" t="str">
        <f>IFERROR(__xludf.DUMMYFUNCTION("""COMPUTED_VALUE"""),"0.5-1.25""")</f>
        <v>0.5-1.25"</v>
      </c>
      <c r="F133" s="41" t="str">
        <f>IFERROR(__xludf.DUMMYFUNCTION("""COMPUTED_VALUE"""),"5-10'")</f>
        <v>5-10'</v>
      </c>
      <c r="G133" s="41">
        <f>IFERROR(__xludf.DUMMYFUNCTION("""COMPUTED_VALUE"""),23.0)</f>
        <v>23</v>
      </c>
      <c r="H133" s="41">
        <f>IFERROR(__xludf.DUMMYFUNCTION("""COMPUTED_VALUE"""),50.0)</f>
        <v>50</v>
      </c>
      <c r="I133" s="45">
        <f>IFERROR(__xludf.DUMMYFUNCTION("""COMPUTED_VALUE"""),40.0)</f>
        <v>40</v>
      </c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 t="str">
        <f>IFERROR(__xludf.DUMMYFUNCTION("""COMPUTED_VALUE"""),"Maackia amurensis")</f>
        <v>Maackia amurensis</v>
      </c>
      <c r="B134" s="41">
        <f>IFERROR(__xludf.DUMMYFUNCTION("""COMPUTED_VALUE"""),5.0)</f>
        <v>5</v>
      </c>
      <c r="C134" s="41" t="str">
        <f>IFERROR(__xludf.DUMMYFUNCTION("""COMPUTED_VALUE"""),"Amur Maackia")</f>
        <v>Amur Maackia</v>
      </c>
      <c r="D134" s="41" t="str">
        <f>IFERROR(__xludf.DUMMYFUNCTION("""COMPUTED_VALUE"""),"#5")</f>
        <v>#5</v>
      </c>
      <c r="E134" s="43" t="str">
        <f>IFERROR(__xludf.DUMMYFUNCTION("""COMPUTED_VALUE"""),"0.25-1""")</f>
        <v>0.25-1"</v>
      </c>
      <c r="F134" s="41" t="str">
        <f>IFERROR(__xludf.DUMMYFUNCTION("""COMPUTED_VALUE"""),"2-9'")</f>
        <v>2-9'</v>
      </c>
      <c r="G134" s="44">
        <f>IFERROR(__xludf.DUMMYFUNCTION("""COMPUTED_VALUE"""),70.0)</f>
        <v>70</v>
      </c>
      <c r="H134" s="41">
        <f>IFERROR(__xludf.DUMMYFUNCTION("""COMPUTED_VALUE"""),0.0)</f>
        <v>0</v>
      </c>
      <c r="I134" s="45">
        <f>IFERROR(__xludf.DUMMYFUNCTION("""COMPUTED_VALUE"""),40.0)</f>
        <v>40</v>
      </c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 t="str">
        <f>IFERROR(__xludf.DUMMYFUNCTION("""COMPUTED_VALUE"""),"Maackia amurensis")</f>
        <v>Maackia amurensis</v>
      </c>
      <c r="B135" s="41">
        <f>IFERROR(__xludf.DUMMYFUNCTION("""COMPUTED_VALUE"""),15.0)</f>
        <v>15</v>
      </c>
      <c r="C135" s="41" t="str">
        <f>IFERROR(__xludf.DUMMYFUNCTION("""COMPUTED_VALUE"""),"Amur Maackia")</f>
        <v>Amur Maackia</v>
      </c>
      <c r="D135" s="41" t="str">
        <f>IFERROR(__xludf.DUMMYFUNCTION("""COMPUTED_VALUE"""),"#15")</f>
        <v>#15</v>
      </c>
      <c r="E135" s="43" t="str">
        <f>IFERROR(__xludf.DUMMYFUNCTION("""COMPUTED_VALUE"""),"1.25-1.25""")</f>
        <v>1.25-1.25"</v>
      </c>
      <c r="F135" s="41" t="str">
        <f>IFERROR(__xludf.DUMMYFUNCTION("""COMPUTED_VALUE"""),"11-11'")</f>
        <v>11-11'</v>
      </c>
      <c r="G135" s="44">
        <f>IFERROR(__xludf.DUMMYFUNCTION("""COMPUTED_VALUE"""),2.0)</f>
        <v>2</v>
      </c>
      <c r="H135" s="41">
        <f>IFERROR(__xludf.DUMMYFUNCTION("""COMPUTED_VALUE"""),0.0)</f>
        <v>0</v>
      </c>
      <c r="I135" s="45">
        <f>IFERROR(__xludf.DUMMYFUNCTION("""COMPUTED_VALUE"""),115.0)</f>
        <v>115</v>
      </c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 t="str">
        <f>IFERROR(__xludf.DUMMYFUNCTION("""COMPUTED_VALUE"""),"Magnolia 'Black Tulip'")</f>
        <v>Magnolia 'Black Tulip'</v>
      </c>
      <c r="B136" s="41">
        <f>IFERROR(__xludf.DUMMYFUNCTION("""COMPUTED_VALUE"""),5.0)</f>
        <v>5</v>
      </c>
      <c r="C136" s="41" t="str">
        <f>IFERROR(__xludf.DUMMYFUNCTION("""COMPUTED_VALUE"""),"Black Tulip Magnolia")</f>
        <v>Black Tulip Magnolia</v>
      </c>
      <c r="D136" s="41" t="str">
        <f>IFERROR(__xludf.DUMMYFUNCTION("""COMPUTED_VALUE"""),"#5")</f>
        <v>#5</v>
      </c>
      <c r="E136" s="43" t="str">
        <f>IFERROR(__xludf.DUMMYFUNCTION("""COMPUTED_VALUE"""),"0.5-0.75""")</f>
        <v>0.5-0.75"</v>
      </c>
      <c r="F136" s="41" t="str">
        <f>IFERROR(__xludf.DUMMYFUNCTION("""COMPUTED_VALUE"""),"3-4.5'")</f>
        <v>3-4.5'</v>
      </c>
      <c r="G136" s="44">
        <f>IFERROR(__xludf.DUMMYFUNCTION("""COMPUTED_VALUE"""),4.0)</f>
        <v>4</v>
      </c>
      <c r="H136" s="41">
        <f>IFERROR(__xludf.DUMMYFUNCTION("""COMPUTED_VALUE"""),0.0)</f>
        <v>0</v>
      </c>
      <c r="I136" s="45">
        <f>IFERROR(__xludf.DUMMYFUNCTION("""COMPUTED_VALUE"""),55.0)</f>
        <v>55</v>
      </c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 t="str">
        <f>IFERROR(__xludf.DUMMYFUNCTION("""COMPUTED_VALUE"""),"Magnolia 'Galaxy'")</f>
        <v>Magnolia 'Galaxy'</v>
      </c>
      <c r="B137" s="41">
        <f>IFERROR(__xludf.DUMMYFUNCTION("""COMPUTED_VALUE"""),5.0)</f>
        <v>5</v>
      </c>
      <c r="C137" s="41" t="str">
        <f>IFERROR(__xludf.DUMMYFUNCTION("""COMPUTED_VALUE"""),"Galaxy Magnolia")</f>
        <v>Galaxy Magnolia</v>
      </c>
      <c r="D137" s="41" t="str">
        <f>IFERROR(__xludf.DUMMYFUNCTION("""COMPUTED_VALUE"""),"#5")</f>
        <v>#5</v>
      </c>
      <c r="E137" s="46" t="str">
        <f>IFERROR(__xludf.DUMMYFUNCTION("""COMPUTED_VALUE"""),"Multi")</f>
        <v>Multi</v>
      </c>
      <c r="F137" s="41" t="str">
        <f>IFERROR(__xludf.DUMMYFUNCTION("""COMPUTED_VALUE"""),"4-5'")</f>
        <v>4-5'</v>
      </c>
      <c r="G137" s="44">
        <f>IFERROR(__xludf.DUMMYFUNCTION("""COMPUTED_VALUE"""),6.0)</f>
        <v>6</v>
      </c>
      <c r="H137" s="41">
        <f>IFERROR(__xludf.DUMMYFUNCTION("""COMPUTED_VALUE"""),20.0)</f>
        <v>20</v>
      </c>
      <c r="I137" s="45">
        <f>IFERROR(__xludf.DUMMYFUNCTION("""COMPUTED_VALUE"""),55.0)</f>
        <v>55</v>
      </c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 t="str">
        <f>IFERROR(__xludf.DUMMYFUNCTION("""COMPUTED_VALUE"""),"Magnolia 'Northern Belle'")</f>
        <v>Magnolia 'Northern Belle'</v>
      </c>
      <c r="B138" s="41">
        <f>IFERROR(__xludf.DUMMYFUNCTION("""COMPUTED_VALUE"""),5.0)</f>
        <v>5</v>
      </c>
      <c r="C138" s="41" t="str">
        <f>IFERROR(__xludf.DUMMYFUNCTION("""COMPUTED_VALUE"""),"Northern Belle Magnolia")</f>
        <v>Northern Belle Magnolia</v>
      </c>
      <c r="D138" s="41" t="str">
        <f>IFERROR(__xludf.DUMMYFUNCTION("""COMPUTED_VALUE"""),"#5")</f>
        <v>#5</v>
      </c>
      <c r="E138" s="43" t="str">
        <f>IFERROR(__xludf.DUMMYFUNCTION("""COMPUTED_VALUE"""),"0.25-0.5""")</f>
        <v>0.25-0.5"</v>
      </c>
      <c r="F138" s="41" t="str">
        <f>IFERROR(__xludf.DUMMYFUNCTION("""COMPUTED_VALUE"""),"3-4'")</f>
        <v>3-4'</v>
      </c>
      <c r="G138" s="44">
        <f>IFERROR(__xludf.DUMMYFUNCTION("""COMPUTED_VALUE"""),10.0)</f>
        <v>10</v>
      </c>
      <c r="H138" s="41">
        <f>IFERROR(__xludf.DUMMYFUNCTION("""COMPUTED_VALUE"""),0.0)</f>
        <v>0</v>
      </c>
      <c r="I138" s="45">
        <f>IFERROR(__xludf.DUMMYFUNCTION("""COMPUTED_VALUE"""),55.0)</f>
        <v>55</v>
      </c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 t="str">
        <f>IFERROR(__xludf.DUMMYFUNCTION("""COMPUTED_VALUE"""),"Magnolia 'Sunsation'")</f>
        <v>Magnolia 'Sunsation'</v>
      </c>
      <c r="B139" s="41">
        <f>IFERROR(__xludf.DUMMYFUNCTION("""COMPUTED_VALUE"""),5.0)</f>
        <v>5</v>
      </c>
      <c r="C139" s="41" t="str">
        <f>IFERROR(__xludf.DUMMYFUNCTION("""COMPUTED_VALUE"""),"Sunsation Magnolia")</f>
        <v>Sunsation Magnolia</v>
      </c>
      <c r="D139" s="41" t="str">
        <f>IFERROR(__xludf.DUMMYFUNCTION("""COMPUTED_VALUE"""),"#5")</f>
        <v>#5</v>
      </c>
      <c r="E139" s="43" t="str">
        <f>IFERROR(__xludf.DUMMYFUNCTION("""COMPUTED_VALUE"""),"Multi")</f>
        <v>Multi</v>
      </c>
      <c r="F139" s="41" t="str">
        <f>IFERROR(__xludf.DUMMYFUNCTION("""COMPUTED_VALUE"""),"3-4.5'")</f>
        <v>3-4.5'</v>
      </c>
      <c r="G139" s="44">
        <f>IFERROR(__xludf.DUMMYFUNCTION("""COMPUTED_VALUE"""),5.0)</f>
        <v>5</v>
      </c>
      <c r="H139" s="41">
        <f>IFERROR(__xludf.DUMMYFUNCTION("""COMPUTED_VALUE"""),0.0)</f>
        <v>0</v>
      </c>
      <c r="I139" s="45">
        <f>IFERROR(__xludf.DUMMYFUNCTION("""COMPUTED_VALUE"""),50.0)</f>
        <v>50</v>
      </c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 t="str">
        <f>IFERROR(__xludf.DUMMYFUNCTION("""COMPUTED_VALUE"""),"Magnolia 'Yellow Bird'")</f>
        <v>Magnolia 'Yellow Bird'</v>
      </c>
      <c r="B140" s="41">
        <f>IFERROR(__xludf.DUMMYFUNCTION("""COMPUTED_VALUE"""),5.0)</f>
        <v>5</v>
      </c>
      <c r="C140" s="41" t="str">
        <f>IFERROR(__xludf.DUMMYFUNCTION("""COMPUTED_VALUE"""),"Yellow Bird Magnolia")</f>
        <v>Yellow Bird Magnolia</v>
      </c>
      <c r="D140" s="41" t="str">
        <f>IFERROR(__xludf.DUMMYFUNCTION("""COMPUTED_VALUE"""),"#5")</f>
        <v>#5</v>
      </c>
      <c r="E140" s="46" t="str">
        <f>IFERROR(__xludf.DUMMYFUNCTION("""COMPUTED_VALUE"""),"Multi")</f>
        <v>Multi</v>
      </c>
      <c r="F140" s="41" t="str">
        <f>IFERROR(__xludf.DUMMYFUNCTION("""COMPUTED_VALUE"""),"4-5'")</f>
        <v>4-5'</v>
      </c>
      <c r="G140" s="44">
        <f>IFERROR(__xludf.DUMMYFUNCTION("""COMPUTED_VALUE"""),2.0)</f>
        <v>2</v>
      </c>
      <c r="H140" s="41">
        <f>IFERROR(__xludf.DUMMYFUNCTION("""COMPUTED_VALUE"""),0.0)</f>
        <v>0</v>
      </c>
      <c r="I140" s="45">
        <f>IFERROR(__xludf.DUMMYFUNCTION("""COMPUTED_VALUE"""),55.0)</f>
        <v>55</v>
      </c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 t="str">
        <f>IFERROR(__xludf.DUMMYFUNCTION("""COMPUTED_VALUE"""),"Magnolia ashei")</f>
        <v>Magnolia ashei</v>
      </c>
      <c r="B141" s="41">
        <f>IFERROR(__xludf.DUMMYFUNCTION("""COMPUTED_VALUE"""),5.0)</f>
        <v>5</v>
      </c>
      <c r="C141" s="41" t="str">
        <f>IFERROR(__xludf.DUMMYFUNCTION("""COMPUTED_VALUE"""),"Ashe's Magnolia")</f>
        <v>Ashe's Magnolia</v>
      </c>
      <c r="D141" s="41" t="str">
        <f>IFERROR(__xludf.DUMMYFUNCTION("""COMPUTED_VALUE"""),"#5")</f>
        <v>#5</v>
      </c>
      <c r="E141" s="43" t="str">
        <f>IFERROR(__xludf.DUMMYFUNCTION("""COMPUTED_VALUE"""),"0.25-0.5""")</f>
        <v>0.25-0.5"</v>
      </c>
      <c r="F141" s="41" t="str">
        <f>IFERROR(__xludf.DUMMYFUNCTION("""COMPUTED_VALUE"""),"2-3'")</f>
        <v>2-3'</v>
      </c>
      <c r="G141" s="44">
        <f>IFERROR(__xludf.DUMMYFUNCTION("""COMPUTED_VALUE"""),108.0)</f>
        <v>108</v>
      </c>
      <c r="H141" s="41">
        <f>IFERROR(__xludf.DUMMYFUNCTION("""COMPUTED_VALUE"""),100.0)</f>
        <v>100</v>
      </c>
      <c r="I141" s="45">
        <f>IFERROR(__xludf.DUMMYFUNCTION("""COMPUTED_VALUE"""),40.0)</f>
        <v>40</v>
      </c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 t="str">
        <f>IFERROR(__xludf.DUMMYFUNCTION("""COMPUTED_VALUE"""),"Magnolia virginiana")</f>
        <v>Magnolia virginiana</v>
      </c>
      <c r="B142" s="41">
        <f>IFERROR(__xludf.DUMMYFUNCTION("""COMPUTED_VALUE"""),5.0)</f>
        <v>5</v>
      </c>
      <c r="C142" s="41" t="str">
        <f>IFERROR(__xludf.DUMMYFUNCTION("""COMPUTED_VALUE"""),"Sweet Bay Magnolia")</f>
        <v>Sweet Bay Magnolia</v>
      </c>
      <c r="D142" s="41" t="str">
        <f>IFERROR(__xludf.DUMMYFUNCTION("""COMPUTED_VALUE"""),"#5")</f>
        <v>#5</v>
      </c>
      <c r="E142" s="43" t="str">
        <f>IFERROR(__xludf.DUMMYFUNCTION("""COMPUTED_VALUE"""),"0.25-0.5""")</f>
        <v>0.25-0.5"</v>
      </c>
      <c r="F142" s="41" t="str">
        <f>IFERROR(__xludf.DUMMYFUNCTION("""COMPUTED_VALUE"""),"2-3'")</f>
        <v>2-3'</v>
      </c>
      <c r="G142" s="44">
        <f>IFERROR(__xludf.DUMMYFUNCTION("""COMPUTED_VALUE"""),122.0)</f>
        <v>122</v>
      </c>
      <c r="H142" s="41">
        <f>IFERROR(__xludf.DUMMYFUNCTION("""COMPUTED_VALUE"""),200.0)</f>
        <v>200</v>
      </c>
      <c r="I142" s="45">
        <f>IFERROR(__xludf.DUMMYFUNCTION("""COMPUTED_VALUE"""),35.0)</f>
        <v>35</v>
      </c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 t="str">
        <f>IFERROR(__xludf.DUMMYFUNCTION("""COMPUTED_VALUE"""),"Magnolia virginiana")</f>
        <v>Magnolia virginiana</v>
      </c>
      <c r="B143" s="41">
        <f>IFERROR(__xludf.DUMMYFUNCTION("""COMPUTED_VALUE"""),15.0)</f>
        <v>15</v>
      </c>
      <c r="C143" s="41" t="str">
        <f>IFERROR(__xludf.DUMMYFUNCTION("""COMPUTED_VALUE"""),"Sweet Bay Magnolia")</f>
        <v>Sweet Bay Magnolia</v>
      </c>
      <c r="D143" s="41" t="str">
        <f>IFERROR(__xludf.DUMMYFUNCTION("""COMPUTED_VALUE"""),"#15")</f>
        <v>#15</v>
      </c>
      <c r="E143" s="43" t="str">
        <f>IFERROR(__xludf.DUMMYFUNCTION("""COMPUTED_VALUE"""),"Multi")</f>
        <v>Multi</v>
      </c>
      <c r="F143" s="41" t="str">
        <f>IFERROR(__xludf.DUMMYFUNCTION("""COMPUTED_VALUE"""),"3-7'")</f>
        <v>3-7'</v>
      </c>
      <c r="G143" s="44">
        <f>IFERROR(__xludf.DUMMYFUNCTION("""COMPUTED_VALUE"""),2.0)</f>
        <v>2</v>
      </c>
      <c r="H143" s="41">
        <f>IFERROR(__xludf.DUMMYFUNCTION("""COMPUTED_VALUE"""),0.0)</f>
        <v>0</v>
      </c>
      <c r="I143" s="45">
        <f>IFERROR(__xludf.DUMMYFUNCTION("""COMPUTED_VALUE"""),120.0)</f>
        <v>120</v>
      </c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 t="str">
        <f>IFERROR(__xludf.DUMMYFUNCTION("""COMPUTED_VALUE"""),"Magnolia virginiana 'Moonglow'")</f>
        <v>Magnolia virginiana 'Moonglow'</v>
      </c>
      <c r="B144" s="41">
        <f>IFERROR(__xludf.DUMMYFUNCTION("""COMPUTED_VALUE"""),5.0)</f>
        <v>5</v>
      </c>
      <c r="C144" s="41" t="str">
        <f>IFERROR(__xludf.DUMMYFUNCTION("""COMPUTED_VALUE"""),"Moonglow Magnolia")</f>
        <v>Moonglow Magnolia</v>
      </c>
      <c r="D144" s="41" t="str">
        <f>IFERROR(__xludf.DUMMYFUNCTION("""COMPUTED_VALUE"""),"#5")</f>
        <v>#5</v>
      </c>
      <c r="E144" s="43" t="str">
        <f>IFERROR(__xludf.DUMMYFUNCTION("""COMPUTED_VALUE"""),"0.25-0.5""")</f>
        <v>0.25-0.5"</v>
      </c>
      <c r="F144" s="41" t="str">
        <f>IFERROR(__xludf.DUMMYFUNCTION("""COMPUTED_VALUE"""),"3-4'")</f>
        <v>3-4'</v>
      </c>
      <c r="G144" s="44">
        <f>IFERROR(__xludf.DUMMYFUNCTION("""COMPUTED_VALUE"""),4.0)</f>
        <v>4</v>
      </c>
      <c r="H144" s="41">
        <f>IFERROR(__xludf.DUMMYFUNCTION("""COMPUTED_VALUE"""),100.0)</f>
        <v>100</v>
      </c>
      <c r="I144" s="45">
        <f>IFERROR(__xludf.DUMMYFUNCTION("""COMPUTED_VALUE"""),40.0)</f>
        <v>40</v>
      </c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 t="str">
        <f>IFERROR(__xludf.DUMMYFUNCTION("""COMPUTED_VALUE"""),"Magnolia x 'Ann'")</f>
        <v>Magnolia x 'Ann'</v>
      </c>
      <c r="B145" s="41">
        <f>IFERROR(__xludf.DUMMYFUNCTION("""COMPUTED_VALUE"""),5.0)</f>
        <v>5</v>
      </c>
      <c r="C145" s="41" t="str">
        <f>IFERROR(__xludf.DUMMYFUNCTION("""COMPUTED_VALUE"""),"Ann Magnolia")</f>
        <v>Ann Magnolia</v>
      </c>
      <c r="D145" s="41" t="str">
        <f>IFERROR(__xludf.DUMMYFUNCTION("""COMPUTED_VALUE"""),"#5")</f>
        <v>#5</v>
      </c>
      <c r="E145" s="46" t="str">
        <f>IFERROR(__xludf.DUMMYFUNCTION("""COMPUTED_VALUE"""),"Multi")</f>
        <v>Multi</v>
      </c>
      <c r="F145" s="41" t="str">
        <f>IFERROR(__xludf.DUMMYFUNCTION("""COMPUTED_VALUE"""),"2-3'")</f>
        <v>2-3'</v>
      </c>
      <c r="G145" s="44">
        <f>IFERROR(__xludf.DUMMYFUNCTION("""COMPUTED_VALUE"""),24.0)</f>
        <v>24</v>
      </c>
      <c r="H145" s="41">
        <f>IFERROR(__xludf.DUMMYFUNCTION("""COMPUTED_VALUE"""),0.0)</f>
        <v>0</v>
      </c>
      <c r="I145" s="45">
        <f>IFERROR(__xludf.DUMMYFUNCTION("""COMPUTED_VALUE"""),45.0)</f>
        <v>45</v>
      </c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 t="str">
        <f>IFERROR(__xludf.DUMMYFUNCTION("""COMPUTED_VALUE"""),"Magnolia x 'Jane'")</f>
        <v>Magnolia x 'Jane'</v>
      </c>
      <c r="B146" s="41">
        <f>IFERROR(__xludf.DUMMYFUNCTION("""COMPUTED_VALUE"""),5.0)</f>
        <v>5</v>
      </c>
      <c r="C146" s="41" t="str">
        <f>IFERROR(__xludf.DUMMYFUNCTION("""COMPUTED_VALUE"""),"Jane Magnolia")</f>
        <v>Jane Magnolia</v>
      </c>
      <c r="D146" s="41" t="str">
        <f>IFERROR(__xludf.DUMMYFUNCTION("""COMPUTED_VALUE"""),"#5")</f>
        <v>#5</v>
      </c>
      <c r="E146" s="43" t="str">
        <f>IFERROR(__xludf.DUMMYFUNCTION("""COMPUTED_VALUE"""),"0.25-0.5""")</f>
        <v>0.25-0.5"</v>
      </c>
      <c r="F146" s="41" t="str">
        <f>IFERROR(__xludf.DUMMYFUNCTION("""COMPUTED_VALUE"""),"2-3.5'")</f>
        <v>2-3.5'</v>
      </c>
      <c r="G146" s="44">
        <f>IFERROR(__xludf.DUMMYFUNCTION("""COMPUTED_VALUE"""),13.0)</f>
        <v>13</v>
      </c>
      <c r="H146" s="41">
        <f>IFERROR(__xludf.DUMMYFUNCTION("""COMPUTED_VALUE"""),0.0)</f>
        <v>0</v>
      </c>
      <c r="I146" s="45">
        <f>IFERROR(__xludf.DUMMYFUNCTION("""COMPUTED_VALUE"""),50.0)</f>
        <v>50</v>
      </c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 t="str">
        <f>IFERROR(__xludf.DUMMYFUNCTION("""COMPUTED_VALUE"""),"Malus 'Prariefire'")</f>
        <v>Malus 'Prariefire'</v>
      </c>
      <c r="B147" s="41">
        <f>IFERROR(__xludf.DUMMYFUNCTION("""COMPUTED_VALUE"""),7.0)</f>
        <v>7</v>
      </c>
      <c r="C147" s="41" t="str">
        <f>IFERROR(__xludf.DUMMYFUNCTION("""COMPUTED_VALUE"""),"Prairifire Crabapple")</f>
        <v>Prairifire Crabapple</v>
      </c>
      <c r="D147" s="41" t="str">
        <f>IFERROR(__xludf.DUMMYFUNCTION("""COMPUTED_VALUE"""),"#7")</f>
        <v>#7</v>
      </c>
      <c r="E147" s="43" t="str">
        <f>IFERROR(__xludf.DUMMYFUNCTION("""COMPUTED_VALUE"""),"0.5-0.75""")</f>
        <v>0.5-0.75"</v>
      </c>
      <c r="F147" s="41" t="str">
        <f>IFERROR(__xludf.DUMMYFUNCTION("""COMPUTED_VALUE"""),"5-6'")</f>
        <v>5-6'</v>
      </c>
      <c r="G147" s="44">
        <f>IFERROR(__xludf.DUMMYFUNCTION("""COMPUTED_VALUE"""),30.0)</f>
        <v>30</v>
      </c>
      <c r="H147" s="41">
        <f>IFERROR(__xludf.DUMMYFUNCTION("""COMPUTED_VALUE"""),0.0)</f>
        <v>0</v>
      </c>
      <c r="I147" s="45">
        <f>IFERROR(__xludf.DUMMYFUNCTION("""COMPUTED_VALUE"""),60.0)</f>
        <v>60</v>
      </c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 t="str">
        <f>IFERROR(__xludf.DUMMYFUNCTION("""COMPUTED_VALUE"""),"Malus 'Prariefire'")</f>
        <v>Malus 'Prariefire'</v>
      </c>
      <c r="B148" s="41">
        <f>IFERROR(__xludf.DUMMYFUNCTION("""COMPUTED_VALUE"""),15.0)</f>
        <v>15</v>
      </c>
      <c r="C148" s="41" t="str">
        <f>IFERROR(__xludf.DUMMYFUNCTION("""COMPUTED_VALUE"""),"Prairifire Crabapple")</f>
        <v>Prairifire Crabapple</v>
      </c>
      <c r="D148" s="41" t="str">
        <f>IFERROR(__xludf.DUMMYFUNCTION("""COMPUTED_VALUE"""),"#15")</f>
        <v>#15</v>
      </c>
      <c r="E148" s="43" t="str">
        <f>IFERROR(__xludf.DUMMYFUNCTION("""COMPUTED_VALUE"""),"0-1""")</f>
        <v>0-1"</v>
      </c>
      <c r="F148" s="41" t="str">
        <f>IFERROR(__xludf.DUMMYFUNCTION("""COMPUTED_VALUE"""),"0-10'")</f>
        <v>0-10'</v>
      </c>
      <c r="G148" s="44">
        <f>IFERROR(__xludf.DUMMYFUNCTION("""COMPUTED_VALUE"""),0.0)</f>
        <v>0</v>
      </c>
      <c r="H148" s="41">
        <f>IFERROR(__xludf.DUMMYFUNCTION("""COMPUTED_VALUE"""),30.0)</f>
        <v>30</v>
      </c>
      <c r="I148" s="45">
        <f>IFERROR(__xludf.DUMMYFUNCTION("""COMPUTED_VALUE"""),115.0)</f>
        <v>115</v>
      </c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 t="str">
        <f>IFERROR(__xludf.DUMMYFUNCTION("""COMPUTED_VALUE"""),"Malus 'Snowdrift'")</f>
        <v>Malus 'Snowdrift'</v>
      </c>
      <c r="B149" s="41">
        <f>IFERROR(__xludf.DUMMYFUNCTION("""COMPUTED_VALUE"""),5.0)</f>
        <v>5</v>
      </c>
      <c r="C149" s="41" t="str">
        <f>IFERROR(__xludf.DUMMYFUNCTION("""COMPUTED_VALUE"""),"Snowdrift Crabapple")</f>
        <v>Snowdrift Crabapple</v>
      </c>
      <c r="D149" s="41" t="str">
        <f>IFERROR(__xludf.DUMMYFUNCTION("""COMPUTED_VALUE"""),"#5")</f>
        <v>#5</v>
      </c>
      <c r="E149" s="43" t="str">
        <f>IFERROR(__xludf.DUMMYFUNCTION("""COMPUTED_VALUE"""),"0.75-1""")</f>
        <v>0.75-1"</v>
      </c>
      <c r="F149" s="41" t="str">
        <f>IFERROR(__xludf.DUMMYFUNCTION("""COMPUTED_VALUE"""),"5-6'")</f>
        <v>5-6'</v>
      </c>
      <c r="G149" s="44">
        <f>IFERROR(__xludf.DUMMYFUNCTION("""COMPUTED_VALUE"""),4.0)</f>
        <v>4</v>
      </c>
      <c r="H149" s="41">
        <f>IFERROR(__xludf.DUMMYFUNCTION("""COMPUTED_VALUE"""),0.0)</f>
        <v>0</v>
      </c>
      <c r="I149" s="45">
        <f>IFERROR(__xludf.DUMMYFUNCTION("""COMPUTED_VALUE"""),40.0)</f>
        <v>40</v>
      </c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 t="str">
        <f>IFERROR(__xludf.DUMMYFUNCTION("""COMPUTED_VALUE"""),"Malus dolgo")</f>
        <v>Malus dolgo</v>
      </c>
      <c r="B150" s="41">
        <f>IFERROR(__xludf.DUMMYFUNCTION("""COMPUTED_VALUE"""),5.0)</f>
        <v>5</v>
      </c>
      <c r="C150" s="41" t="str">
        <f>IFERROR(__xludf.DUMMYFUNCTION("""COMPUTED_VALUE"""),"Dolgo Crabapple")</f>
        <v>Dolgo Crabapple</v>
      </c>
      <c r="D150" s="41" t="str">
        <f>IFERROR(__xludf.DUMMYFUNCTION("""COMPUTED_VALUE"""),"#5")</f>
        <v>#5</v>
      </c>
      <c r="E150" s="46" t="str">
        <f>IFERROR(__xludf.DUMMYFUNCTION("""COMPUTED_VALUE"""),"Multi")</f>
        <v>Multi</v>
      </c>
      <c r="F150" s="41" t="str">
        <f>IFERROR(__xludf.DUMMYFUNCTION("""COMPUTED_VALUE"""),"4-5'")</f>
        <v>4-5'</v>
      </c>
      <c r="G150" s="44">
        <f>IFERROR(__xludf.DUMMYFUNCTION("""COMPUTED_VALUE"""),3.0)</f>
        <v>3</v>
      </c>
      <c r="H150" s="41">
        <f>IFERROR(__xludf.DUMMYFUNCTION("""COMPUTED_VALUE"""),0.0)</f>
        <v>0</v>
      </c>
      <c r="I150" s="45">
        <f>IFERROR(__xludf.DUMMYFUNCTION("""COMPUTED_VALUE"""),40.0)</f>
        <v>40</v>
      </c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 t="str">
        <f>IFERROR(__xludf.DUMMYFUNCTION("""COMPUTED_VALUE"""),"Malus domestica")</f>
        <v>Malus domestica</v>
      </c>
      <c r="B151" s="41">
        <f>IFERROR(__xludf.DUMMYFUNCTION("""COMPUTED_VALUE"""),5.0)</f>
        <v>5</v>
      </c>
      <c r="C151" s="41" t="str">
        <f>IFERROR(__xludf.DUMMYFUNCTION("""COMPUTED_VALUE"""),"Common Apple")</f>
        <v>Common Apple</v>
      </c>
      <c r="D151" s="41" t="str">
        <f>IFERROR(__xludf.DUMMYFUNCTION("""COMPUTED_VALUE"""),"#5")</f>
        <v>#5</v>
      </c>
      <c r="E151" s="43" t="str">
        <f>IFERROR(__xludf.DUMMYFUNCTION("""COMPUTED_VALUE"""),"0.75-0.5""")</f>
        <v>0.75-0.5"</v>
      </c>
      <c r="F151" s="41" t="str">
        <f>IFERROR(__xludf.DUMMYFUNCTION("""COMPUTED_VALUE"""),"4-5'")</f>
        <v>4-5'</v>
      </c>
      <c r="G151" s="44">
        <f>IFERROR(__xludf.DUMMYFUNCTION("""COMPUTED_VALUE"""),33.0)</f>
        <v>33</v>
      </c>
      <c r="H151" s="41">
        <f>IFERROR(__xludf.DUMMYFUNCTION("""COMPUTED_VALUE"""),0.0)</f>
        <v>0</v>
      </c>
      <c r="I151" s="45">
        <f>IFERROR(__xludf.DUMMYFUNCTION("""COMPUTED_VALUE"""),30.0)</f>
        <v>30</v>
      </c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 t="str">
        <f>IFERROR(__xludf.DUMMYFUNCTION("""COMPUTED_VALUE"""),"Metasequoia glyptostroboides")</f>
        <v>Metasequoia glyptostroboides</v>
      </c>
      <c r="B152" s="41">
        <f>IFERROR(__xludf.DUMMYFUNCTION("""COMPUTED_VALUE"""),5.0)</f>
        <v>5</v>
      </c>
      <c r="C152" s="41" t="str">
        <f>IFERROR(__xludf.DUMMYFUNCTION("""COMPUTED_VALUE"""),"Dawn Redwood")</f>
        <v>Dawn Redwood</v>
      </c>
      <c r="D152" s="41" t="str">
        <f>IFERROR(__xludf.DUMMYFUNCTION("""COMPUTED_VALUE"""),"#5")</f>
        <v>#5</v>
      </c>
      <c r="E152" s="43" t="str">
        <f>IFERROR(__xludf.DUMMYFUNCTION("""COMPUTED_VALUE"""),"0.5-1.5""")</f>
        <v>0.5-1.5"</v>
      </c>
      <c r="F152" s="41" t="str">
        <f>IFERROR(__xludf.DUMMYFUNCTION("""COMPUTED_VALUE"""),"4-10'")</f>
        <v>4-10'</v>
      </c>
      <c r="G152" s="44">
        <f>IFERROR(__xludf.DUMMYFUNCTION("""COMPUTED_VALUE"""),5.0)</f>
        <v>5</v>
      </c>
      <c r="H152" s="41">
        <f>IFERROR(__xludf.DUMMYFUNCTION("""COMPUTED_VALUE"""),50.0)</f>
        <v>50</v>
      </c>
      <c r="I152" s="45">
        <f>IFERROR(__xludf.DUMMYFUNCTION("""COMPUTED_VALUE"""),40.0)</f>
        <v>40</v>
      </c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 t="str">
        <f>IFERROR(__xludf.DUMMYFUNCTION("""COMPUTED_VALUE"""),"Nandina domestica")</f>
        <v>Nandina domestica</v>
      </c>
      <c r="B153" s="41">
        <f>IFERROR(__xludf.DUMMYFUNCTION("""COMPUTED_VALUE"""),5.0)</f>
        <v>5</v>
      </c>
      <c r="C153" s="41" t="str">
        <f>IFERROR(__xludf.DUMMYFUNCTION("""COMPUTED_VALUE"""),"Nandina")</f>
        <v>Nandina</v>
      </c>
      <c r="D153" s="41" t="str">
        <f>IFERROR(__xludf.DUMMYFUNCTION("""COMPUTED_VALUE"""),"#5")</f>
        <v>#5</v>
      </c>
      <c r="E153" s="43" t="str">
        <f>IFERROR(__xludf.DUMMYFUNCTION("""COMPUTED_VALUE"""),"Multi")</f>
        <v>Multi</v>
      </c>
      <c r="F153" s="41" t="str">
        <f>IFERROR(__xludf.DUMMYFUNCTION("""COMPUTED_VALUE"""),"0.25-1'")</f>
        <v>0.25-1'</v>
      </c>
      <c r="G153" s="44">
        <f>IFERROR(__xludf.DUMMYFUNCTION("""COMPUTED_VALUE"""),14.0)</f>
        <v>14</v>
      </c>
      <c r="H153" s="41">
        <f>IFERROR(__xludf.DUMMYFUNCTION("""COMPUTED_VALUE"""),0.0)</f>
        <v>0</v>
      </c>
      <c r="I153" s="45">
        <f>IFERROR(__xludf.DUMMYFUNCTION("""COMPUTED_VALUE"""),30.0)</f>
        <v>30</v>
      </c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 t="str">
        <f>IFERROR(__xludf.DUMMYFUNCTION("""COMPUTED_VALUE"""),"Nyssa sylvatica")</f>
        <v>Nyssa sylvatica</v>
      </c>
      <c r="B154" s="41">
        <f>IFERROR(__xludf.DUMMYFUNCTION("""COMPUTED_VALUE"""),5.0)</f>
        <v>5</v>
      </c>
      <c r="C154" s="41" t="str">
        <f>IFERROR(__xludf.DUMMYFUNCTION("""COMPUTED_VALUE"""),"Black Gum")</f>
        <v>Black Gum</v>
      </c>
      <c r="D154" s="41" t="str">
        <f>IFERROR(__xludf.DUMMYFUNCTION("""COMPUTED_VALUE"""),"#5")</f>
        <v>#5</v>
      </c>
      <c r="E154" s="43" t="str">
        <f>IFERROR(__xludf.DUMMYFUNCTION("""COMPUTED_VALUE"""),"0.5-1""")</f>
        <v>0.5-1"</v>
      </c>
      <c r="F154" s="41" t="str">
        <f>IFERROR(__xludf.DUMMYFUNCTION("""COMPUTED_VALUE"""),"4-7'")</f>
        <v>4-7'</v>
      </c>
      <c r="G154" s="44">
        <f>IFERROR(__xludf.DUMMYFUNCTION("""COMPUTED_VALUE"""),60.0)</f>
        <v>60</v>
      </c>
      <c r="H154" s="41">
        <f>IFERROR(__xludf.DUMMYFUNCTION("""COMPUTED_VALUE"""),300.0)</f>
        <v>300</v>
      </c>
      <c r="I154" s="45">
        <f>IFERROR(__xludf.DUMMYFUNCTION("""COMPUTED_VALUE"""),40.0)</f>
        <v>40</v>
      </c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 t="str">
        <f>IFERROR(__xludf.DUMMYFUNCTION("""COMPUTED_VALUE"""),"Nyssa sylvatica")</f>
        <v>Nyssa sylvatica</v>
      </c>
      <c r="B155" s="41">
        <f>IFERROR(__xludf.DUMMYFUNCTION("""COMPUTED_VALUE"""),7.0)</f>
        <v>7</v>
      </c>
      <c r="C155" s="41" t="str">
        <f>IFERROR(__xludf.DUMMYFUNCTION("""COMPUTED_VALUE"""),"Black Gum")</f>
        <v>Black Gum</v>
      </c>
      <c r="D155" s="41" t="str">
        <f>IFERROR(__xludf.DUMMYFUNCTION("""COMPUTED_VALUE"""),"#7")</f>
        <v>#7</v>
      </c>
      <c r="E155" s="43" t="str">
        <f>IFERROR(__xludf.DUMMYFUNCTION("""COMPUTED_VALUE"""),"0.5-0.75""")</f>
        <v>0.5-0.75"</v>
      </c>
      <c r="F155" s="41" t="str">
        <f>IFERROR(__xludf.DUMMYFUNCTION("""COMPUTED_VALUE"""),"4-5'")</f>
        <v>4-5'</v>
      </c>
      <c r="G155" s="44">
        <f>IFERROR(__xludf.DUMMYFUNCTION("""COMPUTED_VALUE"""),52.0)</f>
        <v>52</v>
      </c>
      <c r="H155" s="41">
        <f>IFERROR(__xludf.DUMMYFUNCTION("""COMPUTED_VALUE"""),0.0)</f>
        <v>0</v>
      </c>
      <c r="I155" s="45">
        <f>IFERROR(__xludf.DUMMYFUNCTION("""COMPUTED_VALUE"""),45.0)</f>
        <v>45</v>
      </c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 t="str">
        <f>IFERROR(__xludf.DUMMYFUNCTION("""COMPUTED_VALUE"""),"Nyssa sylvatica 'Green Gable'")</f>
        <v>Nyssa sylvatica 'Green Gable'</v>
      </c>
      <c r="B156" s="41">
        <f>IFERROR(__xludf.DUMMYFUNCTION("""COMPUTED_VALUE"""),5.0)</f>
        <v>5</v>
      </c>
      <c r="C156" s="41" t="str">
        <f>IFERROR(__xludf.DUMMYFUNCTION("""COMPUTED_VALUE"""),"Green Gable Black Gum")</f>
        <v>Green Gable Black Gum</v>
      </c>
      <c r="D156" s="41" t="str">
        <f>IFERROR(__xludf.DUMMYFUNCTION("""COMPUTED_VALUE"""),"#5")</f>
        <v>#5</v>
      </c>
      <c r="E156" s="43" t="str">
        <f>IFERROR(__xludf.DUMMYFUNCTION("""COMPUTED_VALUE"""),"0.5-0.5""")</f>
        <v>0.5-0.5"</v>
      </c>
      <c r="F156" s="41" t="str">
        <f>IFERROR(__xludf.DUMMYFUNCTION("""COMPUTED_VALUE"""),"3-5'")</f>
        <v>3-5'</v>
      </c>
      <c r="G156" s="44">
        <f>IFERROR(__xludf.DUMMYFUNCTION("""COMPUTED_VALUE"""),7.0)</f>
        <v>7</v>
      </c>
      <c r="H156" s="41">
        <f>IFERROR(__xludf.DUMMYFUNCTION("""COMPUTED_VALUE"""),10.0)</f>
        <v>10</v>
      </c>
      <c r="I156" s="45">
        <f>IFERROR(__xludf.DUMMYFUNCTION("""COMPUTED_VALUE"""),50.0)</f>
        <v>50</v>
      </c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 t="str">
        <f>IFERROR(__xludf.DUMMYFUNCTION("""COMPUTED_VALUE"""),"Nyssa sylvatica 'Tupelo Tower'")</f>
        <v>Nyssa sylvatica 'Tupelo Tower'</v>
      </c>
      <c r="B157" s="41">
        <f>IFERROR(__xludf.DUMMYFUNCTION("""COMPUTED_VALUE"""),5.0)</f>
        <v>5</v>
      </c>
      <c r="C157" s="41" t="str">
        <f>IFERROR(__xludf.DUMMYFUNCTION("""COMPUTED_VALUE"""),"Tupelo Tower Black Gum")</f>
        <v>Tupelo Tower Black Gum</v>
      </c>
      <c r="D157" s="41" t="str">
        <f>IFERROR(__xludf.DUMMYFUNCTION("""COMPUTED_VALUE"""),"#5")</f>
        <v>#5</v>
      </c>
      <c r="E157" s="43" t="str">
        <f>IFERROR(__xludf.DUMMYFUNCTION("""COMPUTED_VALUE"""),"0.5-0.5""")</f>
        <v>0.5-0.5"</v>
      </c>
      <c r="F157" s="41" t="str">
        <f>IFERROR(__xludf.DUMMYFUNCTION("""COMPUTED_VALUE"""),"3-5'")</f>
        <v>3-5'</v>
      </c>
      <c r="G157" s="44">
        <f>IFERROR(__xludf.DUMMYFUNCTION("""COMPUTED_VALUE"""),5.0)</f>
        <v>5</v>
      </c>
      <c r="H157" s="41">
        <f>IFERROR(__xludf.DUMMYFUNCTION("""COMPUTED_VALUE"""),0.0)</f>
        <v>0</v>
      </c>
      <c r="I157" s="45">
        <f>IFERROR(__xludf.DUMMYFUNCTION("""COMPUTED_VALUE"""),50.0)</f>
        <v>50</v>
      </c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 t="str">
        <f>IFERROR(__xludf.DUMMYFUNCTION("""COMPUTED_VALUE"""),"Nyssa sylvatica 'Wildfire'")</f>
        <v>Nyssa sylvatica 'Wildfire'</v>
      </c>
      <c r="B158" s="41">
        <f>IFERROR(__xludf.DUMMYFUNCTION("""COMPUTED_VALUE"""),5.0)</f>
        <v>5</v>
      </c>
      <c r="C158" s="41" t="str">
        <f>IFERROR(__xludf.DUMMYFUNCTION("""COMPUTED_VALUE"""),"Wildfire Black Gum")</f>
        <v>Wildfire Black Gum</v>
      </c>
      <c r="D158" s="41" t="str">
        <f>IFERROR(__xludf.DUMMYFUNCTION("""COMPUTED_VALUE"""),"#5")</f>
        <v>#5</v>
      </c>
      <c r="E158" s="43" t="str">
        <f>IFERROR(__xludf.DUMMYFUNCTION("""COMPUTED_VALUE"""),"0.5-0.5""")</f>
        <v>0.5-0.5"</v>
      </c>
      <c r="F158" s="41" t="str">
        <f>IFERROR(__xludf.DUMMYFUNCTION("""COMPUTED_VALUE"""),"4.5-4.5'")</f>
        <v>4.5-4.5'</v>
      </c>
      <c r="G158" s="44">
        <f>IFERROR(__xludf.DUMMYFUNCTION("""COMPUTED_VALUE"""),1.0)</f>
        <v>1</v>
      </c>
      <c r="H158" s="41">
        <f>IFERROR(__xludf.DUMMYFUNCTION("""COMPUTED_VALUE"""),0.0)</f>
        <v>0</v>
      </c>
      <c r="I158" s="45">
        <f>IFERROR(__xludf.DUMMYFUNCTION("""COMPUTED_VALUE"""),55.0)</f>
        <v>55</v>
      </c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 t="str">
        <f>IFERROR(__xludf.DUMMYFUNCTION("""COMPUTED_VALUE"""),"Ostrya virginiana")</f>
        <v>Ostrya virginiana</v>
      </c>
      <c r="B159" s="41">
        <f>IFERROR(__xludf.DUMMYFUNCTION("""COMPUTED_VALUE"""),5.0)</f>
        <v>5</v>
      </c>
      <c r="C159" s="41" t="str">
        <f>IFERROR(__xludf.DUMMYFUNCTION("""COMPUTED_VALUE"""),"American Hophornbeam")</f>
        <v>American Hophornbeam</v>
      </c>
      <c r="D159" s="41" t="str">
        <f>IFERROR(__xludf.DUMMYFUNCTION("""COMPUTED_VALUE"""),"#5")</f>
        <v>#5</v>
      </c>
      <c r="E159" s="43" t="str">
        <f>IFERROR(__xludf.DUMMYFUNCTION("""COMPUTED_VALUE"""),"0.125-1""")</f>
        <v>0.125-1"</v>
      </c>
      <c r="F159" s="41" t="str">
        <f>IFERROR(__xludf.DUMMYFUNCTION("""COMPUTED_VALUE"""),"2-8'")</f>
        <v>2-8'</v>
      </c>
      <c r="G159" s="44">
        <f>IFERROR(__xludf.DUMMYFUNCTION("""COMPUTED_VALUE"""),47.0)</f>
        <v>47</v>
      </c>
      <c r="H159" s="41">
        <f>IFERROR(__xludf.DUMMYFUNCTION("""COMPUTED_VALUE"""),100.0)</f>
        <v>100</v>
      </c>
      <c r="I159" s="45">
        <f>IFERROR(__xludf.DUMMYFUNCTION("""COMPUTED_VALUE"""),40.0)</f>
        <v>40</v>
      </c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 t="str">
        <f>IFERROR(__xludf.DUMMYFUNCTION("""COMPUTED_VALUE"""),"Ostrya virginiana")</f>
        <v>Ostrya virginiana</v>
      </c>
      <c r="B160" s="41">
        <f>IFERROR(__xludf.DUMMYFUNCTION("""COMPUTED_VALUE"""),15.0)</f>
        <v>15</v>
      </c>
      <c r="C160" s="41" t="str">
        <f>IFERROR(__xludf.DUMMYFUNCTION("""COMPUTED_VALUE"""),"American Hophornbeam")</f>
        <v>American Hophornbeam</v>
      </c>
      <c r="D160" s="41" t="str">
        <f>IFERROR(__xludf.DUMMYFUNCTION("""COMPUTED_VALUE"""),"#15")</f>
        <v>#15</v>
      </c>
      <c r="E160" s="43" t="str">
        <f>IFERROR(__xludf.DUMMYFUNCTION("""COMPUTED_VALUE"""),"1-1""")</f>
        <v>1-1"</v>
      </c>
      <c r="F160" s="41" t="str">
        <f>IFERROR(__xludf.DUMMYFUNCTION("""COMPUTED_VALUE"""),"10-12'")</f>
        <v>10-12'</v>
      </c>
      <c r="G160" s="44">
        <f>IFERROR(__xludf.DUMMYFUNCTION("""COMPUTED_VALUE"""),1.0)</f>
        <v>1</v>
      </c>
      <c r="H160" s="41">
        <f>IFERROR(__xludf.DUMMYFUNCTION("""COMPUTED_VALUE"""),15.0)</f>
        <v>15</v>
      </c>
      <c r="I160" s="45">
        <f>IFERROR(__xludf.DUMMYFUNCTION("""COMPUTED_VALUE"""),115.0)</f>
        <v>115</v>
      </c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 t="str">
        <f>IFERROR(__xludf.DUMMYFUNCTION("""COMPUTED_VALUE"""),"Oxydendrum arboreum")</f>
        <v>Oxydendrum arboreum</v>
      </c>
      <c r="B161" s="41">
        <f>IFERROR(__xludf.DUMMYFUNCTION("""COMPUTED_VALUE"""),5.0)</f>
        <v>5</v>
      </c>
      <c r="C161" s="41" t="str">
        <f>IFERROR(__xludf.DUMMYFUNCTION("""COMPUTED_VALUE"""),"Sourwood")</f>
        <v>Sourwood</v>
      </c>
      <c r="D161" s="41" t="str">
        <f>IFERROR(__xludf.DUMMYFUNCTION("""COMPUTED_VALUE"""),"#5")</f>
        <v>#5</v>
      </c>
      <c r="E161" s="43" t="str">
        <f>IFERROR(__xludf.DUMMYFUNCTION("""COMPUTED_VALUE"""),"Multi")</f>
        <v>Multi</v>
      </c>
      <c r="F161" s="41" t="str">
        <f>IFERROR(__xludf.DUMMYFUNCTION("""COMPUTED_VALUE"""),"1-3.5'")</f>
        <v>1-3.5'</v>
      </c>
      <c r="G161" s="41">
        <f>IFERROR(__xludf.DUMMYFUNCTION("""COMPUTED_VALUE"""),36.0)</f>
        <v>36</v>
      </c>
      <c r="H161" s="41">
        <f>IFERROR(__xludf.DUMMYFUNCTION("""COMPUTED_VALUE"""),200.0)</f>
        <v>200</v>
      </c>
      <c r="I161" s="45">
        <f>IFERROR(__xludf.DUMMYFUNCTION("""COMPUTED_VALUE"""),40.0)</f>
        <v>40</v>
      </c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 t="str">
        <f>IFERROR(__xludf.DUMMYFUNCTION("""COMPUTED_VALUE"""),"Oxydendrum arboreum")</f>
        <v>Oxydendrum arboreum</v>
      </c>
      <c r="B162" s="41">
        <f>IFERROR(__xludf.DUMMYFUNCTION("""COMPUTED_VALUE"""),7.0)</f>
        <v>7</v>
      </c>
      <c r="C162" s="41" t="str">
        <f>IFERROR(__xludf.DUMMYFUNCTION("""COMPUTED_VALUE"""),"Sourwood")</f>
        <v>Sourwood</v>
      </c>
      <c r="D162" s="41" t="str">
        <f>IFERROR(__xludf.DUMMYFUNCTION("""COMPUTED_VALUE"""),"#7")</f>
        <v>#7</v>
      </c>
      <c r="E162" s="43" t="str">
        <f>IFERROR(__xludf.DUMMYFUNCTION("""COMPUTED_VALUE"""),"Multi")</f>
        <v>Multi</v>
      </c>
      <c r="F162" s="41" t="str">
        <f>IFERROR(__xludf.DUMMYFUNCTION("""COMPUTED_VALUE"""),"1-2'")</f>
        <v>1-2'</v>
      </c>
      <c r="G162" s="44">
        <f>IFERROR(__xludf.DUMMYFUNCTION("""COMPUTED_VALUE"""),0.0)</f>
        <v>0</v>
      </c>
      <c r="H162" s="41">
        <f>IFERROR(__xludf.DUMMYFUNCTION("""COMPUTED_VALUE"""),20.0)</f>
        <v>20</v>
      </c>
      <c r="I162" s="45">
        <f>IFERROR(__xludf.DUMMYFUNCTION("""COMPUTED_VALUE"""),50.0)</f>
        <v>50</v>
      </c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 t="str">
        <f>IFERROR(__xludf.DUMMYFUNCTION("""COMPUTED_VALUE"""),"Parrotia persica")</f>
        <v>Parrotia persica</v>
      </c>
      <c r="B163" s="41">
        <f>IFERROR(__xludf.DUMMYFUNCTION("""COMPUTED_VALUE"""),5.0)</f>
        <v>5</v>
      </c>
      <c r="C163" s="41" t="str">
        <f>IFERROR(__xludf.DUMMYFUNCTION("""COMPUTED_VALUE"""),"Persian Parrotia")</f>
        <v>Persian Parrotia</v>
      </c>
      <c r="D163" s="41" t="str">
        <f>IFERROR(__xludf.DUMMYFUNCTION("""COMPUTED_VALUE"""),"#5")</f>
        <v>#5</v>
      </c>
      <c r="E163" s="43" t="str">
        <f>IFERROR(__xludf.DUMMYFUNCTION("""COMPUTED_VALUE"""),"0.25-0.5""")</f>
        <v>0.25-0.5"</v>
      </c>
      <c r="F163" s="41" t="str">
        <f>IFERROR(__xludf.DUMMYFUNCTION("""COMPUTED_VALUE"""),"1-4'")</f>
        <v>1-4'</v>
      </c>
      <c r="G163" s="44">
        <f>IFERROR(__xludf.DUMMYFUNCTION("""COMPUTED_VALUE"""),29.0)</f>
        <v>29</v>
      </c>
      <c r="H163" s="41">
        <f>IFERROR(__xludf.DUMMYFUNCTION("""COMPUTED_VALUE"""),0.0)</f>
        <v>0</v>
      </c>
      <c r="I163" s="45">
        <f>IFERROR(__xludf.DUMMYFUNCTION("""COMPUTED_VALUE"""),40.0)</f>
        <v>40</v>
      </c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 t="str">
        <f>IFERROR(__xludf.DUMMYFUNCTION("""COMPUTED_VALUE"""),"Parrotia persica")</f>
        <v>Parrotia persica</v>
      </c>
      <c r="B164" s="41">
        <f>IFERROR(__xludf.DUMMYFUNCTION("""COMPUTED_VALUE"""),15.0)</f>
        <v>15</v>
      </c>
      <c r="C164" s="41" t="str">
        <f>IFERROR(__xludf.DUMMYFUNCTION("""COMPUTED_VALUE"""),"Persian Parrotia")</f>
        <v>Persian Parrotia</v>
      </c>
      <c r="D164" s="41" t="str">
        <f>IFERROR(__xludf.DUMMYFUNCTION("""COMPUTED_VALUE"""),"#15")</f>
        <v>#15</v>
      </c>
      <c r="E164" s="43" t="str">
        <f>IFERROR(__xludf.DUMMYFUNCTION("""COMPUTED_VALUE"""),"0.75-1""")</f>
        <v>0.75-1"</v>
      </c>
      <c r="F164" s="41" t="str">
        <f>IFERROR(__xludf.DUMMYFUNCTION("""COMPUTED_VALUE"""),"5-7'")</f>
        <v>5-7'</v>
      </c>
      <c r="G164" s="44">
        <f>IFERROR(__xludf.DUMMYFUNCTION("""COMPUTED_VALUE"""),5.0)</f>
        <v>5</v>
      </c>
      <c r="H164" s="41">
        <f>IFERROR(__xludf.DUMMYFUNCTION("""COMPUTED_VALUE"""),0.0)</f>
        <v>0</v>
      </c>
      <c r="I164" s="45">
        <f>IFERROR(__xludf.DUMMYFUNCTION("""COMPUTED_VALUE"""),115.0)</f>
        <v>115</v>
      </c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 t="str">
        <f>IFERROR(__xludf.DUMMYFUNCTION("""COMPUTED_VALUE"""),"Parrotia persica")</f>
        <v>Parrotia persica</v>
      </c>
      <c r="B165" s="41">
        <f>IFERROR(__xludf.DUMMYFUNCTION("""COMPUTED_VALUE"""),25.0)</f>
        <v>25</v>
      </c>
      <c r="C165" s="41" t="str">
        <f>IFERROR(__xludf.DUMMYFUNCTION("""COMPUTED_VALUE"""),"Persian Parrotia")</f>
        <v>Persian Parrotia</v>
      </c>
      <c r="D165" s="41" t="str">
        <f>IFERROR(__xludf.DUMMYFUNCTION("""COMPUTED_VALUE"""),"#25")</f>
        <v>#25</v>
      </c>
      <c r="E165" s="43" t="str">
        <f>IFERROR(__xludf.DUMMYFUNCTION("""COMPUTED_VALUE"""),"0.75-1""")</f>
        <v>0.75-1"</v>
      </c>
      <c r="F165" s="41" t="str">
        <f>IFERROR(__xludf.DUMMYFUNCTION("""COMPUTED_VALUE"""),"7-8'")</f>
        <v>7-8'</v>
      </c>
      <c r="G165" s="44">
        <f>IFERROR(__xludf.DUMMYFUNCTION("""COMPUTED_VALUE"""),2.0)</f>
        <v>2</v>
      </c>
      <c r="H165" s="41">
        <f>IFERROR(__xludf.DUMMYFUNCTION("""COMPUTED_VALUE"""),0.0)</f>
        <v>0</v>
      </c>
      <c r="I165" s="45">
        <f>IFERROR(__xludf.DUMMYFUNCTION("""COMPUTED_VALUE"""),140.0)</f>
        <v>140</v>
      </c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 t="str">
        <f>IFERROR(__xludf.DUMMYFUNCTION("""COMPUTED_VALUE"""),"Physocarpus opulifolius")</f>
        <v>Physocarpus opulifolius</v>
      </c>
      <c r="B166" s="41">
        <f>IFERROR(__xludf.DUMMYFUNCTION("""COMPUTED_VALUE"""),5.0)</f>
        <v>5</v>
      </c>
      <c r="C166" s="41" t="str">
        <f>IFERROR(__xludf.DUMMYFUNCTION("""COMPUTED_VALUE"""),"Eastern Ninebark")</f>
        <v>Eastern Ninebark</v>
      </c>
      <c r="D166" s="41" t="str">
        <f>IFERROR(__xludf.DUMMYFUNCTION("""COMPUTED_VALUE"""),"#5")</f>
        <v>#5</v>
      </c>
      <c r="E166" s="46" t="str">
        <f>IFERROR(__xludf.DUMMYFUNCTION("""COMPUTED_VALUE"""),"Multi")</f>
        <v>Multi</v>
      </c>
      <c r="F166" s="41" t="str">
        <f>IFERROR(__xludf.DUMMYFUNCTION("""COMPUTED_VALUE"""),"4-5'")</f>
        <v>4-5'</v>
      </c>
      <c r="G166" s="44">
        <f>IFERROR(__xludf.DUMMYFUNCTION("""COMPUTED_VALUE"""),11.0)</f>
        <v>11</v>
      </c>
      <c r="H166" s="41">
        <f>IFERROR(__xludf.DUMMYFUNCTION("""COMPUTED_VALUE"""),25.0)</f>
        <v>25</v>
      </c>
      <c r="I166" s="45">
        <f>IFERROR(__xludf.DUMMYFUNCTION("""COMPUTED_VALUE"""),30.0)</f>
        <v>30</v>
      </c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 t="str">
        <f>IFERROR(__xludf.DUMMYFUNCTION("""COMPUTED_VALUE"""),"Picea abies")</f>
        <v>Picea abies</v>
      </c>
      <c r="B167" s="41">
        <f>IFERROR(__xludf.DUMMYFUNCTION("""COMPUTED_VALUE"""),5.0)</f>
        <v>5</v>
      </c>
      <c r="C167" s="41" t="str">
        <f>IFERROR(__xludf.DUMMYFUNCTION("""COMPUTED_VALUE"""),"Norway Spruce")</f>
        <v>Norway Spruce</v>
      </c>
      <c r="D167" s="41" t="str">
        <f>IFERROR(__xludf.DUMMYFUNCTION("""COMPUTED_VALUE"""),"#5")</f>
        <v>#5</v>
      </c>
      <c r="E167" s="43" t="str">
        <f>IFERROR(__xludf.DUMMYFUNCTION("""COMPUTED_VALUE"""),"0.5-0.75""")</f>
        <v>0.5-0.75"</v>
      </c>
      <c r="F167" s="41" t="str">
        <f>IFERROR(__xludf.DUMMYFUNCTION("""COMPUTED_VALUE"""),"1-3'")</f>
        <v>1-3'</v>
      </c>
      <c r="G167" s="44">
        <f>IFERROR(__xludf.DUMMYFUNCTION("""COMPUTED_VALUE"""),50.0)</f>
        <v>50</v>
      </c>
      <c r="H167" s="41">
        <f>IFERROR(__xludf.DUMMYFUNCTION("""COMPUTED_VALUE"""),0.0)</f>
        <v>0</v>
      </c>
      <c r="I167" s="45">
        <f>IFERROR(__xludf.DUMMYFUNCTION("""COMPUTED_VALUE"""),40.0)</f>
        <v>40</v>
      </c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 t="str">
        <f>IFERROR(__xludf.DUMMYFUNCTION("""COMPUTED_VALUE"""),"Picea omorika")</f>
        <v>Picea omorika</v>
      </c>
      <c r="B168" s="41">
        <f>IFERROR(__xludf.DUMMYFUNCTION("""COMPUTED_VALUE"""),5.0)</f>
        <v>5</v>
      </c>
      <c r="C168" s="41" t="str">
        <f>IFERROR(__xludf.DUMMYFUNCTION("""COMPUTED_VALUE"""),"Serbian Spruce")</f>
        <v>Serbian Spruce</v>
      </c>
      <c r="D168" s="41" t="str">
        <f>IFERROR(__xludf.DUMMYFUNCTION("""COMPUTED_VALUE"""),"#5")</f>
        <v>#5</v>
      </c>
      <c r="E168" s="43" t="str">
        <f>IFERROR(__xludf.DUMMYFUNCTION("""COMPUTED_VALUE"""),"0.5-0.75""")</f>
        <v>0.5-0.75"</v>
      </c>
      <c r="F168" s="41" t="str">
        <f>IFERROR(__xludf.DUMMYFUNCTION("""COMPUTED_VALUE"""),"3-4'")</f>
        <v>3-4'</v>
      </c>
      <c r="G168" s="44">
        <f>IFERROR(__xludf.DUMMYFUNCTION("""COMPUTED_VALUE"""),11.0)</f>
        <v>11</v>
      </c>
      <c r="H168" s="41">
        <f>IFERROR(__xludf.DUMMYFUNCTION("""COMPUTED_VALUE"""),0.0)</f>
        <v>0</v>
      </c>
      <c r="I168" s="45">
        <f>IFERROR(__xludf.DUMMYFUNCTION("""COMPUTED_VALUE"""),40.0)</f>
        <v>40</v>
      </c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 t="str">
        <f>IFERROR(__xludf.DUMMYFUNCTION("""COMPUTED_VALUE"""),"Pinus virginiana ")</f>
        <v>Pinus virginiana </v>
      </c>
      <c r="B169" s="41">
        <f>IFERROR(__xludf.DUMMYFUNCTION("""COMPUTED_VALUE"""),5.0)</f>
        <v>5</v>
      </c>
      <c r="C169" s="41" t="str">
        <f>IFERROR(__xludf.DUMMYFUNCTION("""COMPUTED_VALUE"""),"Virginia Pine")</f>
        <v>Virginia Pine</v>
      </c>
      <c r="D169" s="41" t="str">
        <f>IFERROR(__xludf.DUMMYFUNCTION("""COMPUTED_VALUE"""),"#5")</f>
        <v>#5</v>
      </c>
      <c r="E169" s="43" t="str">
        <f>IFERROR(__xludf.DUMMYFUNCTION("""COMPUTED_VALUE"""),"0-0""")</f>
        <v>0-0"</v>
      </c>
      <c r="F169" s="41" t="str">
        <f>IFERROR(__xludf.DUMMYFUNCTION("""COMPUTED_VALUE"""),"0-0'")</f>
        <v>0-0'</v>
      </c>
      <c r="G169" s="41">
        <f>IFERROR(__xludf.DUMMYFUNCTION("""COMPUTED_VALUE"""),28.0)</f>
        <v>28</v>
      </c>
      <c r="H169" s="41">
        <f>IFERROR(__xludf.DUMMYFUNCTION("""COMPUTED_VALUE"""),12.5)</f>
        <v>12.5</v>
      </c>
      <c r="I169" s="45">
        <f>IFERROR(__xludf.DUMMYFUNCTION("""COMPUTED_VALUE"""),40.0)</f>
        <v>40</v>
      </c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 t="str">
        <f>IFERROR(__xludf.DUMMYFUNCTION("""COMPUTED_VALUE"""),"Pinus virginiana ")</f>
        <v>Pinus virginiana </v>
      </c>
      <c r="B170" s="41">
        <f>IFERROR(__xludf.DUMMYFUNCTION("""COMPUTED_VALUE"""),5.0)</f>
        <v>5</v>
      </c>
      <c r="C170" s="41" t="str">
        <f>IFERROR(__xludf.DUMMYFUNCTION("""COMPUTED_VALUE"""),"Virginia Pine")</f>
        <v>Virginia Pine</v>
      </c>
      <c r="D170" s="41" t="str">
        <f>IFERROR(__xludf.DUMMYFUNCTION("""COMPUTED_VALUE"""),"#5")</f>
        <v>#5</v>
      </c>
      <c r="E170" s="43" t="str">
        <f>IFERROR(__xludf.DUMMYFUNCTION("""COMPUTED_VALUE"""),"0.25-0.5""")</f>
        <v>0.25-0.5"</v>
      </c>
      <c r="F170" s="41" t="str">
        <f>IFERROR(__xludf.DUMMYFUNCTION("""COMPUTED_VALUE"""),"1-2'")</f>
        <v>1-2'</v>
      </c>
      <c r="G170" s="44">
        <f>IFERROR(__xludf.DUMMYFUNCTION("""COMPUTED_VALUE"""),0.0)</f>
        <v>0</v>
      </c>
      <c r="H170" s="41">
        <f>IFERROR(__xludf.DUMMYFUNCTION("""COMPUTED_VALUE"""),12.5)</f>
        <v>12.5</v>
      </c>
      <c r="I170" s="45">
        <f>IFERROR(__xludf.DUMMYFUNCTION("""COMPUTED_VALUE"""),40.0)</f>
        <v>40</v>
      </c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 t="str">
        <f>IFERROR(__xludf.DUMMYFUNCTION("""COMPUTED_VALUE"""),"Plantus occidentalis")</f>
        <v>Plantus occidentalis</v>
      </c>
      <c r="B171" s="41">
        <f>IFERROR(__xludf.DUMMYFUNCTION("""COMPUTED_VALUE"""),15.0)</f>
        <v>15</v>
      </c>
      <c r="C171" s="41" t="str">
        <f>IFERROR(__xludf.DUMMYFUNCTION("""COMPUTED_VALUE"""),"American Sycamore")</f>
        <v>American Sycamore</v>
      </c>
      <c r="D171" s="41" t="str">
        <f>IFERROR(__xludf.DUMMYFUNCTION("""COMPUTED_VALUE"""),"#15")</f>
        <v>#15</v>
      </c>
      <c r="E171" s="43" t="str">
        <f>IFERROR(__xludf.DUMMYFUNCTION("""COMPUTED_VALUE"""),"0-1.5""")</f>
        <v>0-1.5"</v>
      </c>
      <c r="F171" s="41" t="str">
        <f>IFERROR(__xludf.DUMMYFUNCTION("""COMPUTED_VALUE"""),"0-1'")</f>
        <v>0-1'</v>
      </c>
      <c r="G171" s="44">
        <f>IFERROR(__xludf.DUMMYFUNCTION("""COMPUTED_VALUE"""),0.0)</f>
        <v>0</v>
      </c>
      <c r="H171" s="41">
        <f>IFERROR(__xludf.DUMMYFUNCTION("""COMPUTED_VALUE"""),3.0)</f>
        <v>3</v>
      </c>
      <c r="I171" s="45">
        <f>IFERROR(__xludf.DUMMYFUNCTION("""COMPUTED_VALUE"""),120.0)</f>
        <v>120</v>
      </c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 t="str">
        <f>IFERROR(__xludf.DUMMYFUNCTION("""COMPUTED_VALUE"""),"Platanus occidentalis")</f>
        <v>Platanus occidentalis</v>
      </c>
      <c r="B172" s="41">
        <f>IFERROR(__xludf.DUMMYFUNCTION("""COMPUTED_VALUE"""),5.0)</f>
        <v>5</v>
      </c>
      <c r="C172" s="41" t="str">
        <f>IFERROR(__xludf.DUMMYFUNCTION("""COMPUTED_VALUE"""),"American Sycamore")</f>
        <v>American Sycamore</v>
      </c>
      <c r="D172" s="41" t="str">
        <f>IFERROR(__xludf.DUMMYFUNCTION("""COMPUTED_VALUE"""),"#5")</f>
        <v>#5</v>
      </c>
      <c r="E172" s="43" t="str">
        <f>IFERROR(__xludf.DUMMYFUNCTION("""COMPUTED_VALUE"""),"0-1.25""")</f>
        <v>0-1.25"</v>
      </c>
      <c r="F172" s="41" t="str">
        <f>IFERROR(__xludf.DUMMYFUNCTION("""COMPUTED_VALUE"""),"0-9'")</f>
        <v>0-9'</v>
      </c>
      <c r="G172" s="44">
        <f>IFERROR(__xludf.DUMMYFUNCTION("""COMPUTED_VALUE"""),0.0)</f>
        <v>0</v>
      </c>
      <c r="H172" s="41">
        <f>IFERROR(__xludf.DUMMYFUNCTION("""COMPUTED_VALUE"""),320.0)</f>
        <v>320</v>
      </c>
      <c r="I172" s="45">
        <f>IFERROR(__xludf.DUMMYFUNCTION("""COMPUTED_VALUE"""),45.0)</f>
        <v>45</v>
      </c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 t="str">
        <f>IFERROR(__xludf.DUMMYFUNCTION("""COMPUTED_VALUE"""),"Platanus occidentalis")</f>
        <v>Platanus occidentalis</v>
      </c>
      <c r="B173" s="41">
        <f>IFERROR(__xludf.DUMMYFUNCTION("""COMPUTED_VALUE"""),10.0)</f>
        <v>10</v>
      </c>
      <c r="C173" s="41" t="str">
        <f>IFERROR(__xludf.DUMMYFUNCTION("""COMPUTED_VALUE"""),"American Sycamore")</f>
        <v>American Sycamore</v>
      </c>
      <c r="D173" s="41" t="str">
        <f>IFERROR(__xludf.DUMMYFUNCTION("""COMPUTED_VALUE"""),"#10")</f>
        <v>#10</v>
      </c>
      <c r="E173" s="43" t="str">
        <f>IFERROR(__xludf.DUMMYFUNCTION("""COMPUTED_VALUE"""),"1-1""")</f>
        <v>1-1"</v>
      </c>
      <c r="F173" s="41" t="str">
        <f>IFERROR(__xludf.DUMMYFUNCTION("""COMPUTED_VALUE"""),"5-6'")</f>
        <v>5-6'</v>
      </c>
      <c r="G173" s="44">
        <f>IFERROR(__xludf.DUMMYFUNCTION("""COMPUTED_VALUE"""),0.0)</f>
        <v>0</v>
      </c>
      <c r="H173" s="41">
        <f>IFERROR(__xludf.DUMMYFUNCTION("""COMPUTED_VALUE"""),20.0)</f>
        <v>20</v>
      </c>
      <c r="I173" s="45">
        <f>IFERROR(__xludf.DUMMYFUNCTION("""COMPUTED_VALUE"""),90.0)</f>
        <v>90</v>
      </c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 t="str">
        <f>IFERROR(__xludf.DUMMYFUNCTION("""COMPUTED_VALUE"""),"Platanus occidentalis")</f>
        <v>Platanus occidentalis</v>
      </c>
      <c r="B174" s="41">
        <f>IFERROR(__xludf.DUMMYFUNCTION("""COMPUTED_VALUE"""),15.0)</f>
        <v>15</v>
      </c>
      <c r="C174" s="41" t="str">
        <f>IFERROR(__xludf.DUMMYFUNCTION("""COMPUTED_VALUE"""),"American Sycamore")</f>
        <v>American Sycamore</v>
      </c>
      <c r="D174" s="41" t="str">
        <f>IFERROR(__xludf.DUMMYFUNCTION("""COMPUTED_VALUE"""),"#25")</f>
        <v>#25</v>
      </c>
      <c r="E174" s="43" t="str">
        <f>IFERROR(__xludf.DUMMYFUNCTION("""COMPUTED_VALUE"""),"0-1.5""")</f>
        <v>0-1.5"</v>
      </c>
      <c r="F174" s="41" t="str">
        <f>IFERROR(__xludf.DUMMYFUNCTION("""COMPUTED_VALUE"""),"0-1'")</f>
        <v>0-1'</v>
      </c>
      <c r="G174" s="44">
        <f>IFERROR(__xludf.DUMMYFUNCTION("""COMPUTED_VALUE"""),0.0)</f>
        <v>0</v>
      </c>
      <c r="H174" s="41">
        <f>IFERROR(__xludf.DUMMYFUNCTION("""COMPUTED_VALUE"""),3.0)</f>
        <v>3</v>
      </c>
      <c r="I174" s="45">
        <f>IFERROR(__xludf.DUMMYFUNCTION("""COMPUTED_VALUE"""),120.0)</f>
        <v>120</v>
      </c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 t="str">
        <f>IFERROR(__xludf.DUMMYFUNCTION("""COMPUTED_VALUE"""),"Platanus x acerifolia 'Bloodgood'")</f>
        <v>Platanus x acerifolia 'Bloodgood'</v>
      </c>
      <c r="B175" s="41">
        <f>IFERROR(__xludf.DUMMYFUNCTION("""COMPUTED_VALUE"""),5.0)</f>
        <v>5</v>
      </c>
      <c r="C175" s="41" t="str">
        <f>IFERROR(__xludf.DUMMYFUNCTION("""COMPUTED_VALUE"""),"Bloodgood London Plane Tree")</f>
        <v>Bloodgood London Plane Tree</v>
      </c>
      <c r="D175" s="41" t="str">
        <f>IFERROR(__xludf.DUMMYFUNCTION("""COMPUTED_VALUE"""),"#5")</f>
        <v>#5</v>
      </c>
      <c r="E175" s="43" t="str">
        <f>IFERROR(__xludf.DUMMYFUNCTION("""COMPUTED_VALUE"""),"0.75-1""")</f>
        <v>0.75-1"</v>
      </c>
      <c r="F175" s="41" t="str">
        <f>IFERROR(__xludf.DUMMYFUNCTION("""COMPUTED_VALUE"""),"8-10'")</f>
        <v>8-10'</v>
      </c>
      <c r="G175" s="44">
        <f>IFERROR(__xludf.DUMMYFUNCTION("""COMPUTED_VALUE"""),74.0)</f>
        <v>74</v>
      </c>
      <c r="H175" s="41">
        <f>IFERROR(__xludf.DUMMYFUNCTION("""COMPUTED_VALUE"""),0.0)</f>
        <v>0</v>
      </c>
      <c r="I175" s="45">
        <f>IFERROR(__xludf.DUMMYFUNCTION("""COMPUTED_VALUE"""),45.0)</f>
        <v>45</v>
      </c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 t="str">
        <f>IFERROR(__xludf.DUMMYFUNCTION("""COMPUTED_VALUE"""),"Platanus x acerifolia 'Exclamation'")</f>
        <v>Platanus x acerifolia 'Exclamation'</v>
      </c>
      <c r="B176" s="41">
        <f>IFERROR(__xludf.DUMMYFUNCTION("""COMPUTED_VALUE"""),5.0)</f>
        <v>5</v>
      </c>
      <c r="C176" s="41" t="str">
        <f>IFERROR(__xludf.DUMMYFUNCTION("""COMPUTED_VALUE"""),"Exclamation London Plane Tree")</f>
        <v>Exclamation London Plane Tree</v>
      </c>
      <c r="D176" s="41" t="str">
        <f>IFERROR(__xludf.DUMMYFUNCTION("""COMPUTED_VALUE"""),"#5")</f>
        <v>#5</v>
      </c>
      <c r="E176" s="43" t="str">
        <f>IFERROR(__xludf.DUMMYFUNCTION("""COMPUTED_VALUE"""),"0.25-0.5""")</f>
        <v>0.25-0.5"</v>
      </c>
      <c r="F176" s="41" t="str">
        <f>IFERROR(__xludf.DUMMYFUNCTION("""COMPUTED_VALUE"""),"3-4'")</f>
        <v>3-4'</v>
      </c>
      <c r="G176" s="44">
        <f>IFERROR(__xludf.DUMMYFUNCTION("""COMPUTED_VALUE"""),0.0)</f>
        <v>0</v>
      </c>
      <c r="H176" s="41">
        <f>IFERROR(__xludf.DUMMYFUNCTION("""COMPUTED_VALUE"""),45.0)</f>
        <v>45</v>
      </c>
      <c r="I176" s="45">
        <f>IFERROR(__xludf.DUMMYFUNCTION("""COMPUTED_VALUE"""),40.0)</f>
        <v>40</v>
      </c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 t="str">
        <f>IFERROR(__xludf.DUMMYFUNCTION("""COMPUTED_VALUE"""),"Platanus x acerifolia 'Exclamation'")</f>
        <v>Platanus x acerifolia 'Exclamation'</v>
      </c>
      <c r="B177" s="41">
        <f>IFERROR(__xludf.DUMMYFUNCTION("""COMPUTED_VALUE"""),15.0)</f>
        <v>15</v>
      </c>
      <c r="C177" s="41" t="str">
        <f>IFERROR(__xludf.DUMMYFUNCTION("""COMPUTED_VALUE"""),"Exclamation London Plane Tree")</f>
        <v>Exclamation London Plane Tree</v>
      </c>
      <c r="D177" s="41" t="str">
        <f>IFERROR(__xludf.DUMMYFUNCTION("""COMPUTED_VALUE"""),"#15")</f>
        <v>#15</v>
      </c>
      <c r="E177" s="43" t="str">
        <f>IFERROR(__xludf.DUMMYFUNCTION("""COMPUTED_VALUE"""),"1-1.25""")</f>
        <v>1-1.25"</v>
      </c>
      <c r="F177" s="41" t="str">
        <f>IFERROR(__xludf.DUMMYFUNCTION("""COMPUTED_VALUE"""),"9-12'")</f>
        <v>9-12'</v>
      </c>
      <c r="G177" s="44">
        <f>IFERROR(__xludf.DUMMYFUNCTION("""COMPUTED_VALUE"""),2.0)</f>
        <v>2</v>
      </c>
      <c r="H177" s="41">
        <f>IFERROR(__xludf.DUMMYFUNCTION("""COMPUTED_VALUE"""),20.0)</f>
        <v>20</v>
      </c>
      <c r="I177" s="45">
        <f>IFERROR(__xludf.DUMMYFUNCTION("""COMPUTED_VALUE"""),115.0)</f>
        <v>115</v>
      </c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 t="str">
        <f>IFERROR(__xludf.DUMMYFUNCTION("""COMPUTED_VALUE"""),"Populus tremuloides")</f>
        <v>Populus tremuloides</v>
      </c>
      <c r="B178" s="41">
        <f>IFERROR(__xludf.DUMMYFUNCTION("""COMPUTED_VALUE"""),15.0)</f>
        <v>15</v>
      </c>
      <c r="C178" s="41" t="str">
        <f>IFERROR(__xludf.DUMMYFUNCTION("""COMPUTED_VALUE"""),"Quaking Aspen")</f>
        <v>Quaking Aspen</v>
      </c>
      <c r="D178" s="41" t="str">
        <f>IFERROR(__xludf.DUMMYFUNCTION("""COMPUTED_VALUE"""),"#15")</f>
        <v>#15</v>
      </c>
      <c r="E178" s="43" t="str">
        <f>IFERROR(__xludf.DUMMYFUNCTION("""COMPUTED_VALUE"""),"1-1'")</f>
        <v>1-1'</v>
      </c>
      <c r="F178" s="41" t="str">
        <f>IFERROR(__xludf.DUMMYFUNCTION("""COMPUTED_VALUE"""),"7-8'")</f>
        <v>7-8'</v>
      </c>
      <c r="G178" s="44">
        <f>IFERROR(__xludf.DUMMYFUNCTION("""COMPUTED_VALUE"""),0.0)</f>
        <v>0</v>
      </c>
      <c r="H178" s="41">
        <f>IFERROR(__xludf.DUMMYFUNCTION("""COMPUTED_VALUE"""),10.0)</f>
        <v>10</v>
      </c>
      <c r="I178" s="45">
        <f>IFERROR(__xludf.DUMMYFUNCTION("""COMPUTED_VALUE"""),115.0)</f>
        <v>115</v>
      </c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 t="str">
        <f>IFERROR(__xludf.DUMMYFUNCTION("""COMPUTED_VALUE"""),"Prunus 'Autumnalis'")</f>
        <v>Prunus 'Autumnalis'</v>
      </c>
      <c r="B179" s="41">
        <f>IFERROR(__xludf.DUMMYFUNCTION("""COMPUTED_VALUE"""),5.0)</f>
        <v>5</v>
      </c>
      <c r="C179" s="41" t="str">
        <f>IFERROR(__xludf.DUMMYFUNCTION("""COMPUTED_VALUE"""),"Autumnalis cherry")</f>
        <v>Autumnalis cherry</v>
      </c>
      <c r="D179" s="41" t="str">
        <f>IFERROR(__xludf.DUMMYFUNCTION("""COMPUTED_VALUE"""),"#5")</f>
        <v>#5</v>
      </c>
      <c r="E179" s="43" t="str">
        <f>IFERROR(__xludf.DUMMYFUNCTION("""COMPUTED_VALUE"""),"1-1.25""")</f>
        <v>1-1.25"</v>
      </c>
      <c r="F179" s="41" t="str">
        <f>IFERROR(__xludf.DUMMYFUNCTION("""COMPUTED_VALUE"""),"11-12'")</f>
        <v>11-12'</v>
      </c>
      <c r="G179" s="44">
        <f>IFERROR(__xludf.DUMMYFUNCTION("""COMPUTED_VALUE"""),3.0)</f>
        <v>3</v>
      </c>
      <c r="H179" s="41">
        <f>IFERROR(__xludf.DUMMYFUNCTION("""COMPUTED_VALUE"""),0.0)</f>
        <v>0</v>
      </c>
      <c r="I179" s="45">
        <f>IFERROR(__xludf.DUMMYFUNCTION("""COMPUTED_VALUE"""),40.0)</f>
        <v>40</v>
      </c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 t="str">
        <f>IFERROR(__xludf.DUMMYFUNCTION("""COMPUTED_VALUE"""),"Prunus 'Autumnalis'")</f>
        <v>Prunus 'Autumnalis'</v>
      </c>
      <c r="B180" s="41">
        <f>IFERROR(__xludf.DUMMYFUNCTION("""COMPUTED_VALUE"""),7.0)</f>
        <v>7</v>
      </c>
      <c r="C180" s="41" t="str">
        <f>IFERROR(__xludf.DUMMYFUNCTION("""COMPUTED_VALUE"""),"Autumnalis Cherry")</f>
        <v>Autumnalis Cherry</v>
      </c>
      <c r="D180" s="41" t="str">
        <f>IFERROR(__xludf.DUMMYFUNCTION("""COMPUTED_VALUE"""),"#7")</f>
        <v>#7</v>
      </c>
      <c r="E180" s="43" t="str">
        <f>IFERROR(__xludf.DUMMYFUNCTION("""COMPUTED_VALUE"""),"0.75-1""")</f>
        <v>0.75-1"</v>
      </c>
      <c r="F180" s="41" t="str">
        <f>IFERROR(__xludf.DUMMYFUNCTION("""COMPUTED_VALUE"""),"5-6'")</f>
        <v>5-6'</v>
      </c>
      <c r="G180" s="44">
        <f>IFERROR(__xludf.DUMMYFUNCTION("""COMPUTED_VALUE"""),0.0)</f>
        <v>0</v>
      </c>
      <c r="H180" s="41">
        <f>IFERROR(__xludf.DUMMYFUNCTION("""COMPUTED_VALUE"""),20.0)</f>
        <v>20</v>
      </c>
      <c r="I180" s="45">
        <f>IFERROR(__xludf.DUMMYFUNCTION("""COMPUTED_VALUE"""),60.0)</f>
        <v>60</v>
      </c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 t="str">
        <f>IFERROR(__xludf.DUMMYFUNCTION("""COMPUTED_VALUE"""),"Prunus 'Autumnalis'")</f>
        <v>Prunus 'Autumnalis'</v>
      </c>
      <c r="B181" s="41">
        <f>IFERROR(__xludf.DUMMYFUNCTION("""COMPUTED_VALUE"""),15.0)</f>
        <v>15</v>
      </c>
      <c r="C181" s="41" t="str">
        <f>IFERROR(__xludf.DUMMYFUNCTION("""COMPUTED_VALUE"""),"Autumnalis cherry")</f>
        <v>Autumnalis cherry</v>
      </c>
      <c r="D181" s="41" t="str">
        <f>IFERROR(__xludf.DUMMYFUNCTION("""COMPUTED_VALUE"""),"#15")</f>
        <v>#15</v>
      </c>
      <c r="E181" s="43" t="str">
        <f>IFERROR(__xludf.DUMMYFUNCTION("""COMPUTED_VALUE"""),"0-1.5""")</f>
        <v>0-1.5"</v>
      </c>
      <c r="F181" s="41" t="str">
        <f>IFERROR(__xludf.DUMMYFUNCTION("""COMPUTED_VALUE"""),"0-11'")</f>
        <v>0-11'</v>
      </c>
      <c r="G181" s="44">
        <f>IFERROR(__xludf.DUMMYFUNCTION("""COMPUTED_VALUE"""),0.0)</f>
        <v>0</v>
      </c>
      <c r="H181" s="41">
        <f>IFERROR(__xludf.DUMMYFUNCTION("""COMPUTED_VALUE"""),5.0)</f>
        <v>5</v>
      </c>
      <c r="I181" s="45">
        <f>IFERROR(__xludf.DUMMYFUNCTION("""COMPUTED_VALUE"""),115.0)</f>
        <v>115</v>
      </c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 t="str">
        <f>IFERROR(__xludf.DUMMYFUNCTION("""COMPUTED_VALUE"""),"Prunus 'Okame'")</f>
        <v>Prunus 'Okame'</v>
      </c>
      <c r="B182" s="41">
        <f>IFERROR(__xludf.DUMMYFUNCTION("""COMPUTED_VALUE"""),5.0)</f>
        <v>5</v>
      </c>
      <c r="C182" s="41" t="str">
        <f>IFERROR(__xludf.DUMMYFUNCTION("""COMPUTED_VALUE"""),"Okame Cherry")</f>
        <v>Okame Cherry</v>
      </c>
      <c r="D182" s="41" t="str">
        <f>IFERROR(__xludf.DUMMYFUNCTION("""COMPUTED_VALUE"""),"#5")</f>
        <v>#5</v>
      </c>
      <c r="E182" s="43" t="str">
        <f>IFERROR(__xludf.DUMMYFUNCTION("""COMPUTED_VALUE"""),"0.75-1""")</f>
        <v>0.75-1"</v>
      </c>
      <c r="F182" s="41" t="str">
        <f>IFERROR(__xludf.DUMMYFUNCTION("""COMPUTED_VALUE"""),"7-9'")</f>
        <v>7-9'</v>
      </c>
      <c r="G182" s="44">
        <f>IFERROR(__xludf.DUMMYFUNCTION("""COMPUTED_VALUE"""),1.0)</f>
        <v>1</v>
      </c>
      <c r="H182" s="41">
        <f>IFERROR(__xludf.DUMMYFUNCTION("""COMPUTED_VALUE"""),0.0)</f>
        <v>0</v>
      </c>
      <c r="I182" s="45">
        <f>IFERROR(__xludf.DUMMYFUNCTION("""COMPUTED_VALUE"""),40.0)</f>
        <v>40</v>
      </c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 t="str">
        <f>IFERROR(__xludf.DUMMYFUNCTION("""COMPUTED_VALUE"""),"Prunus 'Okame'")</f>
        <v>Prunus 'Okame'</v>
      </c>
      <c r="B183" s="41">
        <f>IFERROR(__xludf.DUMMYFUNCTION("""COMPUTED_VALUE"""),7.0)</f>
        <v>7</v>
      </c>
      <c r="C183" s="41" t="str">
        <f>IFERROR(__xludf.DUMMYFUNCTION("""COMPUTED_VALUE"""),"Okame Cherry")</f>
        <v>Okame Cherry</v>
      </c>
      <c r="D183" s="41" t="str">
        <f>IFERROR(__xludf.DUMMYFUNCTION("""COMPUTED_VALUE"""),"#7")</f>
        <v>#7</v>
      </c>
      <c r="E183" s="43" t="str">
        <f>IFERROR(__xludf.DUMMYFUNCTION("""COMPUTED_VALUE"""),"0.75-1""")</f>
        <v>0.75-1"</v>
      </c>
      <c r="F183" s="41" t="str">
        <f>IFERROR(__xludf.DUMMYFUNCTION("""COMPUTED_VALUE"""),"6-7'")</f>
        <v>6-7'</v>
      </c>
      <c r="G183" s="44">
        <f>IFERROR(__xludf.DUMMYFUNCTION("""COMPUTED_VALUE"""),0.0)</f>
        <v>0</v>
      </c>
      <c r="H183" s="41">
        <f>IFERROR(__xludf.DUMMYFUNCTION("""COMPUTED_VALUE"""),30.0)</f>
        <v>30</v>
      </c>
      <c r="I183" s="45">
        <f>IFERROR(__xludf.DUMMYFUNCTION("""COMPUTED_VALUE"""),60.0)</f>
        <v>60</v>
      </c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 t="str">
        <f>IFERROR(__xludf.DUMMYFUNCTION("""COMPUTED_VALUE"""),"Prunus 'Okame'")</f>
        <v>Prunus 'Okame'</v>
      </c>
      <c r="B184" s="41">
        <f>IFERROR(__xludf.DUMMYFUNCTION("""COMPUTED_VALUE"""),15.0)</f>
        <v>15</v>
      </c>
      <c r="C184" s="41" t="str">
        <f>IFERROR(__xludf.DUMMYFUNCTION("""COMPUTED_VALUE"""),"Okame Cherry")</f>
        <v>Okame Cherry</v>
      </c>
      <c r="D184" s="41" t="str">
        <f>IFERROR(__xludf.DUMMYFUNCTION("""COMPUTED_VALUE"""),"#15")</f>
        <v>#15</v>
      </c>
      <c r="E184" s="43" t="str">
        <f>IFERROR(__xludf.DUMMYFUNCTION("""COMPUTED_VALUE"""),"0-1""")</f>
        <v>0-1"</v>
      </c>
      <c r="F184" s="41" t="str">
        <f>IFERROR(__xludf.DUMMYFUNCTION("""COMPUTED_VALUE"""),"0-11'")</f>
        <v>0-11'</v>
      </c>
      <c r="G184" s="44">
        <f>IFERROR(__xludf.DUMMYFUNCTION("""COMPUTED_VALUE"""),0.0)</f>
        <v>0</v>
      </c>
      <c r="H184" s="41">
        <f>IFERROR(__xludf.DUMMYFUNCTION("""COMPUTED_VALUE"""),10.0)</f>
        <v>10</v>
      </c>
      <c r="I184" s="45">
        <f>IFERROR(__xludf.DUMMYFUNCTION("""COMPUTED_VALUE"""),115.0)</f>
        <v>115</v>
      </c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 t="str">
        <f>IFERROR(__xludf.DUMMYFUNCTION("""COMPUTED_VALUE"""),"Prunus × yedoensis")</f>
        <v>Prunus × yedoensis</v>
      </c>
      <c r="B185" s="41">
        <f>IFERROR(__xludf.DUMMYFUNCTION("""COMPUTED_VALUE"""),15.0)</f>
        <v>15</v>
      </c>
      <c r="C185" s="41" t="str">
        <f>IFERROR(__xludf.DUMMYFUNCTION("""COMPUTED_VALUE"""),"Yoshino Cherry")</f>
        <v>Yoshino Cherry</v>
      </c>
      <c r="D185" s="41" t="str">
        <f>IFERROR(__xludf.DUMMYFUNCTION("""COMPUTED_VALUE"""),"#15")</f>
        <v>#15</v>
      </c>
      <c r="E185" s="43" t="str">
        <f>IFERROR(__xludf.DUMMYFUNCTION("""COMPUTED_VALUE"""),"0-1.25""")</f>
        <v>0-1.25"</v>
      </c>
      <c r="F185" s="41" t="str">
        <f>IFERROR(__xludf.DUMMYFUNCTION("""COMPUTED_VALUE"""),"0-10'")</f>
        <v>0-10'</v>
      </c>
      <c r="G185" s="44">
        <f>IFERROR(__xludf.DUMMYFUNCTION("""COMPUTED_VALUE"""),0.0)</f>
        <v>0</v>
      </c>
      <c r="H185" s="41">
        <f>IFERROR(__xludf.DUMMYFUNCTION("""COMPUTED_VALUE"""),10.0)</f>
        <v>10</v>
      </c>
      <c r="I185" s="45">
        <f>IFERROR(__xludf.DUMMYFUNCTION("""COMPUTED_VALUE"""),115.0)</f>
        <v>115</v>
      </c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 t="str">
        <f>IFERROR(__xludf.DUMMYFUNCTION("""COMPUTED_VALUE"""),"Prunus americana")</f>
        <v>Prunus americana</v>
      </c>
      <c r="B186" s="41">
        <f>IFERROR(__xludf.DUMMYFUNCTION("""COMPUTED_VALUE"""),5.0)</f>
        <v>5</v>
      </c>
      <c r="C186" s="41" t="str">
        <f>IFERROR(__xludf.DUMMYFUNCTION("""COMPUTED_VALUE"""),"American Plum")</f>
        <v>American Plum</v>
      </c>
      <c r="D186" s="41" t="str">
        <f>IFERROR(__xludf.DUMMYFUNCTION("""COMPUTED_VALUE"""),"#5")</f>
        <v>#5</v>
      </c>
      <c r="E186" s="43" t="str">
        <f>IFERROR(__xludf.DUMMYFUNCTION("""COMPUTED_VALUE"""),"0.25-0.75""")</f>
        <v>0.25-0.75"</v>
      </c>
      <c r="F186" s="41" t="str">
        <f>IFERROR(__xludf.DUMMYFUNCTION("""COMPUTED_VALUE"""),"4-7'")</f>
        <v>4-7'</v>
      </c>
      <c r="G186" s="44">
        <f>IFERROR(__xludf.DUMMYFUNCTION("""COMPUTED_VALUE"""),16.0)</f>
        <v>16</v>
      </c>
      <c r="H186" s="41">
        <f>IFERROR(__xludf.DUMMYFUNCTION("""COMPUTED_VALUE"""),50.0)</f>
        <v>50</v>
      </c>
      <c r="I186" s="45">
        <f>IFERROR(__xludf.DUMMYFUNCTION("""COMPUTED_VALUE"""),40.0)</f>
        <v>40</v>
      </c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 t="str">
        <f>IFERROR(__xludf.DUMMYFUNCTION("""COMPUTED_VALUE"""),"Prunus cerasifera 'Thundercloud'")</f>
        <v>Prunus cerasifera 'Thundercloud'</v>
      </c>
      <c r="B187" s="41">
        <f>IFERROR(__xludf.DUMMYFUNCTION("""COMPUTED_VALUE"""),15.0)</f>
        <v>15</v>
      </c>
      <c r="C187" s="41" t="str">
        <f>IFERROR(__xludf.DUMMYFUNCTION("""COMPUTED_VALUE"""),"Thundercloud Plum")</f>
        <v>Thundercloud Plum</v>
      </c>
      <c r="D187" s="41" t="str">
        <f>IFERROR(__xludf.DUMMYFUNCTION("""COMPUTED_VALUE"""),"#15")</f>
        <v>#15</v>
      </c>
      <c r="E187" s="43" t="str">
        <f>IFERROR(__xludf.DUMMYFUNCTION("""COMPUTED_VALUE"""),"0-1.5""")</f>
        <v>0-1.5"</v>
      </c>
      <c r="F187" s="41" t="str">
        <f>IFERROR(__xludf.DUMMYFUNCTION("""COMPUTED_VALUE"""),"0-11'")</f>
        <v>0-11'</v>
      </c>
      <c r="G187" s="44">
        <f>IFERROR(__xludf.DUMMYFUNCTION("""COMPUTED_VALUE"""),0.0)</f>
        <v>0</v>
      </c>
      <c r="H187" s="41">
        <f>IFERROR(__xludf.DUMMYFUNCTION("""COMPUTED_VALUE"""),10.0)</f>
        <v>10</v>
      </c>
      <c r="I187" s="45">
        <f>IFERROR(__xludf.DUMMYFUNCTION("""COMPUTED_VALUE"""),115.0)</f>
        <v>115</v>
      </c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 t="str">
        <f>IFERROR(__xludf.DUMMYFUNCTION("""COMPUTED_VALUE"""),"Prunus serotina")</f>
        <v>Prunus serotina</v>
      </c>
      <c r="B188" s="41">
        <f>IFERROR(__xludf.DUMMYFUNCTION("""COMPUTED_VALUE"""),5.0)</f>
        <v>5</v>
      </c>
      <c r="C188" s="41" t="str">
        <f>IFERROR(__xludf.DUMMYFUNCTION("""COMPUTED_VALUE"""),"Black Cherry")</f>
        <v>Black Cherry</v>
      </c>
      <c r="D188" s="41" t="str">
        <f>IFERROR(__xludf.DUMMYFUNCTION("""COMPUTED_VALUE"""),"#5")</f>
        <v>#5</v>
      </c>
      <c r="E188" s="43" t="str">
        <f>IFERROR(__xludf.DUMMYFUNCTION("""COMPUTED_VALUE"""),"0.5-0.5""")</f>
        <v>0.5-0.5"</v>
      </c>
      <c r="F188" s="41" t="str">
        <f>IFERROR(__xludf.DUMMYFUNCTION("""COMPUTED_VALUE"""),"5-7'")</f>
        <v>5-7'</v>
      </c>
      <c r="G188" s="41">
        <f>IFERROR(__xludf.DUMMYFUNCTION("""COMPUTED_VALUE"""),2.0)</f>
        <v>2</v>
      </c>
      <c r="H188" s="41">
        <f>IFERROR(__xludf.DUMMYFUNCTION("""COMPUTED_VALUE"""),25.0)</f>
        <v>25</v>
      </c>
      <c r="I188" s="45">
        <f>IFERROR(__xludf.DUMMYFUNCTION("""COMPUTED_VALUE"""),40.0)</f>
        <v>40</v>
      </c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 t="str">
        <f>IFERROR(__xludf.DUMMYFUNCTION("""COMPUTED_VALUE"""),"Prunus serrulata 'Kwanzan'")</f>
        <v>Prunus serrulata 'Kwanzan'</v>
      </c>
      <c r="B189" s="41">
        <f>IFERROR(__xludf.DUMMYFUNCTION("""COMPUTED_VALUE"""),5.0)</f>
        <v>5</v>
      </c>
      <c r="C189" s="41" t="str">
        <f>IFERROR(__xludf.DUMMYFUNCTION("""COMPUTED_VALUE"""),"Kwanzan Cherry")</f>
        <v>Kwanzan Cherry</v>
      </c>
      <c r="D189" s="41" t="str">
        <f>IFERROR(__xludf.DUMMYFUNCTION("""COMPUTED_VALUE"""),"#5")</f>
        <v>#5</v>
      </c>
      <c r="E189" s="43" t="str">
        <f>IFERROR(__xludf.DUMMYFUNCTION("""COMPUTED_VALUE"""),"0.5-1""")</f>
        <v>0.5-1"</v>
      </c>
      <c r="F189" s="41" t="str">
        <f>IFERROR(__xludf.DUMMYFUNCTION("""COMPUTED_VALUE"""),"5-7'")</f>
        <v>5-7'</v>
      </c>
      <c r="G189" s="44">
        <f>IFERROR(__xludf.DUMMYFUNCTION("""COMPUTED_VALUE"""),5.0)</f>
        <v>5</v>
      </c>
      <c r="H189" s="41">
        <f>IFERROR(__xludf.DUMMYFUNCTION("""COMPUTED_VALUE"""),25.0)</f>
        <v>25</v>
      </c>
      <c r="I189" s="45">
        <f>IFERROR(__xludf.DUMMYFUNCTION("""COMPUTED_VALUE"""),40.0)</f>
        <v>40</v>
      </c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 t="str">
        <f>IFERROR(__xludf.DUMMYFUNCTION("""COMPUTED_VALUE"""),"Prunus serrulata 'Kwanzan'")</f>
        <v>Prunus serrulata 'Kwanzan'</v>
      </c>
      <c r="B190" s="41">
        <f>IFERROR(__xludf.DUMMYFUNCTION("""COMPUTED_VALUE"""),10.0)</f>
        <v>10</v>
      </c>
      <c r="C190" s="41" t="str">
        <f>IFERROR(__xludf.DUMMYFUNCTION("""COMPUTED_VALUE"""),"Kwanzan Cherry")</f>
        <v>Kwanzan Cherry</v>
      </c>
      <c r="D190" s="41" t="str">
        <f>IFERROR(__xludf.DUMMYFUNCTION("""COMPUTED_VALUE"""),"#10")</f>
        <v>#10</v>
      </c>
      <c r="E190" s="43" t="str">
        <f>IFERROR(__xludf.DUMMYFUNCTION("""COMPUTED_VALUE"""),"0-1.5""")</f>
        <v>0-1.5"</v>
      </c>
      <c r="F190" s="41" t="str">
        <f>IFERROR(__xludf.DUMMYFUNCTION("""COMPUTED_VALUE"""),"0-10'")</f>
        <v>0-10'</v>
      </c>
      <c r="G190" s="44">
        <f>IFERROR(__xludf.DUMMYFUNCTION("""COMPUTED_VALUE"""),0.0)</f>
        <v>0</v>
      </c>
      <c r="H190" s="41">
        <f>IFERROR(__xludf.DUMMYFUNCTION("""COMPUTED_VALUE"""),30.0)</f>
        <v>30</v>
      </c>
      <c r="I190" s="45">
        <f>IFERROR(__xludf.DUMMYFUNCTION("""COMPUTED_VALUE"""),100.0)</f>
        <v>100</v>
      </c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 t="str">
        <f>IFERROR(__xludf.DUMMYFUNCTION("""COMPUTED_VALUE"""),"Prunus serrulata 'Kwanzan'")</f>
        <v>Prunus serrulata 'Kwanzan'</v>
      </c>
      <c r="B191" s="41">
        <f>IFERROR(__xludf.DUMMYFUNCTION("""COMPUTED_VALUE"""),15.0)</f>
        <v>15</v>
      </c>
      <c r="C191" s="41" t="str">
        <f>IFERROR(__xludf.DUMMYFUNCTION("""COMPUTED_VALUE"""),"Kwanzan Cherry")</f>
        <v>Kwanzan Cherry</v>
      </c>
      <c r="D191" s="41" t="str">
        <f>IFERROR(__xludf.DUMMYFUNCTION("""COMPUTED_VALUE"""),"#15")</f>
        <v>#15</v>
      </c>
      <c r="E191" s="43" t="str">
        <f>IFERROR(__xludf.DUMMYFUNCTION("""COMPUTED_VALUE"""),"1-1""")</f>
        <v>1-1"</v>
      </c>
      <c r="F191" s="41" t="str">
        <f>IFERROR(__xludf.DUMMYFUNCTION("""COMPUTED_VALUE"""),"8-9'")</f>
        <v>8-9'</v>
      </c>
      <c r="G191" s="44">
        <f>IFERROR(__xludf.DUMMYFUNCTION("""COMPUTED_VALUE"""),0.0)</f>
        <v>0</v>
      </c>
      <c r="H191" s="41">
        <f>IFERROR(__xludf.DUMMYFUNCTION("""COMPUTED_VALUE"""),20.0)</f>
        <v>20</v>
      </c>
      <c r="I191" s="45">
        <f>IFERROR(__xludf.DUMMYFUNCTION("""COMPUTED_VALUE"""),115.0)</f>
        <v>115</v>
      </c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 t="str">
        <f>IFERROR(__xludf.DUMMYFUNCTION("""COMPUTED_VALUE"""),"Prunus subhirtella 'Snow Fountains'")</f>
        <v>Prunus subhirtella 'Snow Fountains'</v>
      </c>
      <c r="B192" s="41">
        <f>IFERROR(__xludf.DUMMYFUNCTION("""COMPUTED_VALUE"""),15.0)</f>
        <v>15</v>
      </c>
      <c r="C192" s="41" t="str">
        <f>IFERROR(__xludf.DUMMYFUNCTION("""COMPUTED_VALUE"""),"Snow Fountains Cherry")</f>
        <v>Snow Fountains Cherry</v>
      </c>
      <c r="D192" s="41" t="str">
        <f>IFERROR(__xludf.DUMMYFUNCTION("""COMPUTED_VALUE"""),"#15")</f>
        <v>#15</v>
      </c>
      <c r="E192" s="43" t="str">
        <f>IFERROR(__xludf.DUMMYFUNCTION("""COMPUTED_VALUE"""),"1.25-1.25""")</f>
        <v>1.25-1.25"</v>
      </c>
      <c r="F192" s="41" t="str">
        <f>IFERROR(__xludf.DUMMYFUNCTION("""COMPUTED_VALUE"""),"6.5-6.5'")</f>
        <v>6.5-6.5'</v>
      </c>
      <c r="G192" s="44">
        <f>IFERROR(__xludf.DUMMYFUNCTION("""COMPUTED_VALUE"""),2.0)</f>
        <v>2</v>
      </c>
      <c r="H192" s="41">
        <f>IFERROR(__xludf.DUMMYFUNCTION("""COMPUTED_VALUE"""),15.0)</f>
        <v>15</v>
      </c>
      <c r="I192" s="45">
        <f>IFERROR(__xludf.DUMMYFUNCTION("""COMPUTED_VALUE"""),120.0)</f>
        <v>120</v>
      </c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 t="str">
        <f>IFERROR(__xludf.DUMMYFUNCTION("""COMPUTED_VALUE"""),"Prunus subhirtella 'Snow Goose'")</f>
        <v>Prunus subhirtella 'Snow Goose'</v>
      </c>
      <c r="B193" s="41">
        <f>IFERROR(__xludf.DUMMYFUNCTION("""COMPUTED_VALUE"""),25.0)</f>
        <v>25</v>
      </c>
      <c r="C193" s="41" t="str">
        <f>IFERROR(__xludf.DUMMYFUNCTION("""COMPUTED_VALUE"""),"Snow Goose Cherry")</f>
        <v>Snow Goose Cherry</v>
      </c>
      <c r="D193" s="41" t="str">
        <f>IFERROR(__xludf.DUMMYFUNCTION("""COMPUTED_VALUE"""),"#25")</f>
        <v>#25</v>
      </c>
      <c r="E193" s="43" t="str">
        <f>IFERROR(__xludf.DUMMYFUNCTION("""COMPUTED_VALUE"""),"1.25-1.25""")</f>
        <v>1.25-1.25"</v>
      </c>
      <c r="F193" s="41" t="str">
        <f>IFERROR(__xludf.DUMMYFUNCTION("""COMPUTED_VALUE"""),"9-10'")</f>
        <v>9-10'</v>
      </c>
      <c r="G193" s="44">
        <f>IFERROR(__xludf.DUMMYFUNCTION("""COMPUTED_VALUE"""),1.0)</f>
        <v>1</v>
      </c>
      <c r="H193" s="41">
        <f>IFERROR(__xludf.DUMMYFUNCTION("""COMPUTED_VALUE"""),0.0)</f>
        <v>0</v>
      </c>
      <c r="I193" s="45">
        <f>IFERROR(__xludf.DUMMYFUNCTION("""COMPUTED_VALUE"""),140.0)</f>
        <v>140</v>
      </c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 t="str">
        <f>IFERROR(__xludf.DUMMYFUNCTION("""COMPUTED_VALUE"""),"Prunus subhirtella ""Pendula plena rosea""")</f>
        <v>Prunus subhirtella "Pendula plena rosea"</v>
      </c>
      <c r="B194" s="41">
        <f>IFERROR(__xludf.DUMMYFUNCTION("""COMPUTED_VALUE"""),15.0)</f>
        <v>15</v>
      </c>
      <c r="C194" s="41" t="str">
        <f>IFERROR(__xludf.DUMMYFUNCTION("""COMPUTED_VALUE"""),"Double Pink Weeping Cherry")</f>
        <v>Double Pink Weeping Cherry</v>
      </c>
      <c r="D194" s="41" t="str">
        <f>IFERROR(__xludf.DUMMYFUNCTION("""COMPUTED_VALUE"""),"#15")</f>
        <v>#15</v>
      </c>
      <c r="E194" s="43" t="str">
        <f>IFERROR(__xludf.DUMMYFUNCTION("""COMPUTED_VALUE"""),"0-1.5""")</f>
        <v>0-1.5"</v>
      </c>
      <c r="F194" s="41" t="str">
        <f>IFERROR(__xludf.DUMMYFUNCTION("""COMPUTED_VALUE"""),"0-6.5'")</f>
        <v>0-6.5'</v>
      </c>
      <c r="G194" s="44">
        <f>IFERROR(__xludf.DUMMYFUNCTION("""COMPUTED_VALUE"""),0.0)</f>
        <v>0</v>
      </c>
      <c r="H194" s="41">
        <f>IFERROR(__xludf.DUMMYFUNCTION("""COMPUTED_VALUE"""),15.0)</f>
        <v>15</v>
      </c>
      <c r="I194" s="45">
        <f>IFERROR(__xludf.DUMMYFUNCTION("""COMPUTED_VALUE"""),120.0)</f>
        <v>120</v>
      </c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 t="str">
        <f>IFERROR(__xludf.DUMMYFUNCTION("""COMPUTED_VALUE"""),"Prunus virginiana")</f>
        <v>Prunus virginiana</v>
      </c>
      <c r="B195" s="41">
        <f>IFERROR(__xludf.DUMMYFUNCTION("""COMPUTED_VALUE"""),5.0)</f>
        <v>5</v>
      </c>
      <c r="C195" s="41" t="str">
        <f>IFERROR(__xludf.DUMMYFUNCTION("""COMPUTED_VALUE"""),"Chokecherry")</f>
        <v>Chokecherry</v>
      </c>
      <c r="D195" s="41" t="str">
        <f>IFERROR(__xludf.DUMMYFUNCTION("""COMPUTED_VALUE"""),"#5")</f>
        <v>#5</v>
      </c>
      <c r="E195" s="46" t="str">
        <f>IFERROR(__xludf.DUMMYFUNCTION("""COMPUTED_VALUE"""),"Multi")</f>
        <v>Multi</v>
      </c>
      <c r="F195" s="41" t="str">
        <f>IFERROR(__xludf.DUMMYFUNCTION("""COMPUTED_VALUE"""),"1-6.5'")</f>
        <v>1-6.5'</v>
      </c>
      <c r="G195" s="44">
        <f>IFERROR(__xludf.DUMMYFUNCTION("""COMPUTED_VALUE"""),11.0)</f>
        <v>11</v>
      </c>
      <c r="H195" s="41">
        <f>IFERROR(__xludf.DUMMYFUNCTION("""COMPUTED_VALUE"""),5.0)</f>
        <v>5</v>
      </c>
      <c r="I195" s="45">
        <f>IFERROR(__xludf.DUMMYFUNCTION("""COMPUTED_VALUE"""),32.0)</f>
        <v>32</v>
      </c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 t="str">
        <f>IFERROR(__xludf.DUMMYFUNCTION("""COMPUTED_VALUE"""),"Prunus x cistena")</f>
        <v>Prunus x cistena</v>
      </c>
      <c r="B196" s="41">
        <f>IFERROR(__xludf.DUMMYFUNCTION("""COMPUTED_VALUE"""),5.0)</f>
        <v>5</v>
      </c>
      <c r="C196" s="41" t="str">
        <f>IFERROR(__xludf.DUMMYFUNCTION("""COMPUTED_VALUE"""),"Purple Sand Cherry")</f>
        <v>Purple Sand Cherry</v>
      </c>
      <c r="D196" s="41" t="str">
        <f>IFERROR(__xludf.DUMMYFUNCTION("""COMPUTED_VALUE"""),"#5")</f>
        <v>#5</v>
      </c>
      <c r="E196" s="46" t="str">
        <f>IFERROR(__xludf.DUMMYFUNCTION("""COMPUTED_VALUE"""),"Multi")</f>
        <v>Multi</v>
      </c>
      <c r="F196" s="41" t="str">
        <f>IFERROR(__xludf.DUMMYFUNCTION("""COMPUTED_VALUE"""),"4-5'")</f>
        <v>4-5'</v>
      </c>
      <c r="G196" s="44">
        <f>IFERROR(__xludf.DUMMYFUNCTION("""COMPUTED_VALUE"""),2.0)</f>
        <v>2</v>
      </c>
      <c r="H196" s="41">
        <f>IFERROR(__xludf.DUMMYFUNCTION("""COMPUTED_VALUE"""),0.0)</f>
        <v>0</v>
      </c>
      <c r="I196" s="45">
        <f>IFERROR(__xludf.DUMMYFUNCTION("""COMPUTED_VALUE"""),40.0)</f>
        <v>40</v>
      </c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 t="str">
        <f>IFERROR(__xludf.DUMMYFUNCTION("""COMPUTED_VALUE"""),"Quercus 'Kindred Spirit'")</f>
        <v>Quercus 'Kindred Spirit'</v>
      </c>
      <c r="B197" s="41">
        <f>IFERROR(__xludf.DUMMYFUNCTION("""COMPUTED_VALUE"""),7.0)</f>
        <v>7</v>
      </c>
      <c r="C197" s="41" t="str">
        <f>IFERROR(__xludf.DUMMYFUNCTION("""COMPUTED_VALUE"""),"Kindred Spirit Oak")</f>
        <v>Kindred Spirit Oak</v>
      </c>
      <c r="D197" s="41" t="str">
        <f>IFERROR(__xludf.DUMMYFUNCTION("""COMPUTED_VALUE"""),"#7")</f>
        <v>#7</v>
      </c>
      <c r="E197" s="43" t="str">
        <f>IFERROR(__xludf.DUMMYFUNCTION("""COMPUTED_VALUE"""),"0.75-0.5""")</f>
        <v>0.75-0.5"</v>
      </c>
      <c r="F197" s="41" t="str">
        <f>IFERROR(__xludf.DUMMYFUNCTION("""COMPUTED_VALUE"""),"4-5'")</f>
        <v>4-5'</v>
      </c>
      <c r="G197" s="44">
        <f>IFERROR(__xludf.DUMMYFUNCTION("""COMPUTED_VALUE"""),8.0)</f>
        <v>8</v>
      </c>
      <c r="H197" s="41">
        <f>IFERROR(__xludf.DUMMYFUNCTION("""COMPUTED_VALUE"""),10.0)</f>
        <v>10</v>
      </c>
      <c r="I197" s="45">
        <f>IFERROR(__xludf.DUMMYFUNCTION("""COMPUTED_VALUE"""),50.0)</f>
        <v>50</v>
      </c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 t="str">
        <f>IFERROR(__xludf.DUMMYFUNCTION("""COMPUTED_VALUE"""),"Quercus alba")</f>
        <v>Quercus alba</v>
      </c>
      <c r="B198" s="41">
        <f>IFERROR(__xludf.DUMMYFUNCTION("""COMPUTED_VALUE"""),7.0)</f>
        <v>7</v>
      </c>
      <c r="C198" s="41" t="str">
        <f>IFERROR(__xludf.DUMMYFUNCTION("""COMPUTED_VALUE"""),"White Oak")</f>
        <v>White Oak</v>
      </c>
      <c r="D198" s="41" t="str">
        <f>IFERROR(__xludf.DUMMYFUNCTION("""COMPUTED_VALUE"""),"#7")</f>
        <v>#7</v>
      </c>
      <c r="E198" s="43" t="str">
        <f>IFERROR(__xludf.DUMMYFUNCTION("""COMPUTED_VALUE"""),"0.5-0.75""")</f>
        <v>0.5-0.75"</v>
      </c>
      <c r="F198" s="41" t="str">
        <f>IFERROR(__xludf.DUMMYFUNCTION("""COMPUTED_VALUE"""),"3-4'")</f>
        <v>3-4'</v>
      </c>
      <c r="G198" s="44">
        <f>IFERROR(__xludf.DUMMYFUNCTION("""COMPUTED_VALUE"""),36.0)</f>
        <v>36</v>
      </c>
      <c r="H198" s="41">
        <f>IFERROR(__xludf.DUMMYFUNCTION("""COMPUTED_VALUE"""),150.0)</f>
        <v>150</v>
      </c>
      <c r="I198" s="45">
        <f>IFERROR(__xludf.DUMMYFUNCTION("""COMPUTED_VALUE"""),55.0)</f>
        <v>55</v>
      </c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 t="str">
        <f>IFERROR(__xludf.DUMMYFUNCTION("""COMPUTED_VALUE"""),"Quercus alba")</f>
        <v>Quercus alba</v>
      </c>
      <c r="B199" s="41">
        <f>IFERROR(__xludf.DUMMYFUNCTION("""COMPUTED_VALUE"""),10.0)</f>
        <v>10</v>
      </c>
      <c r="C199" s="41" t="str">
        <f>IFERROR(__xludf.DUMMYFUNCTION("""COMPUTED_VALUE"""),"White Oak")</f>
        <v>White Oak</v>
      </c>
      <c r="D199" s="41" t="str">
        <f>IFERROR(__xludf.DUMMYFUNCTION("""COMPUTED_VALUE"""),"#10")</f>
        <v>#10</v>
      </c>
      <c r="E199" s="43" t="str">
        <f>IFERROR(__xludf.DUMMYFUNCTION("""COMPUTED_VALUE"""),"0.25-0.75""")</f>
        <v>0.25-0.75"</v>
      </c>
      <c r="F199" s="41" t="str">
        <f>IFERROR(__xludf.DUMMYFUNCTION("""COMPUTED_VALUE"""),"3-4'")</f>
        <v>3-4'</v>
      </c>
      <c r="G199" s="44">
        <f>IFERROR(__xludf.DUMMYFUNCTION("""COMPUTED_VALUE"""),0.0)</f>
        <v>0</v>
      </c>
      <c r="H199" s="41">
        <f>IFERROR(__xludf.DUMMYFUNCTION("""COMPUTED_VALUE"""),30.0)</f>
        <v>30</v>
      </c>
      <c r="I199" s="45">
        <f>IFERROR(__xludf.DUMMYFUNCTION("""COMPUTED_VALUE"""),85.0)</f>
        <v>85</v>
      </c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 t="str">
        <f>IFERROR(__xludf.DUMMYFUNCTION("""COMPUTED_VALUE"""),"Quercus alba")</f>
        <v>Quercus alba</v>
      </c>
      <c r="B200" s="41">
        <f>IFERROR(__xludf.DUMMYFUNCTION("""COMPUTED_VALUE"""),15.0)</f>
        <v>15</v>
      </c>
      <c r="C200" s="41" t="str">
        <f>IFERROR(__xludf.DUMMYFUNCTION("""COMPUTED_VALUE"""),"White Oak")</f>
        <v>White Oak</v>
      </c>
      <c r="D200" s="41" t="str">
        <f>IFERROR(__xludf.DUMMYFUNCTION("""COMPUTED_VALUE"""),"#15")</f>
        <v>#15</v>
      </c>
      <c r="E200" s="43" t="str">
        <f>IFERROR(__xludf.DUMMYFUNCTION("""COMPUTED_VALUE"""),"1-2""")</f>
        <v>1-2"</v>
      </c>
      <c r="F200" s="41" t="str">
        <f>IFERROR(__xludf.DUMMYFUNCTION("""COMPUTED_VALUE"""),"7-9'")</f>
        <v>7-9'</v>
      </c>
      <c r="G200" s="44">
        <f>IFERROR(__xludf.DUMMYFUNCTION("""COMPUTED_VALUE"""),8.0)</f>
        <v>8</v>
      </c>
      <c r="H200" s="41">
        <f>IFERROR(__xludf.DUMMYFUNCTION("""COMPUTED_VALUE"""),15.0)</f>
        <v>15</v>
      </c>
      <c r="I200" s="45">
        <f>IFERROR(__xludf.DUMMYFUNCTION("""COMPUTED_VALUE"""),140.0)</f>
        <v>140</v>
      </c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 t="str">
        <f>IFERROR(__xludf.DUMMYFUNCTION("""COMPUTED_VALUE"""),"Quercus bicolor")</f>
        <v>Quercus bicolor</v>
      </c>
      <c r="B201" s="41">
        <f>IFERROR(__xludf.DUMMYFUNCTION("""COMPUTED_VALUE"""),5.0)</f>
        <v>5</v>
      </c>
      <c r="C201" s="41" t="str">
        <f>IFERROR(__xludf.DUMMYFUNCTION("""COMPUTED_VALUE"""),"Swamp White Oak")</f>
        <v>Swamp White Oak</v>
      </c>
      <c r="D201" s="41" t="str">
        <f>IFERROR(__xludf.DUMMYFUNCTION("""COMPUTED_VALUE"""),"#5")</f>
        <v>#5</v>
      </c>
      <c r="E201" s="43" t="str">
        <f>IFERROR(__xludf.DUMMYFUNCTION("""COMPUTED_VALUE"""),"0.25-1""")</f>
        <v>0.25-1"</v>
      </c>
      <c r="F201" s="41" t="str">
        <f>IFERROR(__xludf.DUMMYFUNCTION("""COMPUTED_VALUE"""),"2-6'")</f>
        <v>2-6'</v>
      </c>
      <c r="G201" s="41">
        <f>IFERROR(__xludf.DUMMYFUNCTION("""COMPUTED_VALUE"""),94.0)</f>
        <v>94</v>
      </c>
      <c r="H201" s="41">
        <f>IFERROR(__xludf.DUMMYFUNCTION("""COMPUTED_VALUE"""),200.0)</f>
        <v>200</v>
      </c>
      <c r="I201" s="45">
        <f>IFERROR(__xludf.DUMMYFUNCTION("""COMPUTED_VALUE"""),40.0)</f>
        <v>40</v>
      </c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 t="str">
        <f>IFERROR(__xludf.DUMMYFUNCTION("""COMPUTED_VALUE"""),"Quercus bicolor")</f>
        <v>Quercus bicolor</v>
      </c>
      <c r="B202" s="41">
        <f>IFERROR(__xludf.DUMMYFUNCTION("""COMPUTED_VALUE"""),15.0)</f>
        <v>15</v>
      </c>
      <c r="C202" s="41" t="str">
        <f>IFERROR(__xludf.DUMMYFUNCTION("""COMPUTED_VALUE"""),"Swamp White Oak")</f>
        <v>Swamp White Oak</v>
      </c>
      <c r="D202" s="41" t="str">
        <f>IFERROR(__xludf.DUMMYFUNCTION("""COMPUTED_VALUE"""),"#15")</f>
        <v>#15</v>
      </c>
      <c r="E202" s="43" t="str">
        <f>IFERROR(__xludf.DUMMYFUNCTION("""COMPUTED_VALUE"""),"0-1.25""")</f>
        <v>0-1.25"</v>
      </c>
      <c r="F202" s="41" t="str">
        <f>IFERROR(__xludf.DUMMYFUNCTION("""COMPUTED_VALUE"""),"0-9'")</f>
        <v>0-9'</v>
      </c>
      <c r="G202" s="44">
        <f>IFERROR(__xludf.DUMMYFUNCTION("""COMPUTED_VALUE"""),0.0)</f>
        <v>0</v>
      </c>
      <c r="H202" s="41">
        <f>IFERROR(__xludf.DUMMYFUNCTION("""COMPUTED_VALUE"""),20.0)</f>
        <v>20</v>
      </c>
      <c r="I202" s="45">
        <f>IFERROR(__xludf.DUMMYFUNCTION("""COMPUTED_VALUE"""),115.0)</f>
        <v>115</v>
      </c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 t="str">
        <f>IFERROR(__xludf.DUMMYFUNCTION("""COMPUTED_VALUE"""),"Quercus bicolor")</f>
        <v>Quercus bicolor</v>
      </c>
      <c r="B203" s="41">
        <f>IFERROR(__xludf.DUMMYFUNCTION("""COMPUTED_VALUE"""),15.0)</f>
        <v>15</v>
      </c>
      <c r="C203" s="41" t="str">
        <f>IFERROR(__xludf.DUMMYFUNCTION("""COMPUTED_VALUE"""),"Swamp White Oak")</f>
        <v>Swamp White Oak</v>
      </c>
      <c r="D203" s="41" t="str">
        <f>IFERROR(__xludf.DUMMYFUNCTION("""COMPUTED_VALUE"""),"#15")</f>
        <v>#15</v>
      </c>
      <c r="E203" s="43" t="str">
        <f>IFERROR(__xludf.DUMMYFUNCTION("""COMPUTED_VALUE"""),"1-1""")</f>
        <v>1-1"</v>
      </c>
      <c r="F203" s="41" t="str">
        <f>IFERROR(__xludf.DUMMYFUNCTION("""COMPUTED_VALUE"""),"8-9'")</f>
        <v>8-9'</v>
      </c>
      <c r="G203" s="44">
        <f>IFERROR(__xludf.DUMMYFUNCTION("""COMPUTED_VALUE"""),0.0)</f>
        <v>0</v>
      </c>
      <c r="H203" s="41">
        <f>IFERROR(__xludf.DUMMYFUNCTION("""COMPUTED_VALUE"""),20.0)</f>
        <v>20</v>
      </c>
      <c r="I203" s="45">
        <f>IFERROR(__xludf.DUMMYFUNCTION("""COMPUTED_VALUE"""),115.0)</f>
        <v>115</v>
      </c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 t="str">
        <f>IFERROR(__xludf.DUMMYFUNCTION("""COMPUTED_VALUE"""),"Quercus bicolor")</f>
        <v>Quercus bicolor</v>
      </c>
      <c r="B204" s="41">
        <f>IFERROR(__xludf.DUMMYFUNCTION("""COMPUTED_VALUE"""),25.0)</f>
        <v>25</v>
      </c>
      <c r="C204" s="41" t="str">
        <f>IFERROR(__xludf.DUMMYFUNCTION("""COMPUTED_VALUE"""),"Swamp White Oak")</f>
        <v>Swamp White Oak</v>
      </c>
      <c r="D204" s="41" t="str">
        <f>IFERROR(__xludf.DUMMYFUNCTION("""COMPUTED_VALUE"""),"#25")</f>
        <v>#25</v>
      </c>
      <c r="E204" s="43" t="str">
        <f>IFERROR(__xludf.DUMMYFUNCTION("""COMPUTED_VALUE"""),"0-1.25""")</f>
        <v>0-1.25"</v>
      </c>
      <c r="F204" s="41" t="str">
        <f>IFERROR(__xludf.DUMMYFUNCTION("""COMPUTED_VALUE"""),"0-9'")</f>
        <v>0-9'</v>
      </c>
      <c r="G204" s="44">
        <f>IFERROR(__xludf.DUMMYFUNCTION("""COMPUTED_VALUE"""),0.0)</f>
        <v>0</v>
      </c>
      <c r="H204" s="41">
        <f>IFERROR(__xludf.DUMMYFUNCTION("""COMPUTED_VALUE"""),5.0)</f>
        <v>5</v>
      </c>
      <c r="I204" s="45">
        <f>IFERROR(__xludf.DUMMYFUNCTION("""COMPUTED_VALUE"""),140.0)</f>
        <v>140</v>
      </c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 t="str">
        <f>IFERROR(__xludf.DUMMYFUNCTION("""COMPUTED_VALUE"""),"Quercus coccinea")</f>
        <v>Quercus coccinea</v>
      </c>
      <c r="B205" s="41">
        <f>IFERROR(__xludf.DUMMYFUNCTION("""COMPUTED_VALUE"""),5.0)</f>
        <v>5</v>
      </c>
      <c r="C205" s="41" t="str">
        <f>IFERROR(__xludf.DUMMYFUNCTION("""COMPUTED_VALUE"""),"Scarlet Oak")</f>
        <v>Scarlet Oak</v>
      </c>
      <c r="D205" s="41" t="str">
        <f>IFERROR(__xludf.DUMMYFUNCTION("""COMPUTED_VALUE"""),"#5")</f>
        <v>#5</v>
      </c>
      <c r="E205" s="43" t="str">
        <f>IFERROR(__xludf.DUMMYFUNCTION("""COMPUTED_VALUE"""),"0-0.75""")</f>
        <v>0-0.75"</v>
      </c>
      <c r="F205" s="41" t="str">
        <f>IFERROR(__xludf.DUMMYFUNCTION("""COMPUTED_VALUE"""),"0-6'")</f>
        <v>0-6'</v>
      </c>
      <c r="G205" s="44">
        <f>IFERROR(__xludf.DUMMYFUNCTION("""COMPUTED_VALUE"""),0.0)</f>
        <v>0</v>
      </c>
      <c r="H205" s="41">
        <f>IFERROR(__xludf.DUMMYFUNCTION("""COMPUTED_VALUE"""),50.0)</f>
        <v>50</v>
      </c>
      <c r="I205" s="45">
        <f>IFERROR(__xludf.DUMMYFUNCTION("""COMPUTED_VALUE"""),40.0)</f>
        <v>40</v>
      </c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 t="str">
        <f>IFERROR(__xludf.DUMMYFUNCTION("""COMPUTED_VALUE"""),"Quercus coccinea")</f>
        <v>Quercus coccinea</v>
      </c>
      <c r="B206" s="41">
        <f>IFERROR(__xludf.DUMMYFUNCTION("""COMPUTED_VALUE"""),7.0)</f>
        <v>7</v>
      </c>
      <c r="C206" s="41" t="str">
        <f>IFERROR(__xludf.DUMMYFUNCTION("""COMPUTED_VALUE"""),"Scarlet Oak")</f>
        <v>Scarlet Oak</v>
      </c>
      <c r="D206" s="41" t="str">
        <f>IFERROR(__xludf.DUMMYFUNCTION("""COMPUTED_VALUE"""),"#7")</f>
        <v>#7</v>
      </c>
      <c r="E206" s="43" t="str">
        <f>IFERROR(__xludf.DUMMYFUNCTION("""COMPUTED_VALUE"""),"0.5-0.75""")</f>
        <v>0.5-0.75"</v>
      </c>
      <c r="F206" s="41" t="str">
        <f>IFERROR(__xludf.DUMMYFUNCTION("""COMPUTED_VALUE"""),"4-4'")</f>
        <v>4-4'</v>
      </c>
      <c r="G206" s="44">
        <f>IFERROR(__xludf.DUMMYFUNCTION("""COMPUTED_VALUE"""),4.0)</f>
        <v>4</v>
      </c>
      <c r="H206" s="41">
        <f>IFERROR(__xludf.DUMMYFUNCTION("""COMPUTED_VALUE"""),0.0)</f>
        <v>0</v>
      </c>
      <c r="I206" s="45">
        <f>IFERROR(__xludf.DUMMYFUNCTION("""COMPUTED_VALUE"""),55.0)</f>
        <v>55</v>
      </c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 t="str">
        <f>IFERROR(__xludf.DUMMYFUNCTION("""COMPUTED_VALUE"""),"Quercus coccinea")</f>
        <v>Quercus coccinea</v>
      </c>
      <c r="B207" s="41">
        <f>IFERROR(__xludf.DUMMYFUNCTION("""COMPUTED_VALUE"""),15.0)</f>
        <v>15</v>
      </c>
      <c r="C207" s="41" t="str">
        <f>IFERROR(__xludf.DUMMYFUNCTION("""COMPUTED_VALUE"""),"Scarlet Oak")</f>
        <v>Scarlet Oak</v>
      </c>
      <c r="D207" s="41" t="str">
        <f>IFERROR(__xludf.DUMMYFUNCTION("""COMPUTED_VALUE"""),"#15")</f>
        <v>#15</v>
      </c>
      <c r="E207" s="43" t="str">
        <f>IFERROR(__xludf.DUMMYFUNCTION("""COMPUTED_VALUE"""),"1.25-1.25""")</f>
        <v>1.25-1.25"</v>
      </c>
      <c r="F207" s="41" t="str">
        <f>IFERROR(__xludf.DUMMYFUNCTION("""COMPUTED_VALUE"""),"10-12'")</f>
        <v>10-12'</v>
      </c>
      <c r="G207" s="44">
        <f>IFERROR(__xludf.DUMMYFUNCTION("""COMPUTED_VALUE"""),1.0)</f>
        <v>1</v>
      </c>
      <c r="H207" s="41">
        <f>IFERROR(__xludf.DUMMYFUNCTION("""COMPUTED_VALUE"""),10.0)</f>
        <v>10</v>
      </c>
      <c r="I207" s="45">
        <f>IFERROR(__xludf.DUMMYFUNCTION("""COMPUTED_VALUE"""),115.0)</f>
        <v>115</v>
      </c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 t="str">
        <f>IFERROR(__xludf.DUMMYFUNCTION("""COMPUTED_VALUE"""),"Quercus imbricaria")</f>
        <v>Quercus imbricaria</v>
      </c>
      <c r="B208" s="41">
        <f>IFERROR(__xludf.DUMMYFUNCTION("""COMPUTED_VALUE"""),5.0)</f>
        <v>5</v>
      </c>
      <c r="C208" s="41" t="str">
        <f>IFERROR(__xludf.DUMMYFUNCTION("""COMPUTED_VALUE"""),"Shingle Oak")</f>
        <v>Shingle Oak</v>
      </c>
      <c r="D208" s="41" t="str">
        <f>IFERROR(__xludf.DUMMYFUNCTION("""COMPUTED_VALUE"""),"#5")</f>
        <v>#5</v>
      </c>
      <c r="E208" s="43" t="str">
        <f>IFERROR(__xludf.DUMMYFUNCTION("""COMPUTED_VALUE"""),"0.25-0.5""")</f>
        <v>0.25-0.5"</v>
      </c>
      <c r="F208" s="41" t="str">
        <f>IFERROR(__xludf.DUMMYFUNCTION("""COMPUTED_VALUE"""),"2-4'")</f>
        <v>2-4'</v>
      </c>
      <c r="G208" s="44">
        <f>IFERROR(__xludf.DUMMYFUNCTION("""COMPUTED_VALUE"""),3.0)</f>
        <v>3</v>
      </c>
      <c r="H208" s="41">
        <f>IFERROR(__xludf.DUMMYFUNCTION("""COMPUTED_VALUE"""),25.0)</f>
        <v>25</v>
      </c>
      <c r="I208" s="45">
        <f>IFERROR(__xludf.DUMMYFUNCTION("""COMPUTED_VALUE"""),40.0)</f>
        <v>40</v>
      </c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 t="str">
        <f>IFERROR(__xludf.DUMMYFUNCTION("""COMPUTED_VALUE"""),"Quercus lyrata")</f>
        <v>Quercus lyrata</v>
      </c>
      <c r="B209" s="41">
        <f>IFERROR(__xludf.DUMMYFUNCTION("""COMPUTED_VALUE"""),5.0)</f>
        <v>5</v>
      </c>
      <c r="C209" s="41" t="str">
        <f>IFERROR(__xludf.DUMMYFUNCTION("""COMPUTED_VALUE"""),"Overcup Oak")</f>
        <v>Overcup Oak</v>
      </c>
      <c r="D209" s="41" t="str">
        <f>IFERROR(__xludf.DUMMYFUNCTION("""COMPUTED_VALUE"""),"#5")</f>
        <v>#5</v>
      </c>
      <c r="E209" s="43" t="str">
        <f>IFERROR(__xludf.DUMMYFUNCTION("""COMPUTED_VALUE"""),"0.25-0.5""")</f>
        <v>0.25-0.5"</v>
      </c>
      <c r="F209" s="41" t="str">
        <f>IFERROR(__xludf.DUMMYFUNCTION("""COMPUTED_VALUE"""),"2-4'")</f>
        <v>2-4'</v>
      </c>
      <c r="G209" s="44">
        <f>IFERROR(__xludf.DUMMYFUNCTION("""COMPUTED_VALUE"""),17.0)</f>
        <v>17</v>
      </c>
      <c r="H209" s="41">
        <f>IFERROR(__xludf.DUMMYFUNCTION("""COMPUTED_VALUE"""),0.0)</f>
        <v>0</v>
      </c>
      <c r="I209" s="45">
        <f>IFERROR(__xludf.DUMMYFUNCTION("""COMPUTED_VALUE"""),40.0)</f>
        <v>40</v>
      </c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 t="str">
        <f>IFERROR(__xludf.DUMMYFUNCTION("""COMPUTED_VALUE"""),"Quercus macrocarpa")</f>
        <v>Quercus macrocarpa</v>
      </c>
      <c r="B210" s="41">
        <f>IFERROR(__xludf.DUMMYFUNCTION("""COMPUTED_VALUE"""),5.0)</f>
        <v>5</v>
      </c>
      <c r="C210" s="41" t="str">
        <f>IFERROR(__xludf.DUMMYFUNCTION("""COMPUTED_VALUE"""),"Bur Oak")</f>
        <v>Bur Oak</v>
      </c>
      <c r="D210" s="41" t="str">
        <f>IFERROR(__xludf.DUMMYFUNCTION("""COMPUTED_VALUE"""),"#5")</f>
        <v>#5</v>
      </c>
      <c r="E210" s="43" t="str">
        <f>IFERROR(__xludf.DUMMYFUNCTION("""COMPUTED_VALUE"""),"0.25-0.5""")</f>
        <v>0.25-0.5"</v>
      </c>
      <c r="F210" s="41" t="str">
        <f>IFERROR(__xludf.DUMMYFUNCTION("""COMPUTED_VALUE"""),"2-4'")</f>
        <v>2-4'</v>
      </c>
      <c r="G210" s="44">
        <f>IFERROR(__xludf.DUMMYFUNCTION("""COMPUTED_VALUE"""),155.0)</f>
        <v>155</v>
      </c>
      <c r="H210" s="41">
        <f>IFERROR(__xludf.DUMMYFUNCTION("""COMPUTED_VALUE"""),0.0)</f>
        <v>0</v>
      </c>
      <c r="I210" s="45">
        <f>IFERROR(__xludf.DUMMYFUNCTION("""COMPUTED_VALUE"""),35.0)</f>
        <v>35</v>
      </c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 t="str">
        <f>IFERROR(__xludf.DUMMYFUNCTION("""COMPUTED_VALUE"""),"Quercus macrocarpa")</f>
        <v>Quercus macrocarpa</v>
      </c>
      <c r="B211" s="41">
        <f>IFERROR(__xludf.DUMMYFUNCTION("""COMPUTED_VALUE"""),15.0)</f>
        <v>15</v>
      </c>
      <c r="C211" s="41" t="str">
        <f>IFERROR(__xludf.DUMMYFUNCTION("""COMPUTED_VALUE"""),"Bur Oak")</f>
        <v>Bur Oak</v>
      </c>
      <c r="D211" s="41" t="str">
        <f>IFERROR(__xludf.DUMMYFUNCTION("""COMPUTED_VALUE"""),"#15")</f>
        <v>#15</v>
      </c>
      <c r="E211" s="43" t="str">
        <f>IFERROR(__xludf.DUMMYFUNCTION("""COMPUTED_VALUE"""),"0.75-1""")</f>
        <v>0.75-1"</v>
      </c>
      <c r="F211" s="41" t="str">
        <f>IFERROR(__xludf.DUMMYFUNCTION("""COMPUTED_VALUE"""),"8-10'")</f>
        <v>8-10'</v>
      </c>
      <c r="G211" s="44">
        <f>IFERROR(__xludf.DUMMYFUNCTION("""COMPUTED_VALUE"""),1.0)</f>
        <v>1</v>
      </c>
      <c r="H211" s="41">
        <f>IFERROR(__xludf.DUMMYFUNCTION("""COMPUTED_VALUE"""),25.0)</f>
        <v>25</v>
      </c>
      <c r="I211" s="45">
        <f>IFERROR(__xludf.DUMMYFUNCTION("""COMPUTED_VALUE"""),115.0)</f>
        <v>115</v>
      </c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 t="str">
        <f>IFERROR(__xludf.DUMMYFUNCTION("""COMPUTED_VALUE"""),"Quercus muehlenbergii")</f>
        <v>Quercus muehlenbergii</v>
      </c>
      <c r="B212" s="41">
        <f>IFERROR(__xludf.DUMMYFUNCTION("""COMPUTED_VALUE"""),15.0)</f>
        <v>15</v>
      </c>
      <c r="C212" s="41" t="str">
        <f>IFERROR(__xludf.DUMMYFUNCTION("""COMPUTED_VALUE"""),"Chinkapin Oak")</f>
        <v>Chinkapin Oak</v>
      </c>
      <c r="D212" s="41" t="str">
        <f>IFERROR(__xludf.DUMMYFUNCTION("""COMPUTED_VALUE"""),"#15")</f>
        <v>#15</v>
      </c>
      <c r="E212" s="43" t="str">
        <f>IFERROR(__xludf.DUMMYFUNCTION("""COMPUTED_VALUE"""),"1-1""")</f>
        <v>1-1"</v>
      </c>
      <c r="F212" s="41" t="str">
        <f>IFERROR(__xludf.DUMMYFUNCTION("""COMPUTED_VALUE"""),"7-10'")</f>
        <v>7-10'</v>
      </c>
      <c r="G212" s="44">
        <f>IFERROR(__xludf.DUMMYFUNCTION("""COMPUTED_VALUE"""),4.0)</f>
        <v>4</v>
      </c>
      <c r="H212" s="41">
        <f>IFERROR(__xludf.DUMMYFUNCTION("""COMPUTED_VALUE"""),0.0)</f>
        <v>0</v>
      </c>
      <c r="I212" s="45">
        <f>IFERROR(__xludf.DUMMYFUNCTION("""COMPUTED_VALUE"""),115.0)</f>
        <v>115</v>
      </c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 t="str">
        <f>IFERROR(__xludf.DUMMYFUNCTION("""COMPUTED_VALUE"""),"Quercus muehlenbergii")</f>
        <v>Quercus muehlenbergii</v>
      </c>
      <c r="B213" s="41">
        <f>IFERROR(__xludf.DUMMYFUNCTION("""COMPUTED_VALUE"""),25.0)</f>
        <v>25</v>
      </c>
      <c r="C213" s="41" t="str">
        <f>IFERROR(__xludf.DUMMYFUNCTION("""COMPUTED_VALUE"""),"Chinkapin Oak")</f>
        <v>Chinkapin Oak</v>
      </c>
      <c r="D213" s="41" t="str">
        <f>IFERROR(__xludf.DUMMYFUNCTION("""COMPUTED_VALUE"""),"#25")</f>
        <v>#25</v>
      </c>
      <c r="E213" s="43" t="str">
        <f>IFERROR(__xludf.DUMMYFUNCTION("""COMPUTED_VALUE"""),"1-1""")</f>
        <v>1-1"</v>
      </c>
      <c r="F213" s="41" t="str">
        <f>IFERROR(__xludf.DUMMYFUNCTION("""COMPUTED_VALUE"""),"10-10'")</f>
        <v>10-10'</v>
      </c>
      <c r="G213" s="44">
        <f>IFERROR(__xludf.DUMMYFUNCTION("""COMPUTED_VALUE"""),1.0)</f>
        <v>1</v>
      </c>
      <c r="H213" s="41">
        <f>IFERROR(__xludf.DUMMYFUNCTION("""COMPUTED_VALUE"""),0.0)</f>
        <v>0</v>
      </c>
      <c r="I213" s="45">
        <f>IFERROR(__xludf.DUMMYFUNCTION("""COMPUTED_VALUE"""),140.0)</f>
        <v>140</v>
      </c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 t="str">
        <f>IFERROR(__xludf.DUMMYFUNCTION("""COMPUTED_VALUE"""),"Quercus palustris")</f>
        <v>Quercus palustris</v>
      </c>
      <c r="B214" s="41">
        <f>IFERROR(__xludf.DUMMYFUNCTION("""COMPUTED_VALUE"""),5.0)</f>
        <v>5</v>
      </c>
      <c r="C214" s="41" t="str">
        <f>IFERROR(__xludf.DUMMYFUNCTION("""COMPUTED_VALUE"""),"Pin Oak")</f>
        <v>Pin Oak</v>
      </c>
      <c r="D214" s="41" t="str">
        <f>IFERROR(__xludf.DUMMYFUNCTION("""COMPUTED_VALUE"""),"#5")</f>
        <v>#5</v>
      </c>
      <c r="E214" s="43" t="str">
        <f>IFERROR(__xludf.DUMMYFUNCTION("""COMPUTED_VALUE"""),"0-1""")</f>
        <v>0-1"</v>
      </c>
      <c r="F214" s="41" t="str">
        <f>IFERROR(__xludf.DUMMYFUNCTION("""COMPUTED_VALUE"""),"0-6'")</f>
        <v>0-6'</v>
      </c>
      <c r="G214" s="44">
        <f>IFERROR(__xludf.DUMMYFUNCTION("""COMPUTED_VALUE"""),0.0)</f>
        <v>0</v>
      </c>
      <c r="H214" s="41">
        <f>IFERROR(__xludf.DUMMYFUNCTION("""COMPUTED_VALUE"""),50.0)</f>
        <v>50</v>
      </c>
      <c r="I214" s="45">
        <f>IFERROR(__xludf.DUMMYFUNCTION("""COMPUTED_VALUE"""),40.0)</f>
        <v>40</v>
      </c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 t="str">
        <f>IFERROR(__xludf.DUMMYFUNCTION("""COMPUTED_VALUE"""),"Quercus palustris")</f>
        <v>Quercus palustris</v>
      </c>
      <c r="B215" s="41">
        <f>IFERROR(__xludf.DUMMYFUNCTION("""COMPUTED_VALUE"""),15.0)</f>
        <v>15</v>
      </c>
      <c r="C215" s="41" t="str">
        <f>IFERROR(__xludf.DUMMYFUNCTION("""COMPUTED_VALUE"""),"Pin Oak")</f>
        <v>Pin Oak</v>
      </c>
      <c r="D215" s="41" t="str">
        <f>IFERROR(__xludf.DUMMYFUNCTION("""COMPUTED_VALUE"""),"#15")</f>
        <v>#15</v>
      </c>
      <c r="E215" s="43" t="str">
        <f>IFERROR(__xludf.DUMMYFUNCTION("""COMPUTED_VALUE"""),"1-1""")</f>
        <v>1-1"</v>
      </c>
      <c r="F215" s="41" t="str">
        <f>IFERROR(__xludf.DUMMYFUNCTION("""COMPUTED_VALUE"""),"8-9'")</f>
        <v>8-9'</v>
      </c>
      <c r="G215" s="44">
        <f>IFERROR(__xludf.DUMMYFUNCTION("""COMPUTED_VALUE"""),0.0)</f>
        <v>0</v>
      </c>
      <c r="H215" s="41">
        <f>IFERROR(__xludf.DUMMYFUNCTION("""COMPUTED_VALUE"""),10.0)</f>
        <v>10</v>
      </c>
      <c r="I215" s="45">
        <f>IFERROR(__xludf.DUMMYFUNCTION("""COMPUTED_VALUE"""),115.0)</f>
        <v>115</v>
      </c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 t="str">
        <f>IFERROR(__xludf.DUMMYFUNCTION("""COMPUTED_VALUE"""),"Quercus palustris")</f>
        <v>Quercus palustris</v>
      </c>
      <c r="B216" s="41">
        <f>IFERROR(__xludf.DUMMYFUNCTION("""COMPUTED_VALUE"""),25.0)</f>
        <v>25</v>
      </c>
      <c r="C216" s="41" t="str">
        <f>IFERROR(__xludf.DUMMYFUNCTION("""COMPUTED_VALUE"""),"Pin Oak")</f>
        <v>Pin Oak</v>
      </c>
      <c r="D216" s="41" t="str">
        <f>IFERROR(__xludf.DUMMYFUNCTION("""COMPUTED_VALUE"""),"#25")</f>
        <v>#25</v>
      </c>
      <c r="E216" s="43" t="str">
        <f>IFERROR(__xludf.DUMMYFUNCTION("""COMPUTED_VALUE"""),"0-1.25""")</f>
        <v>0-1.25"</v>
      </c>
      <c r="F216" s="41" t="str">
        <f>IFERROR(__xludf.DUMMYFUNCTION("""COMPUTED_VALUE"""),"0-8'")</f>
        <v>0-8'</v>
      </c>
      <c r="G216" s="44">
        <f>IFERROR(__xludf.DUMMYFUNCTION("""COMPUTED_VALUE"""),0.0)</f>
        <v>0</v>
      </c>
      <c r="H216" s="41">
        <f>IFERROR(__xludf.DUMMYFUNCTION("""COMPUTED_VALUE"""),5.0)</f>
        <v>5</v>
      </c>
      <c r="I216" s="45">
        <f>IFERROR(__xludf.DUMMYFUNCTION("""COMPUTED_VALUE"""),140.0)</f>
        <v>140</v>
      </c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 t="str">
        <f>IFERROR(__xludf.DUMMYFUNCTION("""COMPUTED_VALUE"""),"Quercus palustris 'Green Pillar'")</f>
        <v>Quercus palustris 'Green Pillar'</v>
      </c>
      <c r="B217" s="41">
        <f>IFERROR(__xludf.DUMMYFUNCTION("""COMPUTED_VALUE"""),25.0)</f>
        <v>25</v>
      </c>
      <c r="C217" s="41" t="str">
        <f>IFERROR(__xludf.DUMMYFUNCTION("""COMPUTED_VALUE"""),"Green Pillar Pin Oak")</f>
        <v>Green Pillar Pin Oak</v>
      </c>
      <c r="D217" s="41" t="str">
        <f>IFERROR(__xludf.DUMMYFUNCTION("""COMPUTED_VALUE"""),"#25")</f>
        <v>#25</v>
      </c>
      <c r="E217" s="43" t="str">
        <f>IFERROR(__xludf.DUMMYFUNCTION("""COMPUTED_VALUE"""),"1-1.25""")</f>
        <v>1-1.25"</v>
      </c>
      <c r="F217" s="41" t="str">
        <f>IFERROR(__xludf.DUMMYFUNCTION("""COMPUTED_VALUE"""),"7-9'")</f>
        <v>7-9'</v>
      </c>
      <c r="G217" s="44">
        <f>IFERROR(__xludf.DUMMYFUNCTION("""COMPUTED_VALUE"""),7.0)</f>
        <v>7</v>
      </c>
      <c r="H217" s="41">
        <f>IFERROR(__xludf.DUMMYFUNCTION("""COMPUTED_VALUE"""),0.0)</f>
        <v>0</v>
      </c>
      <c r="I217" s="45">
        <f>IFERROR(__xludf.DUMMYFUNCTION("""COMPUTED_VALUE"""),140.0)</f>
        <v>140</v>
      </c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 t="str">
        <f>IFERROR(__xludf.DUMMYFUNCTION("""COMPUTED_VALUE"""),"Quercus phellos")</f>
        <v>Quercus phellos</v>
      </c>
      <c r="B218" s="41">
        <f>IFERROR(__xludf.DUMMYFUNCTION("""COMPUTED_VALUE"""),5.0)</f>
        <v>5</v>
      </c>
      <c r="C218" s="41" t="str">
        <f>IFERROR(__xludf.DUMMYFUNCTION("""COMPUTED_VALUE"""),"Willow Oak")</f>
        <v>Willow Oak</v>
      </c>
      <c r="D218" s="41" t="str">
        <f>IFERROR(__xludf.DUMMYFUNCTION("""COMPUTED_VALUE"""),"#5")</f>
        <v>#5</v>
      </c>
      <c r="E218" s="43" t="str">
        <f>IFERROR(__xludf.DUMMYFUNCTION("""COMPUTED_VALUE"""),"0.5-0.75""")</f>
        <v>0.5-0.75"</v>
      </c>
      <c r="F218" s="41" t="str">
        <f>IFERROR(__xludf.DUMMYFUNCTION("""COMPUTED_VALUE"""),"2-5'")</f>
        <v>2-5'</v>
      </c>
      <c r="G218" s="44">
        <f>IFERROR(__xludf.DUMMYFUNCTION("""COMPUTED_VALUE"""),83.0)</f>
        <v>83</v>
      </c>
      <c r="H218" s="41">
        <f>IFERROR(__xludf.DUMMYFUNCTION("""COMPUTED_VALUE"""),100.0)</f>
        <v>100</v>
      </c>
      <c r="I218" s="45">
        <f>IFERROR(__xludf.DUMMYFUNCTION("""COMPUTED_VALUE"""),40.0)</f>
        <v>40</v>
      </c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 t="str">
        <f>IFERROR(__xludf.DUMMYFUNCTION("""COMPUTED_VALUE"""),"Quercus prinus")</f>
        <v>Quercus prinus</v>
      </c>
      <c r="B219" s="41">
        <f>IFERROR(__xludf.DUMMYFUNCTION("""COMPUTED_VALUE"""),5.0)</f>
        <v>5</v>
      </c>
      <c r="C219" s="41" t="str">
        <f>IFERROR(__xludf.DUMMYFUNCTION("""COMPUTED_VALUE"""),"Chestnut Oak")</f>
        <v>Chestnut Oak</v>
      </c>
      <c r="D219" s="41" t="str">
        <f>IFERROR(__xludf.DUMMYFUNCTION("""COMPUTED_VALUE"""),"#5")</f>
        <v>#5</v>
      </c>
      <c r="E219" s="43" t="str">
        <f>IFERROR(__xludf.DUMMYFUNCTION("""COMPUTED_VALUE"""),"0.5-1.25""")</f>
        <v>0.5-1.25"</v>
      </c>
      <c r="F219" s="41" t="str">
        <f>IFERROR(__xludf.DUMMYFUNCTION("""COMPUTED_VALUE"""),"3-8'")</f>
        <v>3-8'</v>
      </c>
      <c r="G219" s="44">
        <f>IFERROR(__xludf.DUMMYFUNCTION("""COMPUTED_VALUE"""),60.0)</f>
        <v>60</v>
      </c>
      <c r="H219" s="41">
        <f>IFERROR(__xludf.DUMMYFUNCTION("""COMPUTED_VALUE"""),0.0)</f>
        <v>0</v>
      </c>
      <c r="I219" s="45">
        <f>IFERROR(__xludf.DUMMYFUNCTION("""COMPUTED_VALUE"""),40.0)</f>
        <v>40</v>
      </c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 t="str">
        <f>IFERROR(__xludf.DUMMYFUNCTION("""COMPUTED_VALUE"""),"Quercus rubra")</f>
        <v>Quercus rubra</v>
      </c>
      <c r="B220" s="41">
        <f>IFERROR(__xludf.DUMMYFUNCTION("""COMPUTED_VALUE"""),5.0)</f>
        <v>5</v>
      </c>
      <c r="C220" s="41" t="str">
        <f>IFERROR(__xludf.DUMMYFUNCTION("""COMPUTED_VALUE"""),"Red Oak")</f>
        <v>Red Oak</v>
      </c>
      <c r="D220" s="41" t="str">
        <f>IFERROR(__xludf.DUMMYFUNCTION("""COMPUTED_VALUE"""),"#5")</f>
        <v>#5</v>
      </c>
      <c r="E220" s="43" t="str">
        <f>IFERROR(__xludf.DUMMYFUNCTION("""COMPUTED_VALUE"""),"0.5-0.75""")</f>
        <v>0.5-0.75"</v>
      </c>
      <c r="F220" s="41" t="str">
        <f>IFERROR(__xludf.DUMMYFUNCTION("""COMPUTED_VALUE"""),"3-6'")</f>
        <v>3-6'</v>
      </c>
      <c r="G220" s="44">
        <f>IFERROR(__xludf.DUMMYFUNCTION("""COMPUTED_VALUE"""),91.0)</f>
        <v>91</v>
      </c>
      <c r="H220" s="41">
        <f>IFERROR(__xludf.DUMMYFUNCTION("""COMPUTED_VALUE"""),50.0)</f>
        <v>50</v>
      </c>
      <c r="I220" s="45">
        <f>IFERROR(__xludf.DUMMYFUNCTION("""COMPUTED_VALUE"""),40.0)</f>
        <v>40</v>
      </c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 t="str">
        <f>IFERROR(__xludf.DUMMYFUNCTION("""COMPUTED_VALUE"""),"Quercus rubra")</f>
        <v>Quercus rubra</v>
      </c>
      <c r="B221" s="41">
        <f>IFERROR(__xludf.DUMMYFUNCTION("""COMPUTED_VALUE"""),7.0)</f>
        <v>7</v>
      </c>
      <c r="C221" s="41" t="str">
        <f>IFERROR(__xludf.DUMMYFUNCTION("""COMPUTED_VALUE"""),"Red Oak")</f>
        <v>Red Oak</v>
      </c>
      <c r="D221" s="41" t="str">
        <f>IFERROR(__xludf.DUMMYFUNCTION("""COMPUTED_VALUE"""),"#7")</f>
        <v>#7</v>
      </c>
      <c r="E221" s="43" t="str">
        <f>IFERROR(__xludf.DUMMYFUNCTION("""COMPUTED_VALUE"""),"0.5-0.5""")</f>
        <v>0.5-0.5"</v>
      </c>
      <c r="F221" s="41" t="str">
        <f>IFERROR(__xludf.DUMMYFUNCTION("""COMPUTED_VALUE"""),"5-5'")</f>
        <v>5-5'</v>
      </c>
      <c r="G221" s="44">
        <f>IFERROR(__xludf.DUMMYFUNCTION("""COMPUTED_VALUE"""),3.0)</f>
        <v>3</v>
      </c>
      <c r="H221" s="41">
        <f>IFERROR(__xludf.DUMMYFUNCTION("""COMPUTED_VALUE"""),20.0)</f>
        <v>20</v>
      </c>
      <c r="I221" s="45">
        <f>IFERROR(__xludf.DUMMYFUNCTION("""COMPUTED_VALUE"""),55.0)</f>
        <v>55</v>
      </c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 t="str">
        <f>IFERROR(__xludf.DUMMYFUNCTION("""COMPUTED_VALUE"""),"Quercus rubra")</f>
        <v>Quercus rubra</v>
      </c>
      <c r="B222" s="41">
        <f>IFERROR(__xludf.DUMMYFUNCTION("""COMPUTED_VALUE"""),15.0)</f>
        <v>15</v>
      </c>
      <c r="C222" s="41" t="str">
        <f>IFERROR(__xludf.DUMMYFUNCTION("""COMPUTED_VALUE"""),"Red Oak")</f>
        <v>Red Oak</v>
      </c>
      <c r="D222" s="41" t="str">
        <f>IFERROR(__xludf.DUMMYFUNCTION("""COMPUTED_VALUE"""),"#15")</f>
        <v>#15</v>
      </c>
      <c r="E222" s="43" t="str">
        <f>IFERROR(__xludf.DUMMYFUNCTION("""COMPUTED_VALUE"""),"0-1.25""")</f>
        <v>0-1.25"</v>
      </c>
      <c r="F222" s="41" t="str">
        <f>IFERROR(__xludf.DUMMYFUNCTION("""COMPUTED_VALUE"""),"0-11'")</f>
        <v>0-11'</v>
      </c>
      <c r="G222" s="44">
        <f>IFERROR(__xludf.DUMMYFUNCTION("""COMPUTED_VALUE"""),0.0)</f>
        <v>0</v>
      </c>
      <c r="H222" s="41">
        <f>IFERROR(__xludf.DUMMYFUNCTION("""COMPUTED_VALUE"""),10.0)</f>
        <v>10</v>
      </c>
      <c r="I222" s="45">
        <f>IFERROR(__xludf.DUMMYFUNCTION("""COMPUTED_VALUE"""),115.0)</f>
        <v>115</v>
      </c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 t="str">
        <f>IFERROR(__xludf.DUMMYFUNCTION("""COMPUTED_VALUE"""),"Quercus shumardii")</f>
        <v>Quercus shumardii</v>
      </c>
      <c r="B223" s="41">
        <f>IFERROR(__xludf.DUMMYFUNCTION("""COMPUTED_VALUE"""),25.0)</f>
        <v>25</v>
      </c>
      <c r="C223" s="41" t="str">
        <f>IFERROR(__xludf.DUMMYFUNCTION("""COMPUTED_VALUE"""),"Shumard Oak")</f>
        <v>Shumard Oak</v>
      </c>
      <c r="D223" s="41" t="str">
        <f>IFERROR(__xludf.DUMMYFUNCTION("""COMPUTED_VALUE"""),"#25")</f>
        <v>#25</v>
      </c>
      <c r="E223" s="43" t="str">
        <f>IFERROR(__xludf.DUMMYFUNCTION("""COMPUTED_VALUE"""),"1-1.75""")</f>
        <v>1-1.75"</v>
      </c>
      <c r="F223" s="41" t="str">
        <f>IFERROR(__xludf.DUMMYFUNCTION("""COMPUTED_VALUE"""),"10-12'")</f>
        <v>10-12'</v>
      </c>
      <c r="G223" s="44">
        <f>IFERROR(__xludf.DUMMYFUNCTION("""COMPUTED_VALUE"""),6.0)</f>
        <v>6</v>
      </c>
      <c r="H223" s="41">
        <f>IFERROR(__xludf.DUMMYFUNCTION("""COMPUTED_VALUE"""),0.0)</f>
        <v>0</v>
      </c>
      <c r="I223" s="45">
        <f>IFERROR(__xludf.DUMMYFUNCTION("""COMPUTED_VALUE"""),140.0)</f>
        <v>140</v>
      </c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 t="str">
        <f>IFERROR(__xludf.DUMMYFUNCTION("""COMPUTED_VALUE"""),"Quercus velutina")</f>
        <v>Quercus velutina</v>
      </c>
      <c r="B224" s="41">
        <f>IFERROR(__xludf.DUMMYFUNCTION("""COMPUTED_VALUE"""),5.0)</f>
        <v>5</v>
      </c>
      <c r="C224" s="41" t="str">
        <f>IFERROR(__xludf.DUMMYFUNCTION("""COMPUTED_VALUE"""),"Black Oak")</f>
        <v>Black Oak</v>
      </c>
      <c r="D224" s="41" t="str">
        <f>IFERROR(__xludf.DUMMYFUNCTION("""COMPUTED_VALUE"""),"#5")</f>
        <v>#5</v>
      </c>
      <c r="E224" s="43" t="str">
        <f>IFERROR(__xludf.DUMMYFUNCTION("""COMPUTED_VALUE"""),"0.5-0.75""")</f>
        <v>0.5-0.75"</v>
      </c>
      <c r="F224" s="41" t="str">
        <f>IFERROR(__xludf.DUMMYFUNCTION("""COMPUTED_VALUE"""),"4-5'")</f>
        <v>4-5'</v>
      </c>
      <c r="G224" s="44">
        <f>IFERROR(__xludf.DUMMYFUNCTION("""COMPUTED_VALUE"""),5.0)</f>
        <v>5</v>
      </c>
      <c r="H224" s="41">
        <f>IFERROR(__xludf.DUMMYFUNCTION("""COMPUTED_VALUE"""),40.0)</f>
        <v>40</v>
      </c>
      <c r="I224" s="45">
        <f>IFERROR(__xludf.DUMMYFUNCTION("""COMPUTED_VALUE"""),40.0)</f>
        <v>40</v>
      </c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 t="str">
        <f>IFERROR(__xludf.DUMMYFUNCTION("""COMPUTED_VALUE"""),"Quercus velutina")</f>
        <v>Quercus velutina</v>
      </c>
      <c r="B225" s="41">
        <f>IFERROR(__xludf.DUMMYFUNCTION("""COMPUTED_VALUE"""),7.0)</f>
        <v>7</v>
      </c>
      <c r="C225" s="41" t="str">
        <f>IFERROR(__xludf.DUMMYFUNCTION("""COMPUTED_VALUE"""),"Black Oak")</f>
        <v>Black Oak</v>
      </c>
      <c r="D225" s="41" t="str">
        <f>IFERROR(__xludf.DUMMYFUNCTION("""COMPUTED_VALUE"""),"#7")</f>
        <v>#7</v>
      </c>
      <c r="E225" s="43" t="str">
        <f>IFERROR(__xludf.DUMMYFUNCTION("""COMPUTED_VALUE"""),"0.5-0.75""")</f>
        <v>0.5-0.75"</v>
      </c>
      <c r="F225" s="41" t="str">
        <f>IFERROR(__xludf.DUMMYFUNCTION("""COMPUTED_VALUE"""),"4-5'")</f>
        <v>4-5'</v>
      </c>
      <c r="G225" s="44">
        <f>IFERROR(__xludf.DUMMYFUNCTION("""COMPUTED_VALUE"""),1.0)</f>
        <v>1</v>
      </c>
      <c r="H225" s="41">
        <f>IFERROR(__xludf.DUMMYFUNCTION("""COMPUTED_VALUE"""),0.0)</f>
        <v>0</v>
      </c>
      <c r="I225" s="45">
        <f>IFERROR(__xludf.DUMMYFUNCTION("""COMPUTED_VALUE"""),55.0)</f>
        <v>55</v>
      </c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 t="str">
        <f>IFERROR(__xludf.DUMMYFUNCTION("""COMPUTED_VALUE"""),"Quercus x warei 'Regal Prince'")</f>
        <v>Quercus x warei 'Regal Prince'</v>
      </c>
      <c r="B226" s="41">
        <f>IFERROR(__xludf.DUMMYFUNCTION("""COMPUTED_VALUE"""),5.0)</f>
        <v>5</v>
      </c>
      <c r="C226" s="41" t="str">
        <f>IFERROR(__xludf.DUMMYFUNCTION("""COMPUTED_VALUE"""),"Regal Prince Oak")</f>
        <v>Regal Prince Oak</v>
      </c>
      <c r="D226" s="41" t="str">
        <f>IFERROR(__xludf.DUMMYFUNCTION("""COMPUTED_VALUE"""),"#5")</f>
        <v>#5</v>
      </c>
      <c r="E226" s="43" t="str">
        <f>IFERROR(__xludf.DUMMYFUNCTION("""COMPUTED_VALUE"""),"0.5-0.75""")</f>
        <v>0.5-0.75"</v>
      </c>
      <c r="F226" s="41" t="str">
        <f>IFERROR(__xludf.DUMMYFUNCTION("""COMPUTED_VALUE"""),"4-5'")</f>
        <v>4-5'</v>
      </c>
      <c r="G226" s="44">
        <f>IFERROR(__xludf.DUMMYFUNCTION("""COMPUTED_VALUE"""),27.0)</f>
        <v>27</v>
      </c>
      <c r="H226" s="41">
        <f>IFERROR(__xludf.DUMMYFUNCTION("""COMPUTED_VALUE"""),0.0)</f>
        <v>0</v>
      </c>
      <c r="I226" s="45">
        <f>IFERROR(__xludf.DUMMYFUNCTION("""COMPUTED_VALUE"""),45.0)</f>
        <v>45</v>
      </c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 t="str">
        <f>IFERROR(__xludf.DUMMYFUNCTION("""COMPUTED_VALUE"""),"Quercus x warei 'Regal Prince'")</f>
        <v>Quercus x warei 'Regal Prince'</v>
      </c>
      <c r="B227" s="41">
        <f>IFERROR(__xludf.DUMMYFUNCTION("""COMPUTED_VALUE"""),7.0)</f>
        <v>7</v>
      </c>
      <c r="C227" s="41" t="str">
        <f>IFERROR(__xludf.DUMMYFUNCTION("""COMPUTED_VALUE"""),"Regal Prince Oak")</f>
        <v>Regal Prince Oak</v>
      </c>
      <c r="D227" s="41" t="str">
        <f>IFERROR(__xludf.DUMMYFUNCTION("""COMPUTED_VALUE"""),"#7")</f>
        <v>#7</v>
      </c>
      <c r="E227" s="43" t="str">
        <f>IFERROR(__xludf.DUMMYFUNCTION("""COMPUTED_VALUE"""),"0.25-0.5""")</f>
        <v>0.25-0.5"</v>
      </c>
      <c r="F227" s="41" t="str">
        <f>IFERROR(__xludf.DUMMYFUNCTION("""COMPUTED_VALUE"""),"2-3'")</f>
        <v>2-3'</v>
      </c>
      <c r="G227" s="44">
        <f>IFERROR(__xludf.DUMMYFUNCTION("""COMPUTED_VALUE"""),0.0)</f>
        <v>0</v>
      </c>
      <c r="H227" s="41">
        <f>IFERROR(__xludf.DUMMYFUNCTION("""COMPUTED_VALUE"""),10.0)</f>
        <v>10</v>
      </c>
      <c r="I227" s="45">
        <f>IFERROR(__xludf.DUMMYFUNCTION("""COMPUTED_VALUE"""),55.0)</f>
        <v>55</v>
      </c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 t="str">
        <f>IFERROR(__xludf.DUMMYFUNCTION("""COMPUTED_VALUE"""),"Quercus x warei 'Regal Prince'")</f>
        <v>Quercus x warei 'Regal Prince'</v>
      </c>
      <c r="B228" s="41">
        <f>IFERROR(__xludf.DUMMYFUNCTION("""COMPUTED_VALUE"""),15.0)</f>
        <v>15</v>
      </c>
      <c r="C228" s="41" t="str">
        <f>IFERROR(__xludf.DUMMYFUNCTION("""COMPUTED_VALUE"""),"Regal Prince Oak")</f>
        <v>Regal Prince Oak</v>
      </c>
      <c r="D228" s="41" t="str">
        <f>IFERROR(__xludf.DUMMYFUNCTION("""COMPUTED_VALUE"""),"#15")</f>
        <v>#15</v>
      </c>
      <c r="E228" s="43" t="str">
        <f>IFERROR(__xludf.DUMMYFUNCTION("""COMPUTED_VALUE"""),"1-1.5""")</f>
        <v>1-1.5"</v>
      </c>
      <c r="F228" s="41" t="str">
        <f>IFERROR(__xludf.DUMMYFUNCTION("""COMPUTED_VALUE"""),"8-11'")</f>
        <v>8-11'</v>
      </c>
      <c r="G228" s="44">
        <f>IFERROR(__xludf.DUMMYFUNCTION("""COMPUTED_VALUE"""),1.0)</f>
        <v>1</v>
      </c>
      <c r="H228" s="41">
        <f>IFERROR(__xludf.DUMMYFUNCTION("""COMPUTED_VALUE"""),5.0)</f>
        <v>5</v>
      </c>
      <c r="I228" s="45">
        <f>IFERROR(__xludf.DUMMYFUNCTION("""COMPUTED_VALUE"""),115.0)</f>
        <v>115</v>
      </c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 t="str">
        <f>IFERROR(__xludf.DUMMYFUNCTION("""COMPUTED_VALUE"""),"Quercus x warei 'Regal Prince'")</f>
        <v>Quercus x warei 'Regal Prince'</v>
      </c>
      <c r="B229" s="41">
        <f>IFERROR(__xludf.DUMMYFUNCTION("""COMPUTED_VALUE"""),25.0)</f>
        <v>25</v>
      </c>
      <c r="C229" s="41" t="str">
        <f>IFERROR(__xludf.DUMMYFUNCTION("""COMPUTED_VALUE"""),"Regal Prince Oak")</f>
        <v>Regal Prince Oak</v>
      </c>
      <c r="D229" s="41" t="str">
        <f>IFERROR(__xludf.DUMMYFUNCTION("""COMPUTED_VALUE"""),"#25")</f>
        <v>#25</v>
      </c>
      <c r="E229" s="43" t="str">
        <f>IFERROR(__xludf.DUMMYFUNCTION("""COMPUTED_VALUE"""),"1-1.5""")</f>
        <v>1-1.5"</v>
      </c>
      <c r="F229" s="41" t="str">
        <f>IFERROR(__xludf.DUMMYFUNCTION("""COMPUTED_VALUE"""),"8-11'")</f>
        <v>8-11'</v>
      </c>
      <c r="G229" s="44">
        <f>IFERROR(__xludf.DUMMYFUNCTION("""COMPUTED_VALUE"""),5.0)</f>
        <v>5</v>
      </c>
      <c r="H229" s="41">
        <f>IFERROR(__xludf.DUMMYFUNCTION("""COMPUTED_VALUE"""),0.0)</f>
        <v>0</v>
      </c>
      <c r="I229" s="45">
        <f>IFERROR(__xludf.DUMMYFUNCTION("""COMPUTED_VALUE"""),140.0)</f>
        <v>140</v>
      </c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 t="str">
        <f>IFERROR(__xludf.DUMMYFUNCTION("""COMPUTED_VALUE"""),"Rhus aromatica")</f>
        <v>Rhus aromatica</v>
      </c>
      <c r="B230" s="41">
        <f>IFERROR(__xludf.DUMMYFUNCTION("""COMPUTED_VALUE"""),5.0)</f>
        <v>5</v>
      </c>
      <c r="C230" s="41" t="str">
        <f>IFERROR(__xludf.DUMMYFUNCTION("""COMPUTED_VALUE"""),"Fragrant Sumac")</f>
        <v>Fragrant Sumac</v>
      </c>
      <c r="D230" s="41" t="str">
        <f>IFERROR(__xludf.DUMMYFUNCTION("""COMPUTED_VALUE"""),"#5")</f>
        <v>#5</v>
      </c>
      <c r="E230" s="46" t="str">
        <f>IFERROR(__xludf.DUMMYFUNCTION("""COMPUTED_VALUE"""),"Multi")</f>
        <v>Multi</v>
      </c>
      <c r="F230" s="41" t="str">
        <f>IFERROR(__xludf.DUMMYFUNCTION("""COMPUTED_VALUE"""),"2-5'")</f>
        <v>2-5'</v>
      </c>
      <c r="G230" s="44">
        <f>IFERROR(__xludf.DUMMYFUNCTION("""COMPUTED_VALUE"""),6.0)</f>
        <v>6</v>
      </c>
      <c r="H230" s="41">
        <f>IFERROR(__xludf.DUMMYFUNCTION("""COMPUTED_VALUE"""),50.0)</f>
        <v>50</v>
      </c>
      <c r="I230" s="45">
        <f>IFERROR(__xludf.DUMMYFUNCTION("""COMPUTED_VALUE"""),32.0)</f>
        <v>32</v>
      </c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 t="str">
        <f>IFERROR(__xludf.DUMMYFUNCTION("""COMPUTED_VALUE"""),"Rhus glabra")</f>
        <v>Rhus glabra</v>
      </c>
      <c r="B231" s="41">
        <f>IFERROR(__xludf.DUMMYFUNCTION("""COMPUTED_VALUE"""),5.0)</f>
        <v>5</v>
      </c>
      <c r="C231" s="41" t="str">
        <f>IFERROR(__xludf.DUMMYFUNCTION("""COMPUTED_VALUE"""),"Smooth Sumac")</f>
        <v>Smooth Sumac</v>
      </c>
      <c r="D231" s="41" t="str">
        <f>IFERROR(__xludf.DUMMYFUNCTION("""COMPUTED_VALUE"""),"#5")</f>
        <v>#5</v>
      </c>
      <c r="E231" s="43" t="str">
        <f>IFERROR(__xludf.DUMMYFUNCTION("""COMPUTED_VALUE"""),"0-1""")</f>
        <v>0-1"</v>
      </c>
      <c r="F231" s="41" t="str">
        <f>IFERROR(__xludf.DUMMYFUNCTION("""COMPUTED_VALUE"""),"0-8'")</f>
        <v>0-8'</v>
      </c>
      <c r="G231" s="44">
        <f>IFERROR(__xludf.DUMMYFUNCTION("""COMPUTED_VALUE"""),0.0)</f>
        <v>0</v>
      </c>
      <c r="H231" s="41">
        <f>IFERROR(__xludf.DUMMYFUNCTION("""COMPUTED_VALUE"""),50.0)</f>
        <v>50</v>
      </c>
      <c r="I231" s="45">
        <f>IFERROR(__xludf.DUMMYFUNCTION("""COMPUTED_VALUE"""),35.0)</f>
        <v>35</v>
      </c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 t="str">
        <f>IFERROR(__xludf.DUMMYFUNCTION("""COMPUTED_VALUE"""),"Rhus typhina")</f>
        <v>Rhus typhina</v>
      </c>
      <c r="B232" s="41">
        <f>IFERROR(__xludf.DUMMYFUNCTION("""COMPUTED_VALUE"""),5.0)</f>
        <v>5</v>
      </c>
      <c r="C232" s="41" t="str">
        <f>IFERROR(__xludf.DUMMYFUNCTION("""COMPUTED_VALUE"""),"Staghorn Sumac")</f>
        <v>Staghorn Sumac</v>
      </c>
      <c r="D232" s="41" t="str">
        <f>IFERROR(__xludf.DUMMYFUNCTION("""COMPUTED_VALUE"""),"#5")</f>
        <v>#5</v>
      </c>
      <c r="E232" s="43" t="str">
        <f>IFERROR(__xludf.DUMMYFUNCTION("""COMPUTED_VALUE"""),"1-1.25""")</f>
        <v>1-1.25"</v>
      </c>
      <c r="F232" s="41" t="str">
        <f>IFERROR(__xludf.DUMMYFUNCTION("""COMPUTED_VALUE"""),"3-4.5'")</f>
        <v>3-4.5'</v>
      </c>
      <c r="G232" s="44">
        <f>IFERROR(__xludf.DUMMYFUNCTION("""COMPUTED_VALUE"""),1.0)</f>
        <v>1</v>
      </c>
      <c r="H232" s="41">
        <f>IFERROR(__xludf.DUMMYFUNCTION("""COMPUTED_VALUE"""),50.0)</f>
        <v>50</v>
      </c>
      <c r="I232" s="45">
        <f>IFERROR(__xludf.DUMMYFUNCTION("""COMPUTED_VALUE"""),35.0)</f>
        <v>35</v>
      </c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 t="str">
        <f>IFERROR(__xludf.DUMMYFUNCTION("""COMPUTED_VALUE"""),"Ribies ")</f>
        <v>Ribies </v>
      </c>
      <c r="B233" s="41">
        <f>IFERROR(__xludf.DUMMYFUNCTION("""COMPUTED_VALUE"""),5.0)</f>
        <v>5</v>
      </c>
      <c r="C233" s="41" t="str">
        <f>IFERROR(__xludf.DUMMYFUNCTION("""COMPUTED_VALUE"""),"King Edward Flowering Currant")</f>
        <v>King Edward Flowering Currant</v>
      </c>
      <c r="D233" s="41" t="str">
        <f>IFERROR(__xludf.DUMMYFUNCTION("""COMPUTED_VALUE"""),"#5")</f>
        <v>#5</v>
      </c>
      <c r="E233" s="43" t="str">
        <f>IFERROR(__xludf.DUMMYFUNCTION("""COMPUTED_VALUE"""),"Multi")</f>
        <v>Multi</v>
      </c>
      <c r="F233" s="41" t="str">
        <f>IFERROR(__xludf.DUMMYFUNCTION("""COMPUTED_VALUE"""),"1-2.5'")</f>
        <v>1-2.5'</v>
      </c>
      <c r="G233" s="44">
        <f>IFERROR(__xludf.DUMMYFUNCTION("""COMPUTED_VALUE"""),17.0)</f>
        <v>17</v>
      </c>
      <c r="H233" s="41">
        <f>IFERROR(__xludf.DUMMYFUNCTION("""COMPUTED_VALUE"""),0.0)</f>
        <v>0</v>
      </c>
      <c r="I233" s="45">
        <f>IFERROR(__xludf.DUMMYFUNCTION("""COMPUTED_VALUE"""),35.0)</f>
        <v>35</v>
      </c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 t="str">
        <f>IFERROR(__xludf.DUMMYFUNCTION("""COMPUTED_VALUE"""),"Robinia pseudoacacia")</f>
        <v>Robinia pseudoacacia</v>
      </c>
      <c r="B234" s="41">
        <f>IFERROR(__xludf.DUMMYFUNCTION("""COMPUTED_VALUE"""),5.0)</f>
        <v>5</v>
      </c>
      <c r="C234" s="41" t="str">
        <f>IFERROR(__xludf.DUMMYFUNCTION("""COMPUTED_VALUE"""),"Black Locust")</f>
        <v>Black Locust</v>
      </c>
      <c r="D234" s="41" t="str">
        <f>IFERROR(__xludf.DUMMYFUNCTION("""COMPUTED_VALUE"""),"#5")</f>
        <v>#5</v>
      </c>
      <c r="E234" s="43" t="str">
        <f>IFERROR(__xludf.DUMMYFUNCTION("""COMPUTED_VALUE"""),"0.5-1""")</f>
        <v>0.5-1"</v>
      </c>
      <c r="F234" s="41" t="str">
        <f>IFERROR(__xludf.DUMMYFUNCTION("""COMPUTED_VALUE"""),"5-8'")</f>
        <v>5-8'</v>
      </c>
      <c r="G234" s="44">
        <f>IFERROR(__xludf.DUMMYFUNCTION("""COMPUTED_VALUE"""),12.0)</f>
        <v>12</v>
      </c>
      <c r="H234" s="41">
        <f>IFERROR(__xludf.DUMMYFUNCTION("""COMPUTED_VALUE"""),0.0)</f>
        <v>0</v>
      </c>
      <c r="I234" s="45">
        <f>IFERROR(__xludf.DUMMYFUNCTION("""COMPUTED_VALUE"""),35.0)</f>
        <v>35</v>
      </c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 t="str">
        <f>IFERROR(__xludf.DUMMYFUNCTION("""COMPUTED_VALUE"""),"Salix babylonica")</f>
        <v>Salix babylonica</v>
      </c>
      <c r="B235" s="41">
        <f>IFERROR(__xludf.DUMMYFUNCTION("""COMPUTED_VALUE"""),5.0)</f>
        <v>5</v>
      </c>
      <c r="C235" s="41" t="str">
        <f>IFERROR(__xludf.DUMMYFUNCTION("""COMPUTED_VALUE"""),"Weeping Willow")</f>
        <v>Weeping Willow</v>
      </c>
      <c r="D235" s="41" t="str">
        <f>IFERROR(__xludf.DUMMYFUNCTION("""COMPUTED_VALUE"""),"#5")</f>
        <v>#5</v>
      </c>
      <c r="E235" s="43" t="str">
        <f>IFERROR(__xludf.DUMMYFUNCTION("""COMPUTED_VALUE"""),"0.25-0.5""")</f>
        <v>0.25-0.5"</v>
      </c>
      <c r="F235" s="41" t="str">
        <f>IFERROR(__xludf.DUMMYFUNCTION("""COMPUTED_VALUE"""),"1-2'")</f>
        <v>1-2'</v>
      </c>
      <c r="G235" s="44">
        <f>IFERROR(__xludf.DUMMYFUNCTION("""COMPUTED_VALUE"""),0.0)</f>
        <v>0</v>
      </c>
      <c r="H235" s="41">
        <f>IFERROR(__xludf.DUMMYFUNCTION("""COMPUTED_VALUE"""),100.0)</f>
        <v>100</v>
      </c>
      <c r="I235" s="45">
        <f>IFERROR(__xludf.DUMMYFUNCTION("""COMPUTED_VALUE"""),40.0)</f>
        <v>40</v>
      </c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 t="str">
        <f>IFERROR(__xludf.DUMMYFUNCTION("""COMPUTED_VALUE"""),"Salix babylonica")</f>
        <v>Salix babylonica</v>
      </c>
      <c r="B236" s="41">
        <f>IFERROR(__xludf.DUMMYFUNCTION("""COMPUTED_VALUE"""),7.0)</f>
        <v>7</v>
      </c>
      <c r="C236" s="41" t="str">
        <f>IFERROR(__xludf.DUMMYFUNCTION("""COMPUTED_VALUE"""),"Weeping Willow")</f>
        <v>Weeping Willow</v>
      </c>
      <c r="D236" s="41" t="str">
        <f>IFERROR(__xludf.DUMMYFUNCTION("""COMPUTED_VALUE"""),"#7")</f>
        <v>#7</v>
      </c>
      <c r="E236" s="43" t="str">
        <f>IFERROR(__xludf.DUMMYFUNCTION("""COMPUTED_VALUE"""),"0-1""")</f>
        <v>0-1"</v>
      </c>
      <c r="F236" s="41" t="str">
        <f>IFERROR(__xludf.DUMMYFUNCTION("""COMPUTED_VALUE"""),"0-9'")</f>
        <v>0-9'</v>
      </c>
      <c r="G236" s="44">
        <f>IFERROR(__xludf.DUMMYFUNCTION("""COMPUTED_VALUE"""),0.0)</f>
        <v>0</v>
      </c>
      <c r="H236" s="41">
        <f>IFERROR(__xludf.DUMMYFUNCTION("""COMPUTED_VALUE"""),100.0)</f>
        <v>100</v>
      </c>
      <c r="I236" s="45">
        <f>IFERROR(__xludf.DUMMYFUNCTION("""COMPUTED_VALUE"""),55.0)</f>
        <v>55</v>
      </c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 t="str">
        <f>IFERROR(__xludf.DUMMYFUNCTION("""COMPUTED_VALUE"""),"Stewartia pseudocamellia")</f>
        <v>Stewartia pseudocamellia</v>
      </c>
      <c r="B237" s="41">
        <f>IFERROR(__xludf.DUMMYFUNCTION("""COMPUTED_VALUE"""),5.0)</f>
        <v>5</v>
      </c>
      <c r="C237" s="41" t="str">
        <f>IFERROR(__xludf.DUMMYFUNCTION("""COMPUTED_VALUE"""),"Stewartia")</f>
        <v>Stewartia</v>
      </c>
      <c r="D237" s="41" t="str">
        <f>IFERROR(__xludf.DUMMYFUNCTION("""COMPUTED_VALUE"""),"#5")</f>
        <v>#5</v>
      </c>
      <c r="E237" s="46" t="str">
        <f>IFERROR(__xludf.DUMMYFUNCTION("""COMPUTED_VALUE"""),"Multi")</f>
        <v>Multi</v>
      </c>
      <c r="F237" s="41" t="str">
        <f>IFERROR(__xludf.DUMMYFUNCTION("""COMPUTED_VALUE"""),"5-7'")</f>
        <v>5-7'</v>
      </c>
      <c r="G237" s="44">
        <f>IFERROR(__xludf.DUMMYFUNCTION("""COMPUTED_VALUE"""),18.0)</f>
        <v>18</v>
      </c>
      <c r="H237" s="41">
        <f>IFERROR(__xludf.DUMMYFUNCTION("""COMPUTED_VALUE"""),0.0)</f>
        <v>0</v>
      </c>
      <c r="I237" s="45">
        <f>IFERROR(__xludf.DUMMYFUNCTION("""COMPUTED_VALUE"""),50.0)</f>
        <v>50</v>
      </c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 t="str">
        <f>IFERROR(__xludf.DUMMYFUNCTION("""COMPUTED_VALUE"""),"Styrax japonicus")</f>
        <v>Styrax japonicus</v>
      </c>
      <c r="B238" s="41">
        <f>IFERROR(__xludf.DUMMYFUNCTION("""COMPUTED_VALUE"""),5.0)</f>
        <v>5</v>
      </c>
      <c r="C238" s="41" t="str">
        <f>IFERROR(__xludf.DUMMYFUNCTION("""COMPUTED_VALUE"""),"Japanese Snowbell")</f>
        <v>Japanese Snowbell</v>
      </c>
      <c r="D238" s="41" t="str">
        <f>IFERROR(__xludf.DUMMYFUNCTION("""COMPUTED_VALUE"""),"#5")</f>
        <v>#5</v>
      </c>
      <c r="E238" s="46" t="str">
        <f>IFERROR(__xludf.DUMMYFUNCTION("""COMPUTED_VALUE"""),"Multi")</f>
        <v>Multi</v>
      </c>
      <c r="F238" s="41" t="str">
        <f>IFERROR(__xludf.DUMMYFUNCTION("""COMPUTED_VALUE"""),"5-6'")</f>
        <v>5-6'</v>
      </c>
      <c r="G238" s="44">
        <f>IFERROR(__xludf.DUMMYFUNCTION("""COMPUTED_VALUE"""),30.0)</f>
        <v>30</v>
      </c>
      <c r="H238" s="41">
        <f>IFERROR(__xludf.DUMMYFUNCTION("""COMPUTED_VALUE"""),0.0)</f>
        <v>0</v>
      </c>
      <c r="I238" s="45">
        <f>IFERROR(__xludf.DUMMYFUNCTION("""COMPUTED_VALUE"""),40.0)</f>
        <v>40</v>
      </c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 t="str">
        <f>IFERROR(__xludf.DUMMYFUNCTION("""COMPUTED_VALUE"""),"Styrax obassia")</f>
        <v>Styrax obassia</v>
      </c>
      <c r="B239" s="41">
        <f>IFERROR(__xludf.DUMMYFUNCTION("""COMPUTED_VALUE"""),5.0)</f>
        <v>5</v>
      </c>
      <c r="C239" s="41" t="str">
        <f>IFERROR(__xludf.DUMMYFUNCTION("""COMPUTED_VALUE"""),"Fragrant Snowbell")</f>
        <v>Fragrant Snowbell</v>
      </c>
      <c r="D239" s="41" t="str">
        <f>IFERROR(__xludf.DUMMYFUNCTION("""COMPUTED_VALUE"""),"#5")</f>
        <v>#5</v>
      </c>
      <c r="E239" s="43" t="str">
        <f>IFERROR(__xludf.DUMMYFUNCTION("""COMPUTED_VALUE"""),"0.375-0.5""")</f>
        <v>0.375-0.5"</v>
      </c>
      <c r="F239" s="41" t="str">
        <f>IFERROR(__xludf.DUMMYFUNCTION("""COMPUTED_VALUE"""),"2-5'")</f>
        <v>2-5'</v>
      </c>
      <c r="G239" s="44">
        <f>IFERROR(__xludf.DUMMYFUNCTION("""COMPUTED_VALUE"""),41.0)</f>
        <v>41</v>
      </c>
      <c r="H239" s="41">
        <f>IFERROR(__xludf.DUMMYFUNCTION("""COMPUTED_VALUE"""),0.0)</f>
        <v>0</v>
      </c>
      <c r="I239" s="45">
        <f>IFERROR(__xludf.DUMMYFUNCTION("""COMPUTED_VALUE"""),45.0)</f>
        <v>45</v>
      </c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 t="str">
        <f>IFERROR(__xludf.DUMMYFUNCTION("""COMPUTED_VALUE"""),"Syringa reticulata 'Ivory Silk'")</f>
        <v>Syringa reticulata 'Ivory Silk'</v>
      </c>
      <c r="B240" s="41">
        <f>IFERROR(__xludf.DUMMYFUNCTION("""COMPUTED_VALUE"""),5.0)</f>
        <v>5</v>
      </c>
      <c r="C240" s="41" t="str">
        <f>IFERROR(__xludf.DUMMYFUNCTION("""COMPUTED_VALUE"""),"Ivory Silk Japanese Tree Lilac")</f>
        <v>Ivory Silk Japanese Tree Lilac</v>
      </c>
      <c r="D240" s="41" t="str">
        <f>IFERROR(__xludf.DUMMYFUNCTION("""COMPUTED_VALUE"""),"#5")</f>
        <v>#5</v>
      </c>
      <c r="E240" s="43" t="str">
        <f>IFERROR(__xludf.DUMMYFUNCTION("""COMPUTED_VALUE"""),"0.25-0.5""")</f>
        <v>0.25-0.5"</v>
      </c>
      <c r="F240" s="41" t="str">
        <f>IFERROR(__xludf.DUMMYFUNCTION("""COMPUTED_VALUE"""),"2-4'")</f>
        <v>2-4'</v>
      </c>
      <c r="G240" s="44">
        <f>IFERROR(__xludf.DUMMYFUNCTION("""COMPUTED_VALUE"""),12.0)</f>
        <v>12</v>
      </c>
      <c r="H240" s="41">
        <f>IFERROR(__xludf.DUMMYFUNCTION("""COMPUTED_VALUE"""),0.0)</f>
        <v>0</v>
      </c>
      <c r="I240" s="45">
        <f>IFERROR(__xludf.DUMMYFUNCTION("""COMPUTED_VALUE"""),40.0)</f>
        <v>40</v>
      </c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 t="str">
        <f>IFERROR(__xludf.DUMMYFUNCTION("""COMPUTED_VALUE"""),"Syringa reticulata 'Ivory Silk'")</f>
        <v>Syringa reticulata 'Ivory Silk'</v>
      </c>
      <c r="B241" s="41">
        <f>IFERROR(__xludf.DUMMYFUNCTION("""COMPUTED_VALUE"""),10.0)</f>
        <v>10</v>
      </c>
      <c r="C241" s="41" t="str">
        <f>IFERROR(__xludf.DUMMYFUNCTION("""COMPUTED_VALUE"""),"Ivory Silk Japanese Tree Lilac")</f>
        <v>Ivory Silk Japanese Tree Lilac</v>
      </c>
      <c r="D241" s="41" t="str">
        <f>IFERROR(__xludf.DUMMYFUNCTION("""COMPUTED_VALUE"""),"#10")</f>
        <v>#10</v>
      </c>
      <c r="E241" s="43" t="str">
        <f>IFERROR(__xludf.DUMMYFUNCTION("""COMPUTED_VALUE"""),"1-1""")</f>
        <v>1-1"</v>
      </c>
      <c r="F241" s="41" t="str">
        <f>IFERROR(__xludf.DUMMYFUNCTION("""COMPUTED_VALUE"""),"10-10'")</f>
        <v>10-10'</v>
      </c>
      <c r="G241" s="44">
        <f>IFERROR(__xludf.DUMMYFUNCTION("""COMPUTED_VALUE"""),5.0)</f>
        <v>5</v>
      </c>
      <c r="H241" s="41">
        <f>IFERROR(__xludf.DUMMYFUNCTION("""COMPUTED_VALUE"""),0.0)</f>
        <v>0</v>
      </c>
      <c r="I241" s="45">
        <f>IFERROR(__xludf.DUMMYFUNCTION("""COMPUTED_VALUE"""),85.0)</f>
        <v>85</v>
      </c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 t="str">
        <f>IFERROR(__xludf.DUMMYFUNCTION("""COMPUTED_VALUE"""),"Syringa reticulata 'Ivory Silk'")</f>
        <v>Syringa reticulata 'Ivory Silk'</v>
      </c>
      <c r="B242" s="41">
        <f>IFERROR(__xludf.DUMMYFUNCTION("""COMPUTED_VALUE"""),15.0)</f>
        <v>15</v>
      </c>
      <c r="C242" s="41" t="str">
        <f>IFERROR(__xludf.DUMMYFUNCTION("""COMPUTED_VALUE"""),"Ivory Silk Japanese Tree Lilac")</f>
        <v>Ivory Silk Japanese Tree Lilac</v>
      </c>
      <c r="D242" s="41" t="str">
        <f>IFERROR(__xludf.DUMMYFUNCTION("""COMPUTED_VALUE"""),"#15")</f>
        <v>#15</v>
      </c>
      <c r="E242" s="43" t="str">
        <f>IFERROR(__xludf.DUMMYFUNCTION("""COMPUTED_VALUE"""),"1-1.25""")</f>
        <v>1-1.25"</v>
      </c>
      <c r="F242" s="41" t="str">
        <f>IFERROR(__xludf.DUMMYFUNCTION("""COMPUTED_VALUE"""),"6-10'")</f>
        <v>6-10'</v>
      </c>
      <c r="G242" s="44">
        <f>IFERROR(__xludf.DUMMYFUNCTION("""COMPUTED_VALUE"""),11.0)</f>
        <v>11</v>
      </c>
      <c r="H242" s="41">
        <f>IFERROR(__xludf.DUMMYFUNCTION("""COMPUTED_VALUE"""),10.0)</f>
        <v>10</v>
      </c>
      <c r="I242" s="45">
        <f>IFERROR(__xludf.DUMMYFUNCTION("""COMPUTED_VALUE"""),115.0)</f>
        <v>115</v>
      </c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 t="str">
        <f>IFERROR(__xludf.DUMMYFUNCTION("""COMPUTED_VALUE"""),"Taxodium distichum")</f>
        <v>Taxodium distichum</v>
      </c>
      <c r="B243" s="41">
        <f>IFERROR(__xludf.DUMMYFUNCTION("""COMPUTED_VALUE"""),5.0)</f>
        <v>5</v>
      </c>
      <c r="C243" s="41" t="str">
        <f>IFERROR(__xludf.DUMMYFUNCTION("""COMPUTED_VALUE"""),"Bald Cypress")</f>
        <v>Bald Cypress</v>
      </c>
      <c r="D243" s="41" t="str">
        <f>IFERROR(__xludf.DUMMYFUNCTION("""COMPUTED_VALUE"""),"#5")</f>
        <v>#5</v>
      </c>
      <c r="E243" s="43" t="str">
        <f>IFERROR(__xludf.DUMMYFUNCTION("""COMPUTED_VALUE"""),"0.75-1.5""")</f>
        <v>0.75-1.5"</v>
      </c>
      <c r="F243" s="41" t="str">
        <f>IFERROR(__xludf.DUMMYFUNCTION("""COMPUTED_VALUE"""),"4-7'")</f>
        <v>4-7'</v>
      </c>
      <c r="G243" s="44">
        <f>IFERROR(__xludf.DUMMYFUNCTION("""COMPUTED_VALUE"""),89.0)</f>
        <v>89</v>
      </c>
      <c r="H243" s="41">
        <f>IFERROR(__xludf.DUMMYFUNCTION("""COMPUTED_VALUE"""),200.0)</f>
        <v>200</v>
      </c>
      <c r="I243" s="45">
        <f>IFERROR(__xludf.DUMMYFUNCTION("""COMPUTED_VALUE"""),40.0)</f>
        <v>40</v>
      </c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 t="str">
        <f>IFERROR(__xludf.DUMMYFUNCTION("""COMPUTED_VALUE"""),"Taxodium distichum")</f>
        <v>Taxodium distichum</v>
      </c>
      <c r="B244" s="41">
        <f>IFERROR(__xludf.DUMMYFUNCTION("""COMPUTED_VALUE"""),15.0)</f>
        <v>15</v>
      </c>
      <c r="C244" s="41" t="str">
        <f>IFERROR(__xludf.DUMMYFUNCTION("""COMPUTED_VALUE"""),"Bald Cypress")</f>
        <v>Bald Cypress</v>
      </c>
      <c r="D244" s="41" t="str">
        <f>IFERROR(__xludf.DUMMYFUNCTION("""COMPUTED_VALUE"""),"#15")</f>
        <v>#15</v>
      </c>
      <c r="E244" s="43" t="str">
        <f>IFERROR(__xludf.DUMMYFUNCTION("""COMPUTED_VALUE"""),"1.25-1.5""")</f>
        <v>1.25-1.5"</v>
      </c>
      <c r="F244" s="41" t="str">
        <f>IFERROR(__xludf.DUMMYFUNCTION("""COMPUTED_VALUE"""),"4-6'")</f>
        <v>4-6'</v>
      </c>
      <c r="G244" s="44">
        <f>IFERROR(__xludf.DUMMYFUNCTION("""COMPUTED_VALUE"""),1.0)</f>
        <v>1</v>
      </c>
      <c r="H244" s="41">
        <f>IFERROR(__xludf.DUMMYFUNCTION("""COMPUTED_VALUE"""),0.0)</f>
        <v>0</v>
      </c>
      <c r="I244" s="45">
        <f>IFERROR(__xludf.DUMMYFUNCTION("""COMPUTED_VALUE"""),115.0)</f>
        <v>115</v>
      </c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 t="str">
        <f>IFERROR(__xludf.DUMMYFUNCTION("""COMPUTED_VALUE"""),"Taxodium distichum 'Falling Waters'")</f>
        <v>Taxodium distichum 'Falling Waters'</v>
      </c>
      <c r="B245" s="41">
        <f>IFERROR(__xludf.DUMMYFUNCTION("""COMPUTED_VALUE"""),7.0)</f>
        <v>7</v>
      </c>
      <c r="C245" s="41" t="str">
        <f>IFERROR(__xludf.DUMMYFUNCTION("""COMPUTED_VALUE"""),"Falling Waters Bald Cypress")</f>
        <v>Falling Waters Bald Cypress</v>
      </c>
      <c r="D245" s="41" t="str">
        <f>IFERROR(__xludf.DUMMYFUNCTION("""COMPUTED_VALUE"""),"#7")</f>
        <v>#7</v>
      </c>
      <c r="E245" s="43" t="str">
        <f>IFERROR(__xludf.DUMMYFUNCTION("""COMPUTED_VALUE"""),"0.75-1""")</f>
        <v>0.75-1"</v>
      </c>
      <c r="F245" s="41" t="str">
        <f>IFERROR(__xludf.DUMMYFUNCTION("""COMPUTED_VALUE"""),"4-5'")</f>
        <v>4-5'</v>
      </c>
      <c r="G245" s="44">
        <f>IFERROR(__xludf.DUMMYFUNCTION("""COMPUTED_VALUE"""),6.0)</f>
        <v>6</v>
      </c>
      <c r="H245" s="41">
        <f>IFERROR(__xludf.DUMMYFUNCTION("""COMPUTED_VALUE"""),0.0)</f>
        <v>0</v>
      </c>
      <c r="I245" s="45">
        <f>IFERROR(__xludf.DUMMYFUNCTION("""COMPUTED_VALUE"""),65.0)</f>
        <v>65</v>
      </c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 t="str">
        <f>IFERROR(__xludf.DUMMYFUNCTION("""COMPUTED_VALUE"""),"Taxus × media 'Everlow'")</f>
        <v>Taxus × media 'Everlow'</v>
      </c>
      <c r="B246" s="41">
        <f>IFERROR(__xludf.DUMMYFUNCTION("""COMPUTED_VALUE"""),3.0)</f>
        <v>3</v>
      </c>
      <c r="C246" s="41" t="str">
        <f>IFERROR(__xludf.DUMMYFUNCTION("""COMPUTED_VALUE"""),"Everlow Yew")</f>
        <v>Everlow Yew</v>
      </c>
      <c r="D246" s="41" t="str">
        <f>IFERROR(__xludf.DUMMYFUNCTION("""COMPUTED_VALUE"""),"#5")</f>
        <v>#5</v>
      </c>
      <c r="E246" s="43" t="str">
        <f>IFERROR(__xludf.DUMMYFUNCTION("""COMPUTED_VALUE"""),"Multi")</f>
        <v>Multi</v>
      </c>
      <c r="F246" s="41" t="str">
        <f>IFERROR(__xludf.DUMMYFUNCTION("""COMPUTED_VALUE"""),"1-2'")</f>
        <v>1-2'</v>
      </c>
      <c r="G246" s="44">
        <f>IFERROR(__xludf.DUMMYFUNCTION("""COMPUTED_VALUE"""),8.0)</f>
        <v>8</v>
      </c>
      <c r="H246" s="41">
        <f>IFERROR(__xludf.DUMMYFUNCTION("""COMPUTED_VALUE"""),0.0)</f>
        <v>0</v>
      </c>
      <c r="I246" s="45">
        <f>IFERROR(__xludf.DUMMYFUNCTION("""COMPUTED_VALUE"""),32.0)</f>
        <v>32</v>
      </c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 t="str">
        <f>IFERROR(__xludf.DUMMYFUNCTION("""COMPUTED_VALUE"""),"Thuja plicata x standishii 'Green Giant'")</f>
        <v>Thuja plicata x standishii 'Green Giant'</v>
      </c>
      <c r="B247" s="41">
        <f>IFERROR(__xludf.DUMMYFUNCTION("""COMPUTED_VALUE"""),5.0)</f>
        <v>5</v>
      </c>
      <c r="C247" s="41" t="str">
        <f>IFERROR(__xludf.DUMMYFUNCTION("""COMPUTED_VALUE"""),"Green Giant Arborvitae")</f>
        <v>Green Giant Arborvitae</v>
      </c>
      <c r="D247" s="41" t="str">
        <f>IFERROR(__xludf.DUMMYFUNCTION("""COMPUTED_VALUE"""),"#5")</f>
        <v>#5</v>
      </c>
      <c r="E247" s="46" t="str">
        <f>IFERROR(__xludf.DUMMYFUNCTION("""COMPUTED_VALUE"""),"Multi")</f>
        <v>Multi</v>
      </c>
      <c r="F247" s="41" t="str">
        <f>IFERROR(__xludf.DUMMYFUNCTION("""COMPUTED_VALUE"""),"2-4'")</f>
        <v>2-4'</v>
      </c>
      <c r="G247" s="44">
        <f>IFERROR(__xludf.DUMMYFUNCTION("""COMPUTED_VALUE"""),80.0)</f>
        <v>80</v>
      </c>
      <c r="H247" s="41">
        <f>IFERROR(__xludf.DUMMYFUNCTION("""COMPUTED_VALUE"""),0.0)</f>
        <v>0</v>
      </c>
      <c r="I247" s="45">
        <f>IFERROR(__xludf.DUMMYFUNCTION("""COMPUTED_VALUE"""),25.0)</f>
        <v>25</v>
      </c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 t="str">
        <f>IFERROR(__xludf.DUMMYFUNCTION("""COMPUTED_VALUE"""),"Tilia cordata")</f>
        <v>Tilia cordata</v>
      </c>
      <c r="B248" s="41">
        <f>IFERROR(__xludf.DUMMYFUNCTION("""COMPUTED_VALUE"""),5.0)</f>
        <v>5</v>
      </c>
      <c r="C248" s="41" t="str">
        <f>IFERROR(__xludf.DUMMYFUNCTION("""COMPUTED_VALUE"""),"Littleleaf Linden")</f>
        <v>Littleleaf Linden</v>
      </c>
      <c r="D248" s="41" t="str">
        <f>IFERROR(__xludf.DUMMYFUNCTION("""COMPUTED_VALUE"""),"#5")</f>
        <v>#5</v>
      </c>
      <c r="E248" s="43" t="str">
        <f>IFERROR(__xludf.DUMMYFUNCTION("""COMPUTED_VALUE"""),"0.125-0.75""")</f>
        <v>0.125-0.75"</v>
      </c>
      <c r="F248" s="41" t="str">
        <f>IFERROR(__xludf.DUMMYFUNCTION("""COMPUTED_VALUE"""),"1-5'")</f>
        <v>1-5'</v>
      </c>
      <c r="G248" s="44">
        <f>IFERROR(__xludf.DUMMYFUNCTION("""COMPUTED_VALUE"""),4.0)</f>
        <v>4</v>
      </c>
      <c r="H248" s="41">
        <f>IFERROR(__xludf.DUMMYFUNCTION("""COMPUTED_VALUE"""),25.0)</f>
        <v>25</v>
      </c>
      <c r="I248" s="45">
        <f>IFERROR(__xludf.DUMMYFUNCTION("""COMPUTED_VALUE"""),40.0)</f>
        <v>40</v>
      </c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 t="str">
        <f>IFERROR(__xludf.DUMMYFUNCTION("""COMPUTED_VALUE"""),"Tilia cordata")</f>
        <v>Tilia cordata</v>
      </c>
      <c r="B249" s="41">
        <f>IFERROR(__xludf.DUMMYFUNCTION("""COMPUTED_VALUE"""),15.0)</f>
        <v>15</v>
      </c>
      <c r="C249" s="41" t="str">
        <f>IFERROR(__xludf.DUMMYFUNCTION("""COMPUTED_VALUE"""),"Littleleaf Linden")</f>
        <v>Littleleaf Linden</v>
      </c>
      <c r="D249" s="41" t="str">
        <f>IFERROR(__xludf.DUMMYFUNCTION("""COMPUTED_VALUE"""),"#15")</f>
        <v>#15</v>
      </c>
      <c r="E249" s="43" t="str">
        <f>IFERROR(__xludf.DUMMYFUNCTION("""COMPUTED_VALUE"""),"1.5-1.75""")</f>
        <v>1.5-1.75"</v>
      </c>
      <c r="F249" s="41" t="str">
        <f>IFERROR(__xludf.DUMMYFUNCTION("""COMPUTED_VALUE"""),"10-12'")</f>
        <v>10-12'</v>
      </c>
      <c r="G249" s="44">
        <f>IFERROR(__xludf.DUMMYFUNCTION("""COMPUTED_VALUE"""),2.0)</f>
        <v>2</v>
      </c>
      <c r="H249" s="41">
        <f>IFERROR(__xludf.DUMMYFUNCTION("""COMPUTED_VALUE"""),0.0)</f>
        <v>0</v>
      </c>
      <c r="I249" s="45">
        <f>IFERROR(__xludf.DUMMYFUNCTION("""COMPUTED_VALUE"""),115.0)</f>
        <v>115</v>
      </c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 t="str">
        <f>IFERROR(__xludf.DUMMYFUNCTION("""COMPUTED_VALUE"""),"Tilia tomentosa")</f>
        <v>Tilia tomentosa</v>
      </c>
      <c r="B250" s="41">
        <f>IFERROR(__xludf.DUMMYFUNCTION("""COMPUTED_VALUE"""),5.0)</f>
        <v>5</v>
      </c>
      <c r="C250" s="41" t="str">
        <f>IFERROR(__xludf.DUMMYFUNCTION("""COMPUTED_VALUE"""),"Silver Linden")</f>
        <v>Silver Linden</v>
      </c>
      <c r="D250" s="41" t="str">
        <f>IFERROR(__xludf.DUMMYFUNCTION("""COMPUTED_VALUE"""),"#5")</f>
        <v>#5</v>
      </c>
      <c r="E250" s="43" t="str">
        <f>IFERROR(__xludf.DUMMYFUNCTION("""COMPUTED_VALUE"""),"0.25-0.5""")</f>
        <v>0.25-0.5"</v>
      </c>
      <c r="F250" s="41" t="str">
        <f>IFERROR(__xludf.DUMMYFUNCTION("""COMPUTED_VALUE"""),"3-6'")</f>
        <v>3-6'</v>
      </c>
      <c r="G250" s="44">
        <f>IFERROR(__xludf.DUMMYFUNCTION("""COMPUTED_VALUE"""),15.0)</f>
        <v>15</v>
      </c>
      <c r="H250" s="41">
        <f>IFERROR(__xludf.DUMMYFUNCTION("""COMPUTED_VALUE"""),0.0)</f>
        <v>0</v>
      </c>
      <c r="I250" s="45">
        <f>IFERROR(__xludf.DUMMYFUNCTION("""COMPUTED_VALUE"""),40.0)</f>
        <v>40</v>
      </c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 t="str">
        <f>IFERROR(__xludf.DUMMYFUNCTION("""COMPUTED_VALUE"""),"Ulmus 'New Horizon'")</f>
        <v>Ulmus 'New Horizon'</v>
      </c>
      <c r="B251" s="41">
        <f>IFERROR(__xludf.DUMMYFUNCTION("""COMPUTED_VALUE"""),15.0)</f>
        <v>15</v>
      </c>
      <c r="C251" s="41" t="str">
        <f>IFERROR(__xludf.DUMMYFUNCTION("""COMPUTED_VALUE"""),"New Horizon Elm")</f>
        <v>New Horizon Elm</v>
      </c>
      <c r="D251" s="41" t="str">
        <f>IFERROR(__xludf.DUMMYFUNCTION("""COMPUTED_VALUE"""),"#15")</f>
        <v>#15</v>
      </c>
      <c r="E251" s="43" t="str">
        <f>IFERROR(__xludf.DUMMYFUNCTION("""COMPUTED_VALUE"""),"1.5-1.5""")</f>
        <v>1.5-1.5"</v>
      </c>
      <c r="F251" s="41" t="str">
        <f>IFERROR(__xludf.DUMMYFUNCTION("""COMPUTED_VALUE"""),"12-12'")</f>
        <v>12-12'</v>
      </c>
      <c r="G251" s="44">
        <f>IFERROR(__xludf.DUMMYFUNCTION("""COMPUTED_VALUE"""),2.0)</f>
        <v>2</v>
      </c>
      <c r="H251" s="41">
        <f>IFERROR(__xludf.DUMMYFUNCTION("""COMPUTED_VALUE"""),0.0)</f>
        <v>0</v>
      </c>
      <c r="I251" s="45">
        <f>IFERROR(__xludf.DUMMYFUNCTION("""COMPUTED_VALUE"""),115.0)</f>
        <v>115</v>
      </c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 t="str">
        <f>IFERROR(__xludf.DUMMYFUNCTION("""COMPUTED_VALUE"""),"Ulmus americana 'Princeton'")</f>
        <v>Ulmus americana 'Princeton'</v>
      </c>
      <c r="B252" s="41">
        <f>IFERROR(__xludf.DUMMYFUNCTION("""COMPUTED_VALUE"""),5.0)</f>
        <v>5</v>
      </c>
      <c r="C252" s="41" t="str">
        <f>IFERROR(__xludf.DUMMYFUNCTION("""COMPUTED_VALUE"""),"Princeton Elm")</f>
        <v>Princeton Elm</v>
      </c>
      <c r="D252" s="41" t="str">
        <f>IFERROR(__xludf.DUMMYFUNCTION("""COMPUTED_VALUE"""),"#5")</f>
        <v>#5</v>
      </c>
      <c r="E252" s="43" t="str">
        <f>IFERROR(__xludf.DUMMYFUNCTION("""COMPUTED_VALUE"""),"1-1""")</f>
        <v>1-1"</v>
      </c>
      <c r="F252" s="41" t="str">
        <f>IFERROR(__xludf.DUMMYFUNCTION("""COMPUTED_VALUE"""),"7-8'")</f>
        <v>7-8'</v>
      </c>
      <c r="G252" s="44">
        <f>IFERROR(__xludf.DUMMYFUNCTION("""COMPUTED_VALUE"""),1.0)</f>
        <v>1</v>
      </c>
      <c r="H252" s="41">
        <f>IFERROR(__xludf.DUMMYFUNCTION("""COMPUTED_VALUE"""),125.0)</f>
        <v>125</v>
      </c>
      <c r="I252" s="45">
        <f>IFERROR(__xludf.DUMMYFUNCTION("""COMPUTED_VALUE"""),40.0)</f>
        <v>40</v>
      </c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 t="str">
        <f>IFERROR(__xludf.DUMMYFUNCTION("""COMPUTED_VALUE"""),"Ulmus americana 'Princeton'")</f>
        <v>Ulmus americana 'Princeton'</v>
      </c>
      <c r="B253" s="41">
        <f>IFERROR(__xludf.DUMMYFUNCTION("""COMPUTED_VALUE"""),15.0)</f>
        <v>15</v>
      </c>
      <c r="C253" s="41" t="str">
        <f>IFERROR(__xludf.DUMMYFUNCTION("""COMPUTED_VALUE"""),"Princeton Elm")</f>
        <v>Princeton Elm</v>
      </c>
      <c r="D253" s="41" t="str">
        <f>IFERROR(__xludf.DUMMYFUNCTION("""COMPUTED_VALUE"""),"#15")</f>
        <v>#15</v>
      </c>
      <c r="E253" s="43" t="str">
        <f>IFERROR(__xludf.DUMMYFUNCTION("""COMPUTED_VALUE"""),"1-1.25""")</f>
        <v>1-1.25"</v>
      </c>
      <c r="F253" s="41" t="str">
        <f>IFERROR(__xludf.DUMMYFUNCTION("""COMPUTED_VALUE"""),"9-10'")</f>
        <v>9-10'</v>
      </c>
      <c r="G253" s="44">
        <f>IFERROR(__xludf.DUMMYFUNCTION("""COMPUTED_VALUE"""),4.0)</f>
        <v>4</v>
      </c>
      <c r="H253" s="41">
        <f>IFERROR(__xludf.DUMMYFUNCTION("""COMPUTED_VALUE"""),10.0)</f>
        <v>10</v>
      </c>
      <c r="I253" s="45">
        <f>IFERROR(__xludf.DUMMYFUNCTION("""COMPUTED_VALUE"""),115.0)</f>
        <v>115</v>
      </c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 t="str">
        <f>IFERROR(__xludf.DUMMYFUNCTION("""COMPUTED_VALUE"""),"Ulmus americana 'Valley Forge'")</f>
        <v>Ulmus americana 'Valley Forge'</v>
      </c>
      <c r="B254" s="41">
        <f>IFERROR(__xludf.DUMMYFUNCTION("""COMPUTED_VALUE"""),15.0)</f>
        <v>15</v>
      </c>
      <c r="C254" s="41" t="str">
        <f>IFERROR(__xludf.DUMMYFUNCTION("""COMPUTED_VALUE"""),"Valley Forge Elm")</f>
        <v>Valley Forge Elm</v>
      </c>
      <c r="D254" s="41" t="str">
        <f>IFERROR(__xludf.DUMMYFUNCTION("""COMPUTED_VALUE"""),"#15")</f>
        <v>#15</v>
      </c>
      <c r="E254" s="43" t="str">
        <f>IFERROR(__xludf.DUMMYFUNCTION("""COMPUTED_VALUE"""),"1.25-1.25""")</f>
        <v>1.25-1.25"</v>
      </c>
      <c r="F254" s="41" t="str">
        <f>IFERROR(__xludf.DUMMYFUNCTION("""COMPUTED_VALUE"""),"13-15'")</f>
        <v>13-15'</v>
      </c>
      <c r="G254" s="44">
        <f>IFERROR(__xludf.DUMMYFUNCTION("""COMPUTED_VALUE"""),1.0)</f>
        <v>1</v>
      </c>
      <c r="H254" s="41">
        <f>IFERROR(__xludf.DUMMYFUNCTION("""COMPUTED_VALUE"""),5.0)</f>
        <v>5</v>
      </c>
      <c r="I254" s="45">
        <f>IFERROR(__xludf.DUMMYFUNCTION("""COMPUTED_VALUE"""),115.0)</f>
        <v>115</v>
      </c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 t="str">
        <f>IFERROR(__xludf.DUMMYFUNCTION("""COMPUTED_VALUE"""),"Ulmus parvifolia")</f>
        <v>Ulmus parvifolia</v>
      </c>
      <c r="B255" s="41">
        <f>IFERROR(__xludf.DUMMYFUNCTION("""COMPUTED_VALUE"""),5.0)</f>
        <v>5</v>
      </c>
      <c r="C255" s="41" t="str">
        <f>IFERROR(__xludf.DUMMYFUNCTION("""COMPUTED_VALUE"""),"Chinese Elm")</f>
        <v>Chinese Elm</v>
      </c>
      <c r="D255" s="41" t="str">
        <f>IFERROR(__xludf.DUMMYFUNCTION("""COMPUTED_VALUE"""),"#5")</f>
        <v>#5</v>
      </c>
      <c r="E255" s="43" t="str">
        <f>IFERROR(__xludf.DUMMYFUNCTION("""COMPUTED_VALUE"""),"1.25-1.5""")</f>
        <v>1.25-1.5"</v>
      </c>
      <c r="F255" s="41" t="str">
        <f>IFERROR(__xludf.DUMMYFUNCTION("""COMPUTED_VALUE"""),"9-10'")</f>
        <v>9-10'</v>
      </c>
      <c r="G255" s="44">
        <f>IFERROR(__xludf.DUMMYFUNCTION("""COMPUTED_VALUE"""),5.0)</f>
        <v>5</v>
      </c>
      <c r="H255" s="41">
        <f>IFERROR(__xludf.DUMMYFUNCTION("""COMPUTED_VALUE"""),0.0)</f>
        <v>0</v>
      </c>
      <c r="I255" s="45">
        <f>IFERROR(__xludf.DUMMYFUNCTION("""COMPUTED_VALUE"""),40.0)</f>
        <v>40</v>
      </c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 t="str">
        <f>IFERROR(__xludf.DUMMYFUNCTION("""COMPUTED_VALUE"""),"Ulmus parvifolia 'Frontier'")</f>
        <v>Ulmus parvifolia 'Frontier'</v>
      </c>
      <c r="B256" s="41">
        <f>IFERROR(__xludf.DUMMYFUNCTION("""COMPUTED_VALUE"""),5.0)</f>
        <v>5</v>
      </c>
      <c r="C256" s="41" t="str">
        <f>IFERROR(__xludf.DUMMYFUNCTION("""COMPUTED_VALUE"""),"Frontier Chinese Elm")</f>
        <v>Frontier Chinese Elm</v>
      </c>
      <c r="D256" s="41" t="str">
        <f>IFERROR(__xludf.DUMMYFUNCTION("""COMPUTED_VALUE"""),"#5")</f>
        <v>#5</v>
      </c>
      <c r="E256" s="43" t="str">
        <f>IFERROR(__xludf.DUMMYFUNCTION("""COMPUTED_VALUE"""),"0.75-1""")</f>
        <v>0.75-1"</v>
      </c>
      <c r="F256" s="41" t="str">
        <f>IFERROR(__xludf.DUMMYFUNCTION("""COMPUTED_VALUE"""),"6-8'")</f>
        <v>6-8'</v>
      </c>
      <c r="G256" s="44">
        <f>IFERROR(__xludf.DUMMYFUNCTION("""COMPUTED_VALUE"""),6.0)</f>
        <v>6</v>
      </c>
      <c r="H256" s="41">
        <f>IFERROR(__xludf.DUMMYFUNCTION("""COMPUTED_VALUE"""),0.0)</f>
        <v>0</v>
      </c>
      <c r="I256" s="45">
        <f>IFERROR(__xludf.DUMMYFUNCTION("""COMPUTED_VALUE"""),40.0)</f>
        <v>40</v>
      </c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 t="str">
        <f>IFERROR(__xludf.DUMMYFUNCTION("""COMPUTED_VALUE"""),"Ulmus wilsoniana 'Prospector'")</f>
        <v>Ulmus wilsoniana 'Prospector'</v>
      </c>
      <c r="B257" s="41">
        <f>IFERROR(__xludf.DUMMYFUNCTION("""COMPUTED_VALUE"""),15.0)</f>
        <v>15</v>
      </c>
      <c r="C257" s="41" t="str">
        <f>IFERROR(__xludf.DUMMYFUNCTION("""COMPUTED_VALUE"""),"Prospector Elm")</f>
        <v>Prospector Elm</v>
      </c>
      <c r="D257" s="41" t="str">
        <f>IFERROR(__xludf.DUMMYFUNCTION("""COMPUTED_VALUE"""),"#15")</f>
        <v>#15</v>
      </c>
      <c r="E257" s="43" t="str">
        <f>IFERROR(__xludf.DUMMYFUNCTION("""COMPUTED_VALUE"""),"1-1.5""")</f>
        <v>1-1.5"</v>
      </c>
      <c r="F257" s="41" t="str">
        <f>IFERROR(__xludf.DUMMYFUNCTION("""COMPUTED_VALUE"""),"9-12'")</f>
        <v>9-12'</v>
      </c>
      <c r="G257" s="44">
        <f>IFERROR(__xludf.DUMMYFUNCTION("""COMPUTED_VALUE"""),1.0)</f>
        <v>1</v>
      </c>
      <c r="H257" s="41">
        <f>IFERROR(__xludf.DUMMYFUNCTION("""COMPUTED_VALUE"""),0.0)</f>
        <v>0</v>
      </c>
      <c r="I257" s="45">
        <f>IFERROR(__xludf.DUMMYFUNCTION("""COMPUTED_VALUE"""),115.0)</f>
        <v>115</v>
      </c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 t="str">
        <f>IFERROR(__xludf.DUMMYFUNCTION("""COMPUTED_VALUE"""),"Ulmus wilsoniana 'Prospector'")</f>
        <v>Ulmus wilsoniana 'Prospector'</v>
      </c>
      <c r="B258" s="41">
        <f>IFERROR(__xludf.DUMMYFUNCTION("""COMPUTED_VALUE"""),25.0)</f>
        <v>25</v>
      </c>
      <c r="C258" s="41" t="str">
        <f>IFERROR(__xludf.DUMMYFUNCTION("""COMPUTED_VALUE"""),"Prospector Elm")</f>
        <v>Prospector Elm</v>
      </c>
      <c r="D258" s="41" t="str">
        <f>IFERROR(__xludf.DUMMYFUNCTION("""COMPUTED_VALUE"""),"#25p")</f>
        <v>#25p</v>
      </c>
      <c r="E258" s="43" t="str">
        <f>IFERROR(__xludf.DUMMYFUNCTION("""COMPUTED_VALUE"""),"1.5-1.5""")</f>
        <v>1.5-1.5"</v>
      </c>
      <c r="F258" s="41" t="str">
        <f>IFERROR(__xludf.DUMMYFUNCTION("""COMPUTED_VALUE"""),"13-14'")</f>
        <v>13-14'</v>
      </c>
      <c r="G258" s="44">
        <f>IFERROR(__xludf.DUMMYFUNCTION("""COMPUTED_VALUE"""),2.0)</f>
        <v>2</v>
      </c>
      <c r="H258" s="41">
        <f>IFERROR(__xludf.DUMMYFUNCTION("""COMPUTED_VALUE"""),0.0)</f>
        <v>0</v>
      </c>
      <c r="I258" s="45">
        <f>IFERROR(__xludf.DUMMYFUNCTION("""COMPUTED_VALUE"""),140.0)</f>
        <v>140</v>
      </c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 t="str">
        <f>IFERROR(__xludf.DUMMYFUNCTION("""COMPUTED_VALUE"""),"Viburnum prunifolium")</f>
        <v>Viburnum prunifolium</v>
      </c>
      <c r="B259" s="41">
        <f>IFERROR(__xludf.DUMMYFUNCTION("""COMPUTED_VALUE"""),5.0)</f>
        <v>5</v>
      </c>
      <c r="C259" s="41" t="str">
        <f>IFERROR(__xludf.DUMMYFUNCTION("""COMPUTED_VALUE"""),"Blackhaw Vibrunum")</f>
        <v>Blackhaw Vibrunum</v>
      </c>
      <c r="D259" s="41" t="str">
        <f>IFERROR(__xludf.DUMMYFUNCTION("""COMPUTED_VALUE"""),"#5")</f>
        <v>#5</v>
      </c>
      <c r="E259" s="43" t="str">
        <f>IFERROR(__xludf.DUMMYFUNCTION("""COMPUTED_VALUE"""),"0.25-0.5""")</f>
        <v>0.25-0.5"</v>
      </c>
      <c r="F259" s="41" t="str">
        <f>IFERROR(__xludf.DUMMYFUNCTION("""COMPUTED_VALUE"""),"2-4'")</f>
        <v>2-4'</v>
      </c>
      <c r="G259" s="41">
        <f>IFERROR(__xludf.DUMMYFUNCTION("""COMPUTED_VALUE"""),7.0)</f>
        <v>7</v>
      </c>
      <c r="H259" s="41">
        <f>IFERROR(__xludf.DUMMYFUNCTION("""COMPUTED_VALUE"""),0.0)</f>
        <v>0</v>
      </c>
      <c r="I259" s="45">
        <f>IFERROR(__xludf.DUMMYFUNCTION("""COMPUTED_VALUE"""),40.0)</f>
        <v>40</v>
      </c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 t="str">
        <f>IFERROR(__xludf.DUMMYFUNCTION("""COMPUTED_VALUE"""),"Viburnum trilobum")</f>
        <v>Viburnum trilobum</v>
      </c>
      <c r="B260" s="41">
        <f>IFERROR(__xludf.DUMMYFUNCTION("""COMPUTED_VALUE"""),3.0)</f>
        <v>3</v>
      </c>
      <c r="C260" s="41" t="str">
        <f>IFERROR(__xludf.DUMMYFUNCTION("""COMPUTED_VALUE"""),"Cranberry Viburnum")</f>
        <v>Cranberry Viburnum</v>
      </c>
      <c r="D260" s="41" t="str">
        <f>IFERROR(__xludf.DUMMYFUNCTION("""COMPUTED_VALUE"""),"#3")</f>
        <v>#3</v>
      </c>
      <c r="E260" s="43" t="str">
        <f>IFERROR(__xludf.DUMMYFUNCTION("""COMPUTED_VALUE"""),"0-0""")</f>
        <v>0-0"</v>
      </c>
      <c r="F260" s="41" t="str">
        <f>IFERROR(__xludf.DUMMYFUNCTION("""COMPUTED_VALUE"""),"1-2'")</f>
        <v>1-2'</v>
      </c>
      <c r="G260" s="41">
        <f>IFERROR(__xludf.DUMMYFUNCTION("""COMPUTED_VALUE"""),5.0)</f>
        <v>5</v>
      </c>
      <c r="H260" s="41">
        <f>IFERROR(__xludf.DUMMYFUNCTION("""COMPUTED_VALUE"""),0.0)</f>
        <v>0</v>
      </c>
      <c r="I260" s="45">
        <f>IFERROR(__xludf.DUMMYFUNCTION("""COMPUTED_VALUE"""),35.0)</f>
        <v>35</v>
      </c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 t="str">
        <f>IFERROR(__xludf.DUMMYFUNCTION("""COMPUTED_VALUE"""),"X Gordlinia grandiflora")</f>
        <v>X Gordlinia grandiflora</v>
      </c>
      <c r="B261" s="41">
        <f>IFERROR(__xludf.DUMMYFUNCTION("""COMPUTED_VALUE"""),5.0)</f>
        <v>5</v>
      </c>
      <c r="C261" s="41" t="str">
        <f>IFERROR(__xludf.DUMMYFUNCTION("""COMPUTED_VALUE"""),"Gordlinia")</f>
        <v>Gordlinia</v>
      </c>
      <c r="D261" s="41" t="str">
        <f>IFERROR(__xludf.DUMMYFUNCTION("""COMPUTED_VALUE"""),"#5")</f>
        <v>#5</v>
      </c>
      <c r="E261" s="43" t="str">
        <f>IFERROR(__xludf.DUMMYFUNCTION("""COMPUTED_VALUE"""),"0-1""")</f>
        <v>0-1"</v>
      </c>
      <c r="F261" s="41" t="str">
        <f>IFERROR(__xludf.DUMMYFUNCTION("""COMPUTED_VALUE"""),"0-7'")</f>
        <v>0-7'</v>
      </c>
      <c r="G261" s="44">
        <f>IFERROR(__xludf.DUMMYFUNCTION("""COMPUTED_VALUE"""),0.0)</f>
        <v>0</v>
      </c>
      <c r="H261" s="41">
        <f>IFERROR(__xludf.DUMMYFUNCTION("""COMPUTED_VALUE"""),50.0)</f>
        <v>50</v>
      </c>
      <c r="I261" s="45">
        <f>IFERROR(__xludf.DUMMYFUNCTION("""COMPUTED_VALUE"""),45.0)</f>
        <v>45</v>
      </c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 t="str">
        <f>IFERROR(__xludf.DUMMYFUNCTION("""COMPUTED_VALUE"""),"Zelkova serrata 'Green Vase'")</f>
        <v>Zelkova serrata 'Green Vase'</v>
      </c>
      <c r="B262" s="41">
        <f>IFERROR(__xludf.DUMMYFUNCTION("""COMPUTED_VALUE"""),15.0)</f>
        <v>15</v>
      </c>
      <c r="C262" s="41" t="str">
        <f>IFERROR(__xludf.DUMMYFUNCTION("""COMPUTED_VALUE"""),"Green Vase Zelkova")</f>
        <v>Green Vase Zelkova</v>
      </c>
      <c r="D262" s="41" t="str">
        <f>IFERROR(__xludf.DUMMYFUNCTION("""COMPUTED_VALUE"""),"#15")</f>
        <v>#15</v>
      </c>
      <c r="E262" s="43" t="str">
        <f>IFERROR(__xludf.DUMMYFUNCTION("""COMPUTED_VALUE"""),"0-1.5""")</f>
        <v>0-1.5"</v>
      </c>
      <c r="F262" s="41" t="str">
        <f>IFERROR(__xludf.DUMMYFUNCTION("""COMPUTED_VALUE"""),"0-12'")</f>
        <v>0-12'</v>
      </c>
      <c r="G262" s="44">
        <f>IFERROR(__xludf.DUMMYFUNCTION("""COMPUTED_VALUE"""),0.0)</f>
        <v>0</v>
      </c>
      <c r="H262" s="41">
        <f>IFERROR(__xludf.DUMMYFUNCTION("""COMPUTED_VALUE"""),13.0)</f>
        <v>13</v>
      </c>
      <c r="I262" s="45">
        <f>IFERROR(__xludf.DUMMYFUNCTION("""COMPUTED_VALUE"""),115.0)</f>
        <v>115</v>
      </c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 t="str">
        <f>IFERROR(__xludf.DUMMYFUNCTION("""COMPUTED_VALUE"""),"Zelkova serrata 'Musashino'")</f>
        <v>Zelkova serrata 'Musashino'</v>
      </c>
      <c r="B263" s="41">
        <f>IFERROR(__xludf.DUMMYFUNCTION("""COMPUTED_VALUE"""),15.0)</f>
        <v>15</v>
      </c>
      <c r="C263" s="41" t="str">
        <f>IFERROR(__xludf.DUMMYFUNCTION("""COMPUTED_VALUE"""),"Musashino Zelkova")</f>
        <v>Musashino Zelkova</v>
      </c>
      <c r="D263" s="41" t="str">
        <f>IFERROR(__xludf.DUMMYFUNCTION("""COMPUTED_VALUE"""),"#15")</f>
        <v>#15</v>
      </c>
      <c r="E263" s="43" t="str">
        <f>IFERROR(__xludf.DUMMYFUNCTION("""COMPUTED_VALUE"""),"1.5-1.5""")</f>
        <v>1.5-1.5"</v>
      </c>
      <c r="F263" s="41" t="str">
        <f>IFERROR(__xludf.DUMMYFUNCTION("""COMPUTED_VALUE"""),"10-11'")</f>
        <v>10-11'</v>
      </c>
      <c r="G263" s="44">
        <f>IFERROR(__xludf.DUMMYFUNCTION("""COMPUTED_VALUE"""),1.0)</f>
        <v>1</v>
      </c>
      <c r="H263" s="41">
        <f>IFERROR(__xludf.DUMMYFUNCTION("""COMPUTED_VALUE"""),0.0)</f>
        <v>0</v>
      </c>
      <c r="I263" s="45">
        <f>IFERROR(__xludf.DUMMYFUNCTION("""COMPUTED_VALUE"""),115.0)</f>
        <v>115</v>
      </c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38.43"/>
    <col customWidth="1" min="2" max="2" width="33.0"/>
    <col customWidth="1" min="3" max="3" width="10.71"/>
    <col customWidth="1" min="4" max="4" width="9.71"/>
    <col customWidth="1" min="5" max="5" width="9.29"/>
    <col customWidth="1" min="6" max="6" width="9.14"/>
    <col customWidth="1" min="7" max="7" width="10.71"/>
  </cols>
  <sheetData>
    <row r="1">
      <c r="A1" s="14" t="s">
        <v>6</v>
      </c>
      <c r="B1" s="15"/>
      <c r="D1" s="13"/>
      <c r="E1" s="13"/>
      <c r="F1" s="13"/>
      <c r="G1" s="13"/>
      <c r="H1" s="7"/>
    </row>
    <row r="2">
      <c r="A2" s="16" t="s">
        <v>7</v>
      </c>
      <c r="B2" s="6"/>
      <c r="D2" s="17"/>
      <c r="E2" s="13"/>
      <c r="F2" s="13"/>
      <c r="G2" s="13"/>
      <c r="H2" s="7"/>
    </row>
    <row r="3">
      <c r="A3" s="18" t="s">
        <v>8</v>
      </c>
      <c r="B3" s="6"/>
      <c r="D3" s="6"/>
      <c r="E3" s="13"/>
      <c r="F3" s="13"/>
      <c r="G3" s="13"/>
      <c r="H3" s="7"/>
    </row>
    <row r="4">
      <c r="A4" s="21" t="s">
        <v>9</v>
      </c>
      <c r="B4" s="6"/>
      <c r="D4" s="22"/>
      <c r="E4" s="48" t="s">
        <v>10</v>
      </c>
      <c r="F4" s="13"/>
      <c r="G4" s="13"/>
      <c r="H4" s="7"/>
    </row>
    <row r="5">
      <c r="A5" s="24" t="str">
        <f>'Fruit Trees'!A1</f>
        <v>Common Name</v>
      </c>
      <c r="B5" s="24" t="str">
        <f>'Fruit Trees'!C1</f>
        <v>Pot Size</v>
      </c>
      <c r="C5" s="24" t="str">
        <f>'Fruit Trees'!D1</f>
        <v>Caliper</v>
      </c>
      <c r="D5" s="24" t="str">
        <f>'Fruit Trees'!E1</f>
        <v>Height</v>
      </c>
      <c r="E5" s="24" t="str">
        <f>'Fruit Trees'!F1</f>
        <v>Quantity </v>
      </c>
      <c r="F5" s="24" t="str">
        <f>'Fruit Trees'!G1</f>
        <v>Projected</v>
      </c>
      <c r="G5" s="24" t="str">
        <f>'Fruit Trees'!H1</f>
        <v>Price</v>
      </c>
      <c r="H5" s="24"/>
    </row>
    <row r="6">
      <c r="A6" s="27" t="str">
        <f>'Fruit Trees'!A2</f>
        <v>Apple - Ambrosia</v>
      </c>
      <c r="B6" s="27" t="str">
        <f>'Fruit Trees'!C2</f>
        <v>#5</v>
      </c>
      <c r="C6" s="28" t="str">
        <f>'Fruit Trees'!D2</f>
        <v>0.5-0.75"</v>
      </c>
      <c r="D6" s="27" t="str">
        <f>'Fruit Trees'!E2</f>
        <v>5-6'</v>
      </c>
      <c r="E6" s="49">
        <f>'Fruit Trees'!F2</f>
        <v>2</v>
      </c>
      <c r="F6" s="27">
        <f>'Fruit Trees'!G2</f>
        <v>20</v>
      </c>
      <c r="G6" s="30">
        <f>'Fruit Trees'!H2</f>
        <v>45</v>
      </c>
    </row>
    <row r="7">
      <c r="A7" s="27" t="str">
        <f>'Fruit Trees'!A3</f>
        <v>Apple - Arkansas Black</v>
      </c>
      <c r="B7" s="27" t="str">
        <f>'Fruit Trees'!C3</f>
        <v>#5</v>
      </c>
      <c r="C7" s="28" t="str">
        <f>'Fruit Trees'!D3</f>
        <v>0.75-1"</v>
      </c>
      <c r="D7" s="27" t="str">
        <f>'Fruit Trees'!E3</f>
        <v>4-5'</v>
      </c>
      <c r="E7" s="49">
        <f>'Fruit Trees'!F3</f>
        <v>6</v>
      </c>
      <c r="F7" s="27">
        <f>'Fruit Trees'!G3</f>
        <v>100</v>
      </c>
      <c r="G7" s="30">
        <f>'Fruit Trees'!H3</f>
        <v>45</v>
      </c>
    </row>
    <row r="8">
      <c r="A8" s="27" t="str">
        <f>'Fruit Trees'!A4</f>
        <v>Apple - Aztec Fuji</v>
      </c>
      <c r="B8" s="27" t="str">
        <f>'Fruit Trees'!C4</f>
        <v>#5</v>
      </c>
      <c r="C8" s="28" t="str">
        <f>'Fruit Trees'!D4</f>
        <v>0.5-0.5"</v>
      </c>
      <c r="D8" s="27" t="str">
        <f>'Fruit Trees'!E4</f>
        <v>3-4'</v>
      </c>
      <c r="E8" s="49">
        <f>'Fruit Trees'!F4</f>
        <v>0</v>
      </c>
      <c r="F8" s="27">
        <f>'Fruit Trees'!G4</f>
        <v>10</v>
      </c>
      <c r="G8" s="30">
        <f>'Fruit Trees'!H4</f>
        <v>45</v>
      </c>
    </row>
    <row r="9">
      <c r="A9" s="27" t="str">
        <f>'Fruit Trees'!A5</f>
        <v>Apple - Baldwin</v>
      </c>
      <c r="B9" s="27" t="str">
        <f>'Fruit Trees'!C5</f>
        <v>#5</v>
      </c>
      <c r="C9" s="28" t="str">
        <f>'Fruit Trees'!D5</f>
        <v>0-1"</v>
      </c>
      <c r="D9" s="27" t="str">
        <f>'Fruit Trees'!E5</f>
        <v>0-8'</v>
      </c>
      <c r="E9" s="49">
        <f>'Fruit Trees'!F5</f>
        <v>0</v>
      </c>
      <c r="F9" s="27">
        <f>'Fruit Trees'!G5</f>
        <v>15</v>
      </c>
      <c r="G9" s="30">
        <f>'Fruit Trees'!H5</f>
        <v>45</v>
      </c>
    </row>
    <row r="10">
      <c r="A10" s="27" t="str">
        <f>'Fruit Trees'!A6</f>
        <v>Apple - Baldwin</v>
      </c>
      <c r="B10" s="27" t="str">
        <f>'Fruit Trees'!C6</f>
        <v>#7</v>
      </c>
      <c r="C10" s="28" t="str">
        <f>'Fruit Trees'!D6</f>
        <v>0.75-1"</v>
      </c>
      <c r="D10" s="27" t="str">
        <f>'Fruit Trees'!E6</f>
        <v>7-8'</v>
      </c>
      <c r="E10" s="49">
        <f>'Fruit Trees'!F6</f>
        <v>2</v>
      </c>
      <c r="F10" s="27">
        <f>'Fruit Trees'!G6</f>
        <v>0</v>
      </c>
      <c r="G10" s="30">
        <f>'Fruit Trees'!H6</f>
        <v>60</v>
      </c>
    </row>
    <row r="11">
      <c r="A11" s="27" t="str">
        <f>'Fruit Trees'!A7</f>
        <v>Apple - Crimson Crisp</v>
      </c>
      <c r="B11" s="27" t="str">
        <f>'Fruit Trees'!C7</f>
        <v>#5</v>
      </c>
      <c r="C11" s="28" t="str">
        <f>'Fruit Trees'!D7</f>
        <v>0-1"</v>
      </c>
      <c r="D11" s="27" t="str">
        <f>'Fruit Trees'!E7</f>
        <v>0-9'</v>
      </c>
      <c r="E11" s="49">
        <f>'Fruit Trees'!F7</f>
        <v>0</v>
      </c>
      <c r="F11" s="27">
        <f>'Fruit Trees'!G7</f>
        <v>50</v>
      </c>
      <c r="G11" s="30">
        <f>'Fruit Trees'!H7</f>
        <v>45</v>
      </c>
    </row>
    <row r="12">
      <c r="A12" s="27" t="str">
        <f>'Fruit Trees'!A8</f>
        <v>Apple - Crown Empire</v>
      </c>
      <c r="B12" s="27" t="str">
        <f>'Fruit Trees'!C8</f>
        <v>#5</v>
      </c>
      <c r="C12" s="28" t="str">
        <f>'Fruit Trees'!D8</f>
        <v>0.25-0.5"</v>
      </c>
      <c r="D12" s="27" t="str">
        <f>'Fruit Trees'!E8</f>
        <v>3-4'</v>
      </c>
      <c r="E12" s="49">
        <f>'Fruit Trees'!F8</f>
        <v>0</v>
      </c>
      <c r="F12" s="27">
        <f>'Fruit Trees'!G8</f>
        <v>5</v>
      </c>
      <c r="G12" s="30">
        <f>'Fruit Trees'!H8</f>
        <v>45</v>
      </c>
    </row>
    <row r="13">
      <c r="A13" s="27" t="str">
        <f>'Fruit Trees'!A9</f>
        <v>Apple - Enterprise</v>
      </c>
      <c r="B13" s="27" t="str">
        <f>'Fruit Trees'!C9</f>
        <v>#10</v>
      </c>
      <c r="C13" s="28" t="str">
        <f>'Fruit Trees'!D9</f>
        <v>0.5-1"</v>
      </c>
      <c r="D13" s="27" t="str">
        <f>'Fruit Trees'!E9</f>
        <v>6-7'</v>
      </c>
      <c r="E13" s="49">
        <f>'Fruit Trees'!F9</f>
        <v>1</v>
      </c>
      <c r="F13" s="27">
        <f>'Fruit Trees'!G9</f>
        <v>0</v>
      </c>
      <c r="G13" s="30">
        <f>'Fruit Trees'!H9</f>
        <v>70</v>
      </c>
    </row>
    <row r="14">
      <c r="A14" s="27" t="str">
        <f>'Fruit Trees'!A10</f>
        <v>Apple - Enterprise (Dwarf)</v>
      </c>
      <c r="B14" s="27" t="str">
        <f>'Fruit Trees'!C10</f>
        <v>#5</v>
      </c>
      <c r="C14" s="28" t="str">
        <f>'Fruit Trees'!D10</f>
        <v>0.75-1"</v>
      </c>
      <c r="D14" s="27" t="str">
        <f>'Fruit Trees'!E10</f>
        <v>7-8'</v>
      </c>
      <c r="E14" s="49">
        <f>'Fruit Trees'!F10</f>
        <v>9</v>
      </c>
      <c r="F14" s="27">
        <f>'Fruit Trees'!G10</f>
        <v>0</v>
      </c>
      <c r="G14" s="30">
        <f>'Fruit Trees'!H10</f>
        <v>45</v>
      </c>
    </row>
    <row r="15">
      <c r="A15" s="27" t="str">
        <f>'Fruit Trees'!A11</f>
        <v>Apple - Enterprise (Semi-Dwarf)</v>
      </c>
      <c r="B15" s="27" t="str">
        <f>'Fruit Trees'!C11</f>
        <v>#5</v>
      </c>
      <c r="C15" s="28" t="str">
        <f>'Fruit Trees'!D11</f>
        <v>1-1.25"</v>
      </c>
      <c r="D15" s="27" t="str">
        <f>'Fruit Trees'!E11</f>
        <v>7-8'</v>
      </c>
      <c r="E15" s="49">
        <f>'Fruit Trees'!F11</f>
        <v>2</v>
      </c>
      <c r="F15" s="27">
        <f>'Fruit Trees'!G11</f>
        <v>0</v>
      </c>
      <c r="G15" s="30">
        <f>'Fruit Trees'!H11</f>
        <v>45</v>
      </c>
    </row>
    <row r="16">
      <c r="A16" s="27" t="str">
        <f>'Fruit Trees'!A12</f>
        <v>Apple - Freedom</v>
      </c>
      <c r="B16" s="27" t="str">
        <f>'Fruit Trees'!C12</f>
        <v>#5</v>
      </c>
      <c r="C16" s="28" t="str">
        <f>'Fruit Trees'!D12</f>
        <v>0-0.75"</v>
      </c>
      <c r="D16" s="27" t="str">
        <f>'Fruit Trees'!E12</f>
        <v>0-5'</v>
      </c>
      <c r="E16" s="49">
        <f>'Fruit Trees'!F12</f>
        <v>0</v>
      </c>
      <c r="F16" s="27">
        <f>'Fruit Trees'!G12</f>
        <v>50</v>
      </c>
      <c r="G16" s="30">
        <f>'Fruit Trees'!H12</f>
        <v>45</v>
      </c>
    </row>
    <row r="17">
      <c r="A17" s="27" t="str">
        <f>'Fruit Trees'!A13</f>
        <v>Apple - Fuji</v>
      </c>
      <c r="B17" s="27" t="str">
        <f>'Fruit Trees'!C13</f>
        <v>#5</v>
      </c>
      <c r="C17" s="28" t="str">
        <f>'Fruit Trees'!D13</f>
        <v>0-1.25"</v>
      </c>
      <c r="D17" s="27" t="str">
        <f>'Fruit Trees'!E13</f>
        <v>0-8'</v>
      </c>
      <c r="E17" s="49">
        <f>'Fruit Trees'!F13</f>
        <v>0</v>
      </c>
      <c r="F17" s="27">
        <f>'Fruit Trees'!G13</f>
        <v>50</v>
      </c>
      <c r="G17" s="30">
        <f>'Fruit Trees'!H13</f>
        <v>45</v>
      </c>
    </row>
    <row r="18">
      <c r="A18" s="27" t="str">
        <f>'Fruit Trees'!A14</f>
        <v>Apple - Fuji</v>
      </c>
      <c r="B18" s="27" t="str">
        <f>'Fruit Trees'!C14</f>
        <v>#10</v>
      </c>
      <c r="C18" s="28" t="str">
        <f>'Fruit Trees'!D14</f>
        <v>1-1.25"</v>
      </c>
      <c r="D18" s="27" t="str">
        <f>'Fruit Trees'!E14</f>
        <v>7-8'</v>
      </c>
      <c r="E18" s="49">
        <f>'Fruit Trees'!F14</f>
        <v>4</v>
      </c>
      <c r="F18" s="27">
        <f>'Fruit Trees'!G14</f>
        <v>0</v>
      </c>
      <c r="G18" s="30">
        <f>'Fruit Trees'!H14</f>
        <v>70</v>
      </c>
    </row>
    <row r="19">
      <c r="A19" s="27" t="str">
        <f>'Fruit Trees'!A15</f>
        <v>Apple - Fuji Espalier 3-Tier</v>
      </c>
      <c r="B19" s="27" t="str">
        <f>'Fruit Trees'!C15</f>
        <v>#15</v>
      </c>
      <c r="C19" s="28" t="str">
        <f>'Fruit Trees'!D15</f>
        <v>0.75-1"</v>
      </c>
      <c r="D19" s="27" t="str">
        <f>'Fruit Trees'!E15</f>
        <v>6-7'</v>
      </c>
      <c r="E19" s="49">
        <f>'Fruit Trees'!F15</f>
        <v>0</v>
      </c>
      <c r="F19" s="27">
        <f>'Fruit Trees'!G15</f>
        <v>5</v>
      </c>
      <c r="G19" s="30">
        <f>'Fruit Trees'!H15</f>
        <v>180</v>
      </c>
    </row>
    <row r="20">
      <c r="A20" s="27" t="str">
        <f>'Fruit Trees'!A16</f>
        <v>Apple - Gala</v>
      </c>
      <c r="B20" s="27" t="str">
        <f>'Fruit Trees'!C16</f>
        <v>#5</v>
      </c>
      <c r="C20" s="28" t="str">
        <f>'Fruit Trees'!D16</f>
        <v>0-1"</v>
      </c>
      <c r="D20" s="27" t="str">
        <f>'Fruit Trees'!E16</f>
        <v>0-7'</v>
      </c>
      <c r="E20" s="49">
        <f>'Fruit Trees'!F16</f>
        <v>0</v>
      </c>
      <c r="F20" s="27">
        <f>'Fruit Trees'!G16</f>
        <v>50</v>
      </c>
      <c r="G20" s="30">
        <f>'Fruit Trees'!H16</f>
        <v>45</v>
      </c>
    </row>
    <row r="21">
      <c r="A21" s="27" t="str">
        <f>'Fruit Trees'!A17</f>
        <v>Apple - Gala Espalier 3 tier</v>
      </c>
      <c r="B21" s="27" t="str">
        <f>'Fruit Trees'!C17</f>
        <v>#15</v>
      </c>
      <c r="C21" s="28" t="str">
        <f>'Fruit Trees'!D17</f>
        <v>0.75-1"</v>
      </c>
      <c r="D21" s="27" t="str">
        <f>'Fruit Trees'!E17</f>
        <v>6-7'</v>
      </c>
      <c r="E21" s="49">
        <f>'Fruit Trees'!F17</f>
        <v>0</v>
      </c>
      <c r="F21" s="27">
        <f>'Fruit Trees'!G17</f>
        <v>5</v>
      </c>
      <c r="G21" s="30">
        <f>'Fruit Trees'!H17</f>
        <v>180</v>
      </c>
    </row>
    <row r="22">
      <c r="A22" s="27" t="str">
        <f>'Fruit Trees'!A18</f>
        <v>Apple - Galarina</v>
      </c>
      <c r="B22" s="27" t="str">
        <f>'Fruit Trees'!C18</f>
        <v>#5</v>
      </c>
      <c r="C22" s="28" t="str">
        <f>'Fruit Trees'!D18</f>
        <v>0-1"</v>
      </c>
      <c r="D22" s="27" t="str">
        <f>'Fruit Trees'!E18</f>
        <v>0-6'</v>
      </c>
      <c r="E22" s="49">
        <f>'Fruit Trees'!F18</f>
        <v>0</v>
      </c>
      <c r="F22" s="27">
        <f>'Fruit Trees'!G18</f>
        <v>85</v>
      </c>
      <c r="G22" s="30">
        <f>'Fruit Trees'!H18</f>
        <v>45</v>
      </c>
    </row>
    <row r="23">
      <c r="A23" s="27" t="str">
        <f>'Fruit Trees'!A19</f>
        <v>Apple - Gold Rush</v>
      </c>
      <c r="B23" s="27" t="str">
        <f>'Fruit Trees'!C19</f>
        <v>#5</v>
      </c>
      <c r="C23" s="28" t="str">
        <f>'Fruit Trees'!D19</f>
        <v>0.5-0.75"</v>
      </c>
      <c r="D23" s="27" t="str">
        <f>'Fruit Trees'!E19</f>
        <v>4-5'</v>
      </c>
      <c r="E23" s="49">
        <f>'Fruit Trees'!F19</f>
        <v>0</v>
      </c>
      <c r="F23" s="27">
        <f>'Fruit Trees'!G19</f>
        <v>20</v>
      </c>
      <c r="G23" s="30">
        <f>'Fruit Trees'!H19</f>
        <v>45</v>
      </c>
    </row>
    <row r="24">
      <c r="A24" s="27" t="str">
        <f>'Fruit Trees'!A20</f>
        <v>Apple - Golden Delicious</v>
      </c>
      <c r="B24" s="27" t="str">
        <f>'Fruit Trees'!C20</f>
        <v>#5</v>
      </c>
      <c r="C24" s="28" t="str">
        <f>'Fruit Trees'!D20</f>
        <v>0.75-0.75"</v>
      </c>
      <c r="D24" s="27" t="str">
        <f>'Fruit Trees'!E20</f>
        <v>5-5'</v>
      </c>
      <c r="E24" s="27">
        <f>'Fruit Trees'!F20</f>
        <v>1</v>
      </c>
      <c r="F24" s="27">
        <f>'Fruit Trees'!G20</f>
        <v>0</v>
      </c>
      <c r="G24" s="30">
        <f>'Fruit Trees'!H20</f>
        <v>45</v>
      </c>
    </row>
    <row r="25">
      <c r="A25" s="27" t="str">
        <f>'Fruit Trees'!A21</f>
        <v>Apple - Granny Smith</v>
      </c>
      <c r="B25" s="27" t="str">
        <f>'Fruit Trees'!C21</f>
        <v>#5</v>
      </c>
      <c r="C25" s="28" t="str">
        <f>'Fruit Trees'!D21</f>
        <v>0.75-1"</v>
      </c>
      <c r="D25" s="27" t="str">
        <f>'Fruit Trees'!E21</f>
        <v>5-8'</v>
      </c>
      <c r="E25" s="49">
        <f>'Fruit Trees'!F21</f>
        <v>28</v>
      </c>
      <c r="F25" s="27">
        <f>'Fruit Trees'!G21</f>
        <v>50</v>
      </c>
      <c r="G25" s="30">
        <f>'Fruit Trees'!H21</f>
        <v>45</v>
      </c>
    </row>
    <row r="26">
      <c r="A26" s="27" t="str">
        <f>'Fruit Trees'!A22</f>
        <v>Apple - Honeycrisp</v>
      </c>
      <c r="B26" s="27" t="str">
        <f>'Fruit Trees'!C22</f>
        <v>#5</v>
      </c>
      <c r="C26" s="28" t="str">
        <f>'Fruit Trees'!D22</f>
        <v>0-1"</v>
      </c>
      <c r="D26" s="27" t="str">
        <f>'Fruit Trees'!E22</f>
        <v>0-7'</v>
      </c>
      <c r="E26" s="49">
        <f>'Fruit Trees'!F22</f>
        <v>0</v>
      </c>
      <c r="F26" s="27">
        <f>'Fruit Trees'!G22</f>
        <v>22.5</v>
      </c>
      <c r="G26" s="30">
        <f>'Fruit Trees'!H22</f>
        <v>45</v>
      </c>
    </row>
    <row r="27">
      <c r="A27" s="27" t="str">
        <f>'Fruit Trees'!A23</f>
        <v>Apple - Initial</v>
      </c>
      <c r="B27" s="27" t="str">
        <f>'Fruit Trees'!C23</f>
        <v>#5</v>
      </c>
      <c r="C27" s="28" t="str">
        <f>'Fruit Trees'!D23</f>
        <v>0-0.75"</v>
      </c>
      <c r="D27" s="27" t="str">
        <f>'Fruit Trees'!E23</f>
        <v>0-5'</v>
      </c>
      <c r="E27" s="27">
        <f>'Fruit Trees'!F23</f>
        <v>0</v>
      </c>
      <c r="F27" s="27">
        <f>'Fruit Trees'!G23</f>
        <v>20</v>
      </c>
      <c r="G27" s="30">
        <f>'Fruit Trees'!H23</f>
        <v>45</v>
      </c>
    </row>
    <row r="28">
      <c r="A28" s="27" t="str">
        <f>'Fruit Trees'!A24</f>
        <v>Apple - Initial</v>
      </c>
      <c r="B28" s="27" t="str">
        <f>'Fruit Trees'!C24</f>
        <v>#5</v>
      </c>
      <c r="C28" s="28" t="str">
        <f>'Fruit Trees'!D24</f>
        <v>0.5-0.5"</v>
      </c>
      <c r="D28" s="27" t="str">
        <f>'Fruit Trees'!E24</f>
        <v>3-4'</v>
      </c>
      <c r="E28" s="49">
        <f>'Fruit Trees'!F24</f>
        <v>0</v>
      </c>
      <c r="F28" s="27">
        <f>'Fruit Trees'!G24</f>
        <v>20</v>
      </c>
      <c r="G28" s="30">
        <f>'Fruit Trees'!H24</f>
        <v>45</v>
      </c>
    </row>
    <row r="29">
      <c r="A29" s="27" t="str">
        <f>'Fruit Trees'!A25</f>
        <v>Apple - Liberty</v>
      </c>
      <c r="B29" s="27" t="str">
        <f>'Fruit Trees'!C25</f>
        <v>#5</v>
      </c>
      <c r="C29" s="28" t="str">
        <f>'Fruit Trees'!D25</f>
        <v>0-1"</v>
      </c>
      <c r="D29" s="27" t="str">
        <f>'Fruit Trees'!E25</f>
        <v>0-7'</v>
      </c>
      <c r="E29" s="49">
        <f>'Fruit Trees'!F25</f>
        <v>0</v>
      </c>
      <c r="F29" s="27">
        <f>'Fruit Trees'!G25</f>
        <v>100</v>
      </c>
      <c r="G29" s="30">
        <f>'Fruit Trees'!H25</f>
        <v>45</v>
      </c>
    </row>
    <row r="30">
      <c r="A30" s="27" t="str">
        <f>'Fruit Trees'!A26</f>
        <v>Apple - Macoun</v>
      </c>
      <c r="B30" s="27" t="str">
        <f>'Fruit Trees'!C26</f>
        <v>#5</v>
      </c>
      <c r="C30" s="28" t="str">
        <f>'Fruit Trees'!D26</f>
        <v>0.5-0.5"</v>
      </c>
      <c r="D30" s="27" t="str">
        <f>'Fruit Trees'!E26</f>
        <v>3-4'</v>
      </c>
      <c r="E30" s="49">
        <f>'Fruit Trees'!F26</f>
        <v>0</v>
      </c>
      <c r="F30" s="27">
        <f>'Fruit Trees'!G26</f>
        <v>20</v>
      </c>
      <c r="G30" s="30">
        <f>'Fruit Trees'!H26</f>
        <v>45</v>
      </c>
    </row>
    <row r="31">
      <c r="A31" s="27" t="str">
        <f>'Fruit Trees'!A27</f>
        <v>Apple - Northern Spy</v>
      </c>
      <c r="B31" s="27" t="str">
        <f>'Fruit Trees'!C27</f>
        <v>#5</v>
      </c>
      <c r="C31" s="28" t="str">
        <f>'Fruit Trees'!D27</f>
        <v>0.38-0.75"</v>
      </c>
      <c r="D31" s="27" t="str">
        <f>'Fruit Trees'!E27</f>
        <v>3-5'</v>
      </c>
      <c r="E31" s="49">
        <f>'Fruit Trees'!F27</f>
        <v>0</v>
      </c>
      <c r="F31" s="27">
        <f>'Fruit Trees'!G27</f>
        <v>50</v>
      </c>
      <c r="G31" s="30">
        <f>'Fruit Trees'!H27</f>
        <v>45</v>
      </c>
    </row>
    <row r="32">
      <c r="A32" s="27" t="str">
        <f>'Fruit Trees'!A28</f>
        <v>Apple - Nova Spy</v>
      </c>
      <c r="B32" s="27" t="str">
        <f>'Fruit Trees'!C28</f>
        <v>#5</v>
      </c>
      <c r="C32" s="28" t="str">
        <f>'Fruit Trees'!D28</f>
        <v>0.75-1"</v>
      </c>
      <c r="D32" s="27" t="str">
        <f>'Fruit Trees'!E28</f>
        <v>7-9'</v>
      </c>
      <c r="E32" s="49">
        <f>'Fruit Trees'!F28</f>
        <v>1</v>
      </c>
      <c r="F32" s="27">
        <f>'Fruit Trees'!G28</f>
        <v>50</v>
      </c>
      <c r="G32" s="30">
        <f>'Fruit Trees'!H28</f>
        <v>45</v>
      </c>
    </row>
    <row r="33">
      <c r="A33" s="27" t="str">
        <f>'Fruit Trees'!A29</f>
        <v>Apple - Pink Lady</v>
      </c>
      <c r="B33" s="27" t="str">
        <f>'Fruit Trees'!C29</f>
        <v>#5</v>
      </c>
      <c r="C33" s="28" t="str">
        <f>'Fruit Trees'!D29</f>
        <v>0-0"</v>
      </c>
      <c r="D33" s="27" t="str">
        <f>'Fruit Trees'!E29</f>
        <v>0-0'</v>
      </c>
      <c r="E33" s="49">
        <f>'Fruit Trees'!F29</f>
        <v>0</v>
      </c>
      <c r="F33" s="27">
        <f>'Fruit Trees'!G29</f>
        <v>30</v>
      </c>
      <c r="G33" s="30">
        <f>'Fruit Trees'!H29</f>
        <v>45</v>
      </c>
    </row>
    <row r="34">
      <c r="A34" s="27" t="str">
        <f>'Fruit Trees'!A30</f>
        <v>Apple - Querina</v>
      </c>
      <c r="B34" s="27" t="str">
        <f>'Fruit Trees'!C30</f>
        <v>#5</v>
      </c>
      <c r="C34" s="28" t="str">
        <f>'Fruit Trees'!D30</f>
        <v>0.75-1.25"</v>
      </c>
      <c r="D34" s="27" t="str">
        <f>'Fruit Trees'!E30</f>
        <v>7-8'</v>
      </c>
      <c r="E34" s="49">
        <f>'Fruit Trees'!F30</f>
        <v>13</v>
      </c>
      <c r="F34" s="27">
        <f>'Fruit Trees'!G30</f>
        <v>100</v>
      </c>
      <c r="G34" s="30">
        <f>'Fruit Trees'!H30</f>
        <v>45</v>
      </c>
    </row>
    <row r="35">
      <c r="A35" s="27" t="str">
        <f>'Fruit Trees'!A31</f>
        <v>Apple - Querina (standard)</v>
      </c>
      <c r="B35" s="27" t="str">
        <f>'Fruit Trees'!C31</f>
        <v>#10</v>
      </c>
      <c r="C35" s="28" t="str">
        <f>'Fruit Trees'!D31</f>
        <v>1-1"</v>
      </c>
      <c r="D35" s="27" t="str">
        <f>'Fruit Trees'!E31</f>
        <v>7-8'</v>
      </c>
      <c r="E35" s="49">
        <f>'Fruit Trees'!F31</f>
        <v>1</v>
      </c>
      <c r="F35" s="27">
        <f>'Fruit Trees'!G31</f>
        <v>0</v>
      </c>
      <c r="G35" s="30">
        <f>'Fruit Trees'!H31</f>
        <v>70</v>
      </c>
    </row>
    <row r="36">
      <c r="A36" s="27" t="str">
        <f>'Fruit Trees'!A32</f>
        <v>Apple - Red Delicious</v>
      </c>
      <c r="B36" s="27" t="str">
        <f>'Fruit Trees'!C32</f>
        <v>#5</v>
      </c>
      <c r="C36" s="28" t="str">
        <f>'Fruit Trees'!D32</f>
        <v>0-1"</v>
      </c>
      <c r="D36" s="27" t="str">
        <f>'Fruit Trees'!E32</f>
        <v>0-8'</v>
      </c>
      <c r="E36" s="49">
        <f>'Fruit Trees'!F32</f>
        <v>0</v>
      </c>
      <c r="F36" s="27">
        <f>'Fruit Trees'!G32</f>
        <v>100</v>
      </c>
      <c r="G36" s="30">
        <f>'Fruit Trees'!H32</f>
        <v>45</v>
      </c>
    </row>
    <row r="37">
      <c r="A37" s="27" t="str">
        <f>'Fruit Trees'!A33</f>
        <v>Apple - Winesap</v>
      </c>
      <c r="B37" s="27" t="str">
        <f>'Fruit Trees'!C33</f>
        <v>#5</v>
      </c>
      <c r="C37" s="28" t="str">
        <f>'Fruit Trees'!D33</f>
        <v>0.5-0.75"</v>
      </c>
      <c r="D37" s="27" t="str">
        <f>'Fruit Trees'!E33</f>
        <v>5-7'</v>
      </c>
      <c r="E37" s="49">
        <f>'Fruit Trees'!F33</f>
        <v>4</v>
      </c>
      <c r="F37" s="27">
        <f>'Fruit Trees'!G33</f>
        <v>100</v>
      </c>
      <c r="G37" s="30">
        <f>'Fruit Trees'!H33</f>
        <v>45</v>
      </c>
    </row>
    <row r="38">
      <c r="A38" s="27" t="str">
        <f>'Fruit Trees'!A34</f>
        <v>Apple - Yellow Delicious</v>
      </c>
      <c r="B38" s="27" t="str">
        <f>'Fruit Trees'!C34</f>
        <v>#5</v>
      </c>
      <c r="C38" s="28" t="str">
        <f>'Fruit Trees'!D34</f>
        <v>0.5-0.5"</v>
      </c>
      <c r="D38" s="27" t="str">
        <f>'Fruit Trees'!E34</f>
        <v>4-5'</v>
      </c>
      <c r="E38" s="49">
        <f>'Fruit Trees'!F34</f>
        <v>0</v>
      </c>
      <c r="F38" s="27">
        <f>'Fruit Trees'!G34</f>
        <v>50</v>
      </c>
      <c r="G38" s="30">
        <f>'Fruit Trees'!H34</f>
        <v>45</v>
      </c>
    </row>
    <row r="39">
      <c r="A39" s="27" t="str">
        <f>'Fruit Trees'!A35</f>
        <v>Apricot - Golden Amber</v>
      </c>
      <c r="B39" s="27" t="str">
        <f>'Fruit Trees'!C35</f>
        <v>#5</v>
      </c>
      <c r="C39" s="28" t="str">
        <f>'Fruit Trees'!D35</f>
        <v>1-1"</v>
      </c>
      <c r="D39" s="27" t="str">
        <f>'Fruit Trees'!E35</f>
        <v>7-9'</v>
      </c>
      <c r="E39" s="49">
        <f>'Fruit Trees'!F35</f>
        <v>2</v>
      </c>
      <c r="F39" s="27">
        <f>'Fruit Trees'!G35</f>
        <v>0</v>
      </c>
      <c r="G39" s="30">
        <f>'Fruit Trees'!H35</f>
        <v>45</v>
      </c>
    </row>
    <row r="40">
      <c r="A40" s="27" t="str">
        <f>'Fruit Trees'!A36</f>
        <v>Apricot - Harlayne</v>
      </c>
      <c r="B40" s="27" t="str">
        <f>'Fruit Trees'!C36</f>
        <v>#5</v>
      </c>
      <c r="C40" s="28" t="str">
        <f>'Fruit Trees'!D36</f>
        <v>0.75-0.75"</v>
      </c>
      <c r="D40" s="27" t="str">
        <f>'Fruit Trees'!E36</f>
        <v>5-7'</v>
      </c>
      <c r="E40" s="49">
        <f>'Fruit Trees'!F36</f>
        <v>2</v>
      </c>
      <c r="F40" s="27">
        <f>'Fruit Trees'!G36</f>
        <v>50</v>
      </c>
      <c r="G40" s="30">
        <f>'Fruit Trees'!H36</f>
        <v>45</v>
      </c>
    </row>
    <row r="41">
      <c r="A41" s="27" t="str">
        <f>'Fruit Trees'!A37</f>
        <v>Apricot - Moorpark</v>
      </c>
      <c r="B41" s="27" t="str">
        <f>'Fruit Trees'!C37</f>
        <v>#7</v>
      </c>
      <c r="C41" s="28" t="str">
        <f>'Fruit Trees'!D37</f>
        <v>0.75-1"</v>
      </c>
      <c r="D41" s="27" t="str">
        <f>'Fruit Trees'!E37</f>
        <v>6-7'</v>
      </c>
      <c r="E41" s="49">
        <f>'Fruit Trees'!F37</f>
        <v>2</v>
      </c>
      <c r="F41" s="27">
        <f>'Fruit Trees'!G37</f>
        <v>0</v>
      </c>
      <c r="G41" s="30">
        <f>'Fruit Trees'!H37</f>
        <v>65</v>
      </c>
    </row>
    <row r="42">
      <c r="A42" s="27" t="str">
        <f>'Fruit Trees'!A38</f>
        <v>Apricot - OrangeRed</v>
      </c>
      <c r="B42" s="27" t="str">
        <f>'Fruit Trees'!C38</f>
        <v>#5</v>
      </c>
      <c r="C42" s="28" t="str">
        <f>'Fruit Trees'!D38</f>
        <v>0.75-1"</v>
      </c>
      <c r="D42" s="27" t="str">
        <f>'Fruit Trees'!E38</f>
        <v>6-10'</v>
      </c>
      <c r="E42" s="49">
        <f>'Fruit Trees'!F38</f>
        <v>2</v>
      </c>
      <c r="F42" s="27">
        <f>'Fruit Trees'!G38</f>
        <v>25</v>
      </c>
      <c r="G42" s="30">
        <f>'Fruit Trees'!H38</f>
        <v>45</v>
      </c>
    </row>
    <row r="43">
      <c r="A43" s="27" t="str">
        <f>'Fruit Trees'!A39</f>
        <v>Apricot - OrangeRed</v>
      </c>
      <c r="B43" s="27" t="str">
        <f>'Fruit Trees'!C39</f>
        <v>#7</v>
      </c>
      <c r="C43" s="28" t="str">
        <f>'Fruit Trees'!D39</f>
        <v>0.75-1"</v>
      </c>
      <c r="D43" s="27" t="str">
        <f>'Fruit Trees'!E39</f>
        <v>5-10'</v>
      </c>
      <c r="E43" s="49">
        <f>'Fruit Trees'!F39</f>
        <v>2</v>
      </c>
      <c r="F43" s="27">
        <f>'Fruit Trees'!G39</f>
        <v>0</v>
      </c>
      <c r="G43" s="30">
        <f>'Fruit Trees'!H39</f>
        <v>65</v>
      </c>
    </row>
    <row r="44">
      <c r="A44" s="27" t="str">
        <f>'Fruit Trees'!A40</f>
        <v>Asian Pear - Hosui</v>
      </c>
      <c r="B44" s="27" t="str">
        <f>'Fruit Trees'!C40</f>
        <v>#5</v>
      </c>
      <c r="C44" s="28" t="str">
        <f>'Fruit Trees'!D40</f>
        <v>0.5-0.75"</v>
      </c>
      <c r="D44" s="27" t="str">
        <f>'Fruit Trees'!E40</f>
        <v>3-5'</v>
      </c>
      <c r="E44" s="49">
        <f>'Fruit Trees'!F40</f>
        <v>0</v>
      </c>
      <c r="F44" s="27">
        <f>'Fruit Trees'!G40</f>
        <v>100</v>
      </c>
      <c r="G44" s="30">
        <f>'Fruit Trees'!H40</f>
        <v>45</v>
      </c>
    </row>
    <row r="45">
      <c r="A45" s="27" t="str">
        <f>'Fruit Trees'!A41</f>
        <v>Asian Pear - Kosui</v>
      </c>
      <c r="B45" s="27" t="str">
        <f>'Fruit Trees'!C41</f>
        <v>#5</v>
      </c>
      <c r="C45" s="28" t="str">
        <f>'Fruit Trees'!D41</f>
        <v>0.5-0.75"</v>
      </c>
      <c r="D45" s="27" t="str">
        <f>'Fruit Trees'!E41</f>
        <v>3-5'</v>
      </c>
      <c r="E45" s="49">
        <f>'Fruit Trees'!F41</f>
        <v>0</v>
      </c>
      <c r="F45" s="27">
        <f>'Fruit Trees'!G41</f>
        <v>100</v>
      </c>
      <c r="G45" s="30">
        <f>'Fruit Trees'!H41</f>
        <v>45</v>
      </c>
    </row>
    <row r="46">
      <c r="A46" s="27" t="str">
        <f>'Fruit Trees'!A42</f>
        <v>Asian Pear - Kosui</v>
      </c>
      <c r="B46" s="27" t="str">
        <f>'Fruit Trees'!C42</f>
        <v>#7</v>
      </c>
      <c r="C46" s="28" t="str">
        <f>'Fruit Trees'!D42</f>
        <v>0.75-1"</v>
      </c>
      <c r="D46" s="27" t="str">
        <f>'Fruit Trees'!E42</f>
        <v>7-8'</v>
      </c>
      <c r="E46" s="49">
        <f>'Fruit Trees'!F42</f>
        <v>2</v>
      </c>
      <c r="F46" s="27">
        <f>'Fruit Trees'!G42</f>
        <v>0</v>
      </c>
      <c r="G46" s="30">
        <f>'Fruit Trees'!H42</f>
        <v>65</v>
      </c>
    </row>
    <row r="47">
      <c r="A47" s="27" t="str">
        <f>'Fruit Trees'!A43</f>
        <v>Asian Pear - Shinko</v>
      </c>
      <c r="B47" s="27" t="str">
        <f>'Fruit Trees'!C43</f>
        <v>#5</v>
      </c>
      <c r="C47" s="28" t="str">
        <f>'Fruit Trees'!D43</f>
        <v>0-0.5"</v>
      </c>
      <c r="D47" s="27" t="str">
        <f>'Fruit Trees'!E43</f>
        <v>0-5'</v>
      </c>
      <c r="E47" s="49">
        <f>'Fruit Trees'!F43</f>
        <v>0</v>
      </c>
      <c r="F47" s="27">
        <f>'Fruit Trees'!G43</f>
        <v>100</v>
      </c>
      <c r="G47" s="30">
        <f>'Fruit Trees'!H43</f>
        <v>45</v>
      </c>
    </row>
    <row r="48">
      <c r="A48" s="27" t="str">
        <f>'Fruit Trees'!A44</f>
        <v>Blackberry - Ouchita</v>
      </c>
      <c r="B48" s="27" t="str">
        <f>'Fruit Trees'!C44</f>
        <v>#5</v>
      </c>
      <c r="C48" s="28" t="str">
        <f>'Fruit Trees'!D44</f>
        <v>Multi</v>
      </c>
      <c r="D48" s="27" t="str">
        <f>'Fruit Trees'!E44</f>
        <v>1-3'</v>
      </c>
      <c r="E48" s="49">
        <f>'Fruit Trees'!F44</f>
        <v>17</v>
      </c>
      <c r="F48" s="27">
        <f>'Fruit Trees'!G44</f>
        <v>72</v>
      </c>
      <c r="G48" s="30">
        <f>'Fruit Trees'!H44</f>
        <v>32</v>
      </c>
    </row>
    <row r="49">
      <c r="A49" s="27" t="str">
        <f>'Fruit Trees'!A45</f>
        <v>Blackberry - Prime-ark 'Freedom'</v>
      </c>
      <c r="B49" s="27" t="str">
        <f>'Fruit Trees'!C45</f>
        <v>#5</v>
      </c>
      <c r="C49" s="28" t="str">
        <f>'Fruit Trees'!D45</f>
        <v>Multi</v>
      </c>
      <c r="D49" s="27" t="str">
        <f>'Fruit Trees'!E45</f>
        <v>1-2'</v>
      </c>
      <c r="E49" s="49">
        <f>'Fruit Trees'!F45</f>
        <v>7</v>
      </c>
      <c r="F49" s="27">
        <f>'Fruit Trees'!G45</f>
        <v>72</v>
      </c>
      <c r="G49" s="30">
        <f>'Fruit Trees'!H45</f>
        <v>32</v>
      </c>
    </row>
    <row r="50">
      <c r="A50" s="27" t="str">
        <f>'Fruit Trees'!A46</f>
        <v>Blueberry - Duke</v>
      </c>
      <c r="B50" s="27" t="str">
        <f>'Fruit Trees'!C46</f>
        <v>#3</v>
      </c>
      <c r="C50" s="28" t="str">
        <f>'Fruit Trees'!D46</f>
        <v>0-0"</v>
      </c>
      <c r="D50" s="27" t="str">
        <f>'Fruit Trees'!E46</f>
        <v>1-2'</v>
      </c>
      <c r="E50" s="27">
        <f>'Fruit Trees'!F46</f>
        <v>14</v>
      </c>
      <c r="F50" s="27">
        <f>'Fruit Trees'!G46</f>
        <v>0</v>
      </c>
      <c r="G50" s="30">
        <f>'Fruit Trees'!H46</f>
        <v>30</v>
      </c>
    </row>
    <row r="51">
      <c r="A51" s="27" t="str">
        <f>'Fruit Trees'!A47</f>
        <v>Chestnut - Chinese</v>
      </c>
      <c r="B51" s="27" t="str">
        <f>'Fruit Trees'!C47</f>
        <v>#5</v>
      </c>
      <c r="C51" s="28" t="str">
        <f>'Fruit Trees'!D47</f>
        <v>0.125-0.75"</v>
      </c>
      <c r="D51" s="27" t="str">
        <f>'Fruit Trees'!E47</f>
        <v>3-4.5'</v>
      </c>
      <c r="E51" s="49">
        <f>'Fruit Trees'!F47</f>
        <v>69</v>
      </c>
      <c r="F51" s="27">
        <f>'Fruit Trees'!G47</f>
        <v>0</v>
      </c>
      <c r="G51" s="30">
        <f>'Fruit Trees'!H47</f>
        <v>40</v>
      </c>
    </row>
    <row r="52">
      <c r="A52" s="27" t="str">
        <f>'Fruit Trees'!A48</f>
        <v>Fig - Brown Turkey</v>
      </c>
      <c r="B52" s="27" t="str">
        <f>'Fruit Trees'!C48</f>
        <v>#5</v>
      </c>
      <c r="C52" s="32" t="str">
        <f>'Fruit Trees'!D48</f>
        <v>Multi</v>
      </c>
      <c r="D52" s="27" t="str">
        <f>'Fruit Trees'!E48</f>
        <v>0.5-1'</v>
      </c>
      <c r="E52" s="49">
        <f>'Fruit Trees'!F48</f>
        <v>23</v>
      </c>
      <c r="F52" s="27">
        <f>'Fruit Trees'!G48</f>
        <v>72</v>
      </c>
      <c r="G52" s="30">
        <f>'Fruit Trees'!H48</f>
        <v>35</v>
      </c>
    </row>
    <row r="53">
      <c r="A53" s="27" t="str">
        <f>'Fruit Trees'!A49</f>
        <v>Fig - Chicago Hardy</v>
      </c>
      <c r="B53" s="27" t="str">
        <f>'Fruit Trees'!C49</f>
        <v>#5</v>
      </c>
      <c r="C53" s="32" t="str">
        <f>'Fruit Trees'!D49</f>
        <v>Multi</v>
      </c>
      <c r="D53" s="27" t="str">
        <f>'Fruit Trees'!E49</f>
        <v>0.5-1'</v>
      </c>
      <c r="E53" s="49">
        <f>'Fruit Trees'!F49</f>
        <v>19</v>
      </c>
      <c r="F53" s="27">
        <f>'Fruit Trees'!G49</f>
        <v>144</v>
      </c>
      <c r="G53" s="30">
        <f>'Fruit Trees'!H49</f>
        <v>35</v>
      </c>
    </row>
    <row r="54">
      <c r="A54" s="27" t="str">
        <f>'Fruit Trees'!A50</f>
        <v>Fig - Olympian</v>
      </c>
      <c r="B54" s="27" t="str">
        <f>'Fruit Trees'!C50</f>
        <v>#5</v>
      </c>
      <c r="C54" s="32" t="str">
        <f>'Fruit Trees'!D50</f>
        <v>Multi</v>
      </c>
      <c r="D54" s="27" t="str">
        <f>'Fruit Trees'!E50</f>
        <v>0-2'</v>
      </c>
      <c r="E54" s="49">
        <f>'Fruit Trees'!F50</f>
        <v>0</v>
      </c>
      <c r="F54" s="27">
        <f>'Fruit Trees'!G50</f>
        <v>72</v>
      </c>
      <c r="G54" s="30">
        <f>'Fruit Trees'!H50</f>
        <v>35</v>
      </c>
    </row>
    <row r="55">
      <c r="A55" s="27" t="str">
        <f>'Fruit Trees'!A51</f>
        <v>Hardy Kiwi - Prolific</v>
      </c>
      <c r="B55" s="27" t="str">
        <f>'Fruit Trees'!C51</f>
        <v>#5</v>
      </c>
      <c r="C55" s="28" t="str">
        <f>'Fruit Trees'!D51</f>
        <v>0.5-0.5"</v>
      </c>
      <c r="D55" s="27" t="str">
        <f>'Fruit Trees'!E51</f>
        <v>3-4'</v>
      </c>
      <c r="E55" s="49">
        <f>'Fruit Trees'!F51</f>
        <v>0</v>
      </c>
      <c r="F55" s="27">
        <f>'Fruit Trees'!G51</f>
        <v>72</v>
      </c>
      <c r="G55" s="30">
        <f>'Fruit Trees'!H51</f>
        <v>40</v>
      </c>
    </row>
    <row r="56">
      <c r="A56" s="27" t="str">
        <f>'Fruit Trees'!A52</f>
        <v>Jujube - Li</v>
      </c>
      <c r="B56" s="27" t="str">
        <f>'Fruit Trees'!C52</f>
        <v>#7</v>
      </c>
      <c r="C56" s="28" t="str">
        <f>'Fruit Trees'!D52</f>
        <v>0.38-0.38"</v>
      </c>
      <c r="D56" s="27" t="str">
        <f>'Fruit Trees'!E52</f>
        <v>1-2'</v>
      </c>
      <c r="E56" s="49">
        <f>'Fruit Trees'!F52</f>
        <v>0</v>
      </c>
      <c r="F56" s="27">
        <f>'Fruit Trees'!G52</f>
        <v>50</v>
      </c>
      <c r="G56" s="30">
        <f>'Fruit Trees'!H52</f>
        <v>80</v>
      </c>
    </row>
    <row r="57">
      <c r="A57" s="27" t="str">
        <f>'Fruit Trees'!A53</f>
        <v>Mulberry - Everbearing </v>
      </c>
      <c r="B57" s="27" t="str">
        <f>'Fruit Trees'!C53</f>
        <v>#5</v>
      </c>
      <c r="C57" s="28" t="str">
        <f>'Fruit Trees'!D53</f>
        <v>0.25-0.25"</v>
      </c>
      <c r="D57" s="27" t="str">
        <f>'Fruit Trees'!E53</f>
        <v>2-3'</v>
      </c>
      <c r="E57" s="49">
        <f>'Fruit Trees'!F53</f>
        <v>17</v>
      </c>
      <c r="F57" s="27">
        <f>'Fruit Trees'!G53</f>
        <v>72</v>
      </c>
      <c r="G57" s="30">
        <f>'Fruit Trees'!H53</f>
        <v>35</v>
      </c>
    </row>
    <row r="58">
      <c r="A58" s="27" t="str">
        <f>'Fruit Trees'!A54</f>
        <v>Mulberry - Red</v>
      </c>
      <c r="B58" s="27" t="str">
        <f>'Fruit Trees'!C54</f>
        <v>#5</v>
      </c>
      <c r="C58" s="28" t="str">
        <f>'Fruit Trees'!D54</f>
        <v>0.25-0.5"</v>
      </c>
      <c r="D58" s="27" t="str">
        <f>'Fruit Trees'!E54</f>
        <v>3-5'</v>
      </c>
      <c r="E58" s="49">
        <f>'Fruit Trees'!F54</f>
        <v>1</v>
      </c>
      <c r="F58" s="27">
        <f>'Fruit Trees'!G54</f>
        <v>50</v>
      </c>
      <c r="G58" s="30">
        <f>'Fruit Trees'!H54</f>
        <v>40</v>
      </c>
    </row>
    <row r="59">
      <c r="A59" s="27" t="str">
        <f>'Fruit Trees'!A55</f>
        <v>Mulberry - White</v>
      </c>
      <c r="B59" s="27" t="str">
        <f>'Fruit Trees'!C55</f>
        <v>#5</v>
      </c>
      <c r="C59" s="28" t="str">
        <f>'Fruit Trees'!D55</f>
        <v>0.25-0.75"</v>
      </c>
      <c r="D59" s="27" t="str">
        <f>'Fruit Trees'!E55</f>
        <v>3-4.5'</v>
      </c>
      <c r="E59" s="49">
        <f>'Fruit Trees'!F55</f>
        <v>22</v>
      </c>
      <c r="F59" s="27">
        <f>'Fruit Trees'!G55</f>
        <v>50</v>
      </c>
      <c r="G59" s="30">
        <f>'Fruit Trees'!H55</f>
        <v>40</v>
      </c>
    </row>
    <row r="60">
      <c r="A60" s="27" t="str">
        <f>'Fruit Trees'!A56</f>
        <v>Nectarine - Fantasia</v>
      </c>
      <c r="B60" s="27" t="str">
        <f>'Fruit Trees'!C56</f>
        <v>#5</v>
      </c>
      <c r="C60" s="28" t="str">
        <f>'Fruit Trees'!D56</f>
        <v>0.75-1"</v>
      </c>
      <c r="D60" s="27" t="str">
        <f>'Fruit Trees'!E56</f>
        <v>6-7'</v>
      </c>
      <c r="E60" s="49">
        <f>'Fruit Trees'!F56</f>
        <v>65</v>
      </c>
      <c r="F60" s="27">
        <f>'Fruit Trees'!G56</f>
        <v>50</v>
      </c>
      <c r="G60" s="30">
        <f>'Fruit Trees'!H56</f>
        <v>45</v>
      </c>
    </row>
    <row r="61">
      <c r="A61" s="27" t="str">
        <f>'Fruit Trees'!A57</f>
        <v>Nectarine - Fantasia</v>
      </c>
      <c r="B61" s="27" t="str">
        <f>'Fruit Trees'!C57</f>
        <v>#7</v>
      </c>
      <c r="C61" s="28" t="str">
        <f>'Fruit Trees'!D57</f>
        <v>1.25-1.25"</v>
      </c>
      <c r="D61" s="27" t="str">
        <f>'Fruit Trees'!E57</f>
        <v>6-7'</v>
      </c>
      <c r="E61" s="49">
        <f>'Fruit Trees'!F57</f>
        <v>8</v>
      </c>
      <c r="F61" s="27">
        <f>'Fruit Trees'!G57</f>
        <v>0</v>
      </c>
      <c r="G61" s="30">
        <f>'Fruit Trees'!H57</f>
        <v>70</v>
      </c>
    </row>
    <row r="62">
      <c r="A62" s="27" t="str">
        <f>'Fruit Trees'!A58</f>
        <v>Nectarine - Flavortop</v>
      </c>
      <c r="B62" s="27" t="str">
        <f>'Fruit Trees'!C58</f>
        <v>#5</v>
      </c>
      <c r="C62" s="28" t="str">
        <f>'Fruit Trees'!D58</f>
        <v>0.75-1"</v>
      </c>
      <c r="D62" s="27" t="str">
        <f>'Fruit Trees'!E58</f>
        <v>5-8'</v>
      </c>
      <c r="E62" s="49">
        <f>'Fruit Trees'!F58</f>
        <v>1</v>
      </c>
      <c r="F62" s="27">
        <f>'Fruit Trees'!G58</f>
        <v>50</v>
      </c>
      <c r="G62" s="30">
        <f>'Fruit Trees'!H58</f>
        <v>45</v>
      </c>
    </row>
    <row r="63">
      <c r="A63" s="27" t="str">
        <f>'Fruit Trees'!A59</f>
        <v>Nectarine - Redgold</v>
      </c>
      <c r="B63" s="27" t="str">
        <f>'Fruit Trees'!C59</f>
        <v>#5</v>
      </c>
      <c r="C63" s="28" t="str">
        <f>'Fruit Trees'!D59</f>
        <v>0.75-1"</v>
      </c>
      <c r="D63" s="27" t="str">
        <f>'Fruit Trees'!E59</f>
        <v>4-5'</v>
      </c>
      <c r="E63" s="49">
        <f>'Fruit Trees'!F59</f>
        <v>8</v>
      </c>
      <c r="F63" s="27">
        <f>'Fruit Trees'!G59</f>
        <v>0</v>
      </c>
      <c r="G63" s="30">
        <f>'Fruit Trees'!H59</f>
        <v>45</v>
      </c>
    </row>
    <row r="64">
      <c r="A64" s="27" t="str">
        <f>'Fruit Trees'!A60</f>
        <v>Nectarine - Sunglo</v>
      </c>
      <c r="B64" s="27" t="str">
        <f>'Fruit Trees'!C60</f>
        <v>#5</v>
      </c>
      <c r="C64" s="28" t="str">
        <f>'Fruit Trees'!D60</f>
        <v>0.75-1"</v>
      </c>
      <c r="D64" s="27" t="str">
        <f>'Fruit Trees'!E60</f>
        <v>7-8'</v>
      </c>
      <c r="E64" s="49">
        <f>'Fruit Trees'!F60</f>
        <v>4</v>
      </c>
      <c r="F64" s="27">
        <f>'Fruit Trees'!G60</f>
        <v>20</v>
      </c>
      <c r="G64" s="30">
        <f>'Fruit Trees'!H60</f>
        <v>45</v>
      </c>
    </row>
    <row r="65">
      <c r="A65" s="27" t="str">
        <f>'Fruit Trees'!A61</f>
        <v>Nectarine (white) - Arctic Glo</v>
      </c>
      <c r="B65" s="27" t="str">
        <f>'Fruit Trees'!C61</f>
        <v>#5</v>
      </c>
      <c r="C65" s="28" t="str">
        <f>'Fruit Trees'!D61</f>
        <v>0.75-1"</v>
      </c>
      <c r="D65" s="27" t="str">
        <f>'Fruit Trees'!E61</f>
        <v>6-7'</v>
      </c>
      <c r="E65" s="49">
        <f>'Fruit Trees'!F61</f>
        <v>1</v>
      </c>
      <c r="F65" s="27">
        <f>'Fruit Trees'!G61</f>
        <v>0</v>
      </c>
      <c r="G65" s="30">
        <f>'Fruit Trees'!H61</f>
        <v>45</v>
      </c>
    </row>
    <row r="66">
      <c r="A66" s="27" t="str">
        <f>'Fruit Trees'!A62</f>
        <v>Nectarine (White) - Arctic Sweet</v>
      </c>
      <c r="B66" s="27" t="str">
        <f>'Fruit Trees'!C62</f>
        <v>#5</v>
      </c>
      <c r="C66" s="28" t="str">
        <f>'Fruit Trees'!D62</f>
        <v>0.5-0.75"</v>
      </c>
      <c r="D66" s="27" t="str">
        <f>'Fruit Trees'!E62</f>
        <v>4-5'</v>
      </c>
      <c r="E66" s="49">
        <f>'Fruit Trees'!F62</f>
        <v>0</v>
      </c>
      <c r="F66" s="27">
        <f>'Fruit Trees'!G62</f>
        <v>50</v>
      </c>
      <c r="G66" s="30">
        <f>'Fruit Trees'!H62</f>
        <v>45</v>
      </c>
    </row>
    <row r="67">
      <c r="A67" s="27" t="str">
        <f>'Fruit Trees'!A63</f>
        <v>Nectarine (White) - Arctic Sweet</v>
      </c>
      <c r="B67" s="27" t="str">
        <f>'Fruit Trees'!C63</f>
        <v>#7</v>
      </c>
      <c r="C67" s="28" t="str">
        <f>'Fruit Trees'!D63</f>
        <v>1-1.25"</v>
      </c>
      <c r="D67" s="27" t="str">
        <f>'Fruit Trees'!E63</f>
        <v>8-8'</v>
      </c>
      <c r="E67" s="49">
        <f>'Fruit Trees'!F63</f>
        <v>5</v>
      </c>
      <c r="F67" s="27">
        <f>'Fruit Trees'!G63</f>
        <v>0</v>
      </c>
      <c r="G67" s="30">
        <f>'Fruit Trees'!H63</f>
        <v>65</v>
      </c>
    </row>
    <row r="68">
      <c r="A68" s="27" t="str">
        <f>'Fruit Trees'!A64</f>
        <v>Pawpaw</v>
      </c>
      <c r="B68" s="27" t="str">
        <f>'Fruit Trees'!C64</f>
        <v>#2</v>
      </c>
      <c r="C68" s="28" t="str">
        <f>'Fruit Trees'!D64</f>
        <v>0.375-0.5"</v>
      </c>
      <c r="D68" s="27" t="str">
        <f>'Fruit Trees'!E64</f>
        <v>0.5-1'</v>
      </c>
      <c r="E68" s="27">
        <f>'Fruit Trees'!F64</f>
        <v>20</v>
      </c>
      <c r="F68" s="27">
        <f>'Fruit Trees'!G64</f>
        <v>0</v>
      </c>
      <c r="G68" s="30">
        <f>'Fruit Trees'!H64</f>
        <v>30</v>
      </c>
    </row>
    <row r="69">
      <c r="A69" s="27" t="str">
        <f>'Fruit Trees'!A65</f>
        <v>Pawpaw - Allegheny</v>
      </c>
      <c r="B69" s="27" t="str">
        <f>'Fruit Trees'!C65</f>
        <v>#5</v>
      </c>
      <c r="C69" s="28" t="str">
        <f>'Fruit Trees'!D65</f>
        <v>0-0.375"</v>
      </c>
      <c r="D69" s="27" t="str">
        <f>'Fruit Trees'!E65</f>
        <v>0-2'</v>
      </c>
      <c r="E69" s="49">
        <f>'Fruit Trees'!F65</f>
        <v>0</v>
      </c>
      <c r="F69" s="27">
        <f>'Fruit Trees'!G65</f>
        <v>12</v>
      </c>
      <c r="G69" s="30">
        <f>'Fruit Trees'!H65</f>
        <v>80</v>
      </c>
    </row>
    <row r="70">
      <c r="A70" s="27" t="str">
        <f>'Fruit Trees'!A66</f>
        <v>Pawpaw - Pennsylvania Gold</v>
      </c>
      <c r="B70" s="27" t="str">
        <f>'Fruit Trees'!C66</f>
        <v>#5</v>
      </c>
      <c r="C70" s="28" t="str">
        <f>'Fruit Trees'!D66</f>
        <v>0.25-0.25"</v>
      </c>
      <c r="D70" s="27" t="str">
        <f>'Fruit Trees'!E66</f>
        <v>1-2'</v>
      </c>
      <c r="E70" s="49">
        <f>'Fruit Trees'!F66</f>
        <v>0</v>
      </c>
      <c r="F70" s="27">
        <f>'Fruit Trees'!G66</f>
        <v>30</v>
      </c>
      <c r="G70" s="30">
        <f>'Fruit Trees'!H66</f>
        <v>80</v>
      </c>
    </row>
    <row r="71">
      <c r="A71" s="27" t="str">
        <f>'Fruit Trees'!A67</f>
        <v>Peach - Contender</v>
      </c>
      <c r="B71" s="27" t="str">
        <f>'Fruit Trees'!C67</f>
        <v>#5</v>
      </c>
      <c r="C71" s="28" t="str">
        <f>'Fruit Trees'!D67</f>
        <v>0.5-1"</v>
      </c>
      <c r="D71" s="27" t="str">
        <f>'Fruit Trees'!E67</f>
        <v>4-7'</v>
      </c>
      <c r="E71" s="49">
        <f>'Fruit Trees'!F67</f>
        <v>2</v>
      </c>
      <c r="F71" s="27">
        <f>'Fruit Trees'!G67</f>
        <v>100</v>
      </c>
      <c r="G71" s="30">
        <f>'Fruit Trees'!H67</f>
        <v>45</v>
      </c>
    </row>
    <row r="72">
      <c r="A72" s="27" t="str">
        <f>'Fruit Trees'!A68</f>
        <v>Peach - Cresthaven</v>
      </c>
      <c r="B72" s="27" t="str">
        <f>'Fruit Trees'!C68</f>
        <v>#5</v>
      </c>
      <c r="C72" s="28" t="str">
        <f>'Fruit Trees'!D68</f>
        <v>0-0.75"</v>
      </c>
      <c r="D72" s="27" t="str">
        <f>'Fruit Trees'!E68</f>
        <v>0-5'</v>
      </c>
      <c r="E72" s="49">
        <f>'Fruit Trees'!F68</f>
        <v>0</v>
      </c>
      <c r="F72" s="27">
        <f>'Fruit Trees'!G68</f>
        <v>100</v>
      </c>
      <c r="G72" s="30">
        <f>'Fruit Trees'!H68</f>
        <v>45</v>
      </c>
    </row>
    <row r="73">
      <c r="A73" s="27" t="str">
        <f>'Fruit Trees'!A69</f>
        <v>Peach - Harvester</v>
      </c>
      <c r="B73" s="27" t="str">
        <f>'Fruit Trees'!C69</f>
        <v>#5</v>
      </c>
      <c r="C73" s="28" t="str">
        <f>'Fruit Trees'!D69</f>
        <v>0.75-1"</v>
      </c>
      <c r="D73" s="27" t="str">
        <f>'Fruit Trees'!E69</f>
        <v>6-7'</v>
      </c>
      <c r="E73" s="49">
        <f>'Fruit Trees'!F69</f>
        <v>7</v>
      </c>
      <c r="F73" s="27">
        <f>'Fruit Trees'!G69</f>
        <v>100</v>
      </c>
      <c r="G73" s="30">
        <f>'Fruit Trees'!H69</f>
        <v>45</v>
      </c>
    </row>
    <row r="74">
      <c r="A74" s="27" t="str">
        <f>'Fruit Trees'!A70</f>
        <v>Peach (Donut White) - Galaxy</v>
      </c>
      <c r="B74" s="27" t="str">
        <f>'Fruit Trees'!C70</f>
        <v>#5</v>
      </c>
      <c r="C74" s="28" t="str">
        <f>'Fruit Trees'!D70</f>
        <v>0.5-0.75"</v>
      </c>
      <c r="D74" s="27" t="str">
        <f>'Fruit Trees'!E70</f>
        <v>4-5'</v>
      </c>
      <c r="E74" s="49">
        <f>'Fruit Trees'!F70</f>
        <v>3</v>
      </c>
      <c r="F74" s="27">
        <f>'Fruit Trees'!G70</f>
        <v>50</v>
      </c>
      <c r="G74" s="30">
        <f>'Fruit Trees'!H70</f>
        <v>50</v>
      </c>
    </row>
    <row r="75">
      <c r="A75" s="27" t="str">
        <f>'Fruit Trees'!A71</f>
        <v>Peach (White) - Snow Giant</v>
      </c>
      <c r="B75" s="27" t="str">
        <f>'Fruit Trees'!C71</f>
        <v>#5</v>
      </c>
      <c r="C75" s="28" t="str">
        <f>'Fruit Trees'!D71</f>
        <v>0.75-1"</v>
      </c>
      <c r="D75" s="27" t="str">
        <f>'Fruit Trees'!E71</f>
        <v>5-6'</v>
      </c>
      <c r="E75" s="49">
        <f>'Fruit Trees'!F71</f>
        <v>1</v>
      </c>
      <c r="F75" s="27">
        <f>'Fruit Trees'!G71</f>
        <v>0</v>
      </c>
      <c r="G75" s="30">
        <f>'Fruit Trees'!H71</f>
        <v>45</v>
      </c>
    </row>
    <row r="76">
      <c r="A76" s="27" t="str">
        <f>'Fruit Trees'!A72</f>
        <v>Peach (White) - Sugar Giant</v>
      </c>
      <c r="B76" s="27" t="str">
        <f>'Fruit Trees'!C72</f>
        <v>#5</v>
      </c>
      <c r="C76" s="28" t="str">
        <f>'Fruit Trees'!D72</f>
        <v>0.75-1"</v>
      </c>
      <c r="D76" s="27" t="str">
        <f>'Fruit Trees'!E72</f>
        <v>5-5'</v>
      </c>
      <c r="E76" s="49">
        <f>'Fruit Trees'!F72</f>
        <v>7</v>
      </c>
      <c r="F76" s="27">
        <f>'Fruit Trees'!G72</f>
        <v>100</v>
      </c>
      <c r="G76" s="30">
        <f>'Fruit Trees'!H72</f>
        <v>45</v>
      </c>
    </row>
    <row r="77">
      <c r="A77" s="27" t="str">
        <f>'Fruit Trees'!A73</f>
        <v>Peach (White) - White Lady</v>
      </c>
      <c r="B77" s="27" t="str">
        <f>'Fruit Trees'!C73</f>
        <v>#5</v>
      </c>
      <c r="C77" s="28" t="str">
        <f>'Fruit Trees'!D73</f>
        <v>1-1"</v>
      </c>
      <c r="D77" s="27" t="str">
        <f>'Fruit Trees'!E73</f>
        <v>6-7'</v>
      </c>
      <c r="E77" s="49">
        <f>'Fruit Trees'!F73</f>
        <v>11</v>
      </c>
      <c r="F77" s="27">
        <f>'Fruit Trees'!G73</f>
        <v>100</v>
      </c>
      <c r="G77" s="30">
        <f>'Fruit Trees'!H73</f>
        <v>45</v>
      </c>
    </row>
    <row r="78">
      <c r="A78" s="27" t="str">
        <f>'Fruit Trees'!A74</f>
        <v>Pear - Ayers</v>
      </c>
      <c r="B78" s="27" t="str">
        <f>'Fruit Trees'!C74</f>
        <v>#5</v>
      </c>
      <c r="C78" s="28" t="str">
        <f>'Fruit Trees'!D74</f>
        <v>0.75-1"</v>
      </c>
      <c r="D78" s="27" t="str">
        <f>'Fruit Trees'!E74</f>
        <v>7-8'</v>
      </c>
      <c r="E78" s="49">
        <f>'Fruit Trees'!F74</f>
        <v>4</v>
      </c>
      <c r="F78" s="27">
        <f>'Fruit Trees'!G74</f>
        <v>50</v>
      </c>
      <c r="G78" s="30">
        <f>'Fruit Trees'!H74</f>
        <v>45</v>
      </c>
    </row>
    <row r="79">
      <c r="A79" s="27" t="str">
        <f>'Fruit Trees'!A75</f>
        <v>Pear - Bartlett</v>
      </c>
      <c r="B79" s="27" t="str">
        <f>'Fruit Trees'!C75</f>
        <v>#5</v>
      </c>
      <c r="C79" s="28" t="str">
        <f>'Fruit Trees'!D75</f>
        <v>0.5-0.75"</v>
      </c>
      <c r="D79" s="27" t="str">
        <f>'Fruit Trees'!E75</f>
        <v>5-8'</v>
      </c>
      <c r="E79" s="49">
        <f>'Fruit Trees'!F75</f>
        <v>1</v>
      </c>
      <c r="F79" s="27">
        <f>'Fruit Trees'!G75</f>
        <v>150</v>
      </c>
      <c r="G79" s="30">
        <f>'Fruit Trees'!H75</f>
        <v>45</v>
      </c>
    </row>
    <row r="80">
      <c r="A80" s="27" t="str">
        <f>'Fruit Trees'!A76</f>
        <v>Pear - Golden Russet Bosc</v>
      </c>
      <c r="B80" s="27" t="str">
        <f>'Fruit Trees'!C76</f>
        <v>#5</v>
      </c>
      <c r="C80" s="28" t="str">
        <f>'Fruit Trees'!D76</f>
        <v>0.75-1"</v>
      </c>
      <c r="D80" s="27" t="str">
        <f>'Fruit Trees'!E76</f>
        <v>7-8'</v>
      </c>
      <c r="E80" s="49">
        <f>'Fruit Trees'!F76</f>
        <v>3</v>
      </c>
      <c r="F80" s="27">
        <f>'Fruit Trees'!G76</f>
        <v>100</v>
      </c>
      <c r="G80" s="30">
        <f>'Fruit Trees'!H76</f>
        <v>45</v>
      </c>
    </row>
    <row r="81">
      <c r="A81" s="27" t="str">
        <f>'Fruit Trees'!A77</f>
        <v>Pear - Kieffer</v>
      </c>
      <c r="B81" s="27" t="str">
        <f>'Fruit Trees'!C77</f>
        <v>#7</v>
      </c>
      <c r="C81" s="28" t="str">
        <f>'Fruit Trees'!D77</f>
        <v>0-0.5"</v>
      </c>
      <c r="D81" s="27" t="str">
        <f>'Fruit Trees'!E77</f>
        <v>0-7'</v>
      </c>
      <c r="E81" s="49">
        <f>'Fruit Trees'!F77</f>
        <v>0</v>
      </c>
      <c r="F81" s="27">
        <f>'Fruit Trees'!G77</f>
        <v>10</v>
      </c>
      <c r="G81" s="30">
        <f>'Fruit Trees'!H77</f>
        <v>60</v>
      </c>
    </row>
    <row r="82">
      <c r="A82" s="27" t="str">
        <f>'Fruit Trees'!A78</f>
        <v>Pecan - Choctaw</v>
      </c>
      <c r="B82" s="27" t="str">
        <f>'Fruit Trees'!C78</f>
        <v>#5 tall plastic</v>
      </c>
      <c r="C82" s="28" t="str">
        <f>'Fruit Trees'!D78</f>
        <v>0.75-1"</v>
      </c>
      <c r="D82" s="27" t="str">
        <f>'Fruit Trees'!E78</f>
        <v>8-10'</v>
      </c>
      <c r="E82" s="49">
        <f>'Fruit Trees'!F78</f>
        <v>2</v>
      </c>
      <c r="F82" s="27">
        <f>'Fruit Trees'!G78</f>
        <v>0</v>
      </c>
      <c r="G82" s="30">
        <f>'Fruit Trees'!H78</f>
        <v>100</v>
      </c>
    </row>
    <row r="83">
      <c r="A83" s="27" t="str">
        <f>'Fruit Trees'!A79</f>
        <v>Pecan - Pawnee</v>
      </c>
      <c r="B83" s="27" t="str">
        <f>'Fruit Trees'!C79</f>
        <v>#5 Tall Plastic</v>
      </c>
      <c r="C83" s="28" t="str">
        <f>'Fruit Trees'!D79</f>
        <v>0.75-1"</v>
      </c>
      <c r="D83" s="27" t="str">
        <f>'Fruit Trees'!E79</f>
        <v>6-8'</v>
      </c>
      <c r="E83" s="49">
        <f>'Fruit Trees'!F79</f>
        <v>2</v>
      </c>
      <c r="F83" s="27">
        <f>'Fruit Trees'!G79</f>
        <v>0</v>
      </c>
      <c r="G83" s="30">
        <f>'Fruit Trees'!H79</f>
        <v>100</v>
      </c>
    </row>
    <row r="84">
      <c r="A84" s="27" t="str">
        <f>'Fruit Trees'!A80</f>
        <v>Persimmon - Fuyu</v>
      </c>
      <c r="B84" s="27" t="str">
        <f>'Fruit Trees'!C80</f>
        <v>#5</v>
      </c>
      <c r="C84" s="28" t="str">
        <f>'Fruit Trees'!D80</f>
        <v>0.25-0.5"</v>
      </c>
      <c r="D84" s="27" t="str">
        <f>'Fruit Trees'!E80</f>
        <v>2-5'</v>
      </c>
      <c r="E84" s="49">
        <f>'Fruit Trees'!F80</f>
        <v>19</v>
      </c>
      <c r="F84" s="27">
        <f>'Fruit Trees'!G80</f>
        <v>150</v>
      </c>
      <c r="G84" s="30">
        <f>'Fruit Trees'!H80</f>
        <v>80</v>
      </c>
    </row>
    <row r="85">
      <c r="A85" s="27" t="str">
        <f>'Fruit Trees'!A81</f>
        <v>Persimmon - Fuyu</v>
      </c>
      <c r="B85" s="27" t="str">
        <f>'Fruit Trees'!C81</f>
        <v>#7</v>
      </c>
      <c r="C85" s="28" t="str">
        <f>'Fruit Trees'!D81</f>
        <v>0.25-0.5"</v>
      </c>
      <c r="D85" s="27" t="str">
        <f>'Fruit Trees'!E81</f>
        <v>2-5'</v>
      </c>
      <c r="E85" s="49">
        <f>'Fruit Trees'!F81</f>
        <v>10</v>
      </c>
      <c r="F85" s="27">
        <f>'Fruit Trees'!G81</f>
        <v>10</v>
      </c>
      <c r="G85" s="30">
        <f>'Fruit Trees'!H81</f>
        <v>80</v>
      </c>
    </row>
    <row r="86">
      <c r="A86" s="27" t="str">
        <f>'Fruit Trees'!A82</f>
        <v>Plum - Green Gage</v>
      </c>
      <c r="B86" s="27" t="str">
        <f>'Fruit Trees'!C82</f>
        <v>#5</v>
      </c>
      <c r="C86" s="28" t="str">
        <f>'Fruit Trees'!D82</f>
        <v>0-1"</v>
      </c>
      <c r="D86" s="27" t="str">
        <f>'Fruit Trees'!E82</f>
        <v>0-7'</v>
      </c>
      <c r="E86" s="49">
        <f>'Fruit Trees'!F82</f>
        <v>0</v>
      </c>
      <c r="F86" s="27">
        <f>'Fruit Trees'!G82</f>
        <v>50</v>
      </c>
      <c r="G86" s="30">
        <f>'Fruit Trees'!H82</f>
        <v>45</v>
      </c>
    </row>
    <row r="87">
      <c r="A87" s="27" t="str">
        <f>'Fruit Trees'!A83</f>
        <v>Plum (cherry) - Sweet Pixie 2</v>
      </c>
      <c r="B87" s="27" t="str">
        <f>'Fruit Trees'!C83</f>
        <v>#5</v>
      </c>
      <c r="C87" s="28" t="str">
        <f>'Fruit Trees'!D83</f>
        <v>1-1.25"</v>
      </c>
      <c r="D87" s="27" t="str">
        <f>'Fruit Trees'!E83</f>
        <v>7-8'</v>
      </c>
      <c r="E87" s="49">
        <f>'Fruit Trees'!F83</f>
        <v>2</v>
      </c>
      <c r="F87" s="27">
        <f>'Fruit Trees'!G83</f>
        <v>30</v>
      </c>
      <c r="G87" s="30">
        <f>'Fruit Trees'!H83</f>
        <v>60</v>
      </c>
    </row>
    <row r="88">
      <c r="A88" s="27" t="str">
        <f>'Fruit Trees'!A84</f>
        <v>Plumcot - Spring Satin</v>
      </c>
      <c r="B88" s="27" t="str">
        <f>'Fruit Trees'!C84</f>
        <v>#5</v>
      </c>
      <c r="C88" s="28" t="str">
        <f>'Fruit Trees'!D84</f>
        <v>0.75-1"</v>
      </c>
      <c r="D88" s="27" t="str">
        <f>'Fruit Trees'!E84</f>
        <v>8-9'</v>
      </c>
      <c r="E88" s="49">
        <f>'Fruit Trees'!F84</f>
        <v>1</v>
      </c>
      <c r="F88" s="27">
        <f>'Fruit Trees'!G84</f>
        <v>30</v>
      </c>
      <c r="G88" s="30">
        <f>'Fruit Trees'!H84</f>
        <v>45</v>
      </c>
    </row>
    <row r="89">
      <c r="A89" s="27" t="str">
        <f>'Fruit Trees'!A85</f>
        <v>Pluot - Dapple Dandy</v>
      </c>
      <c r="B89" s="27" t="str">
        <f>'Fruit Trees'!C85</f>
        <v>#10</v>
      </c>
      <c r="C89" s="28" t="str">
        <f>'Fruit Trees'!D85</f>
        <v>1-1.5"</v>
      </c>
      <c r="D89" s="27" t="str">
        <f>'Fruit Trees'!E85</f>
        <v>9-10'</v>
      </c>
      <c r="E89" s="49">
        <f>'Fruit Trees'!F85</f>
        <v>3</v>
      </c>
      <c r="F89" s="27">
        <f>'Fruit Trees'!G85</f>
        <v>0</v>
      </c>
      <c r="G89" s="30">
        <f>'Fruit Trees'!H85</f>
        <v>70</v>
      </c>
    </row>
    <row r="90">
      <c r="A90" s="27" t="str">
        <f>'Fruit Trees'!A86</f>
        <v>Pluot - Flavor King</v>
      </c>
      <c r="B90" s="27" t="str">
        <f>'Fruit Trees'!C86</f>
        <v>#5</v>
      </c>
      <c r="C90" s="28" t="str">
        <f>'Fruit Trees'!D86</f>
        <v>0.5-0.75"</v>
      </c>
      <c r="D90" s="27" t="str">
        <f>'Fruit Trees'!E86</f>
        <v>4-5'</v>
      </c>
      <c r="E90" s="49">
        <f>'Fruit Trees'!F86</f>
        <v>0</v>
      </c>
      <c r="F90" s="27">
        <f>'Fruit Trees'!G86</f>
        <v>30</v>
      </c>
      <c r="G90" s="30">
        <f>'Fruit Trees'!H86</f>
        <v>50</v>
      </c>
    </row>
    <row r="91">
      <c r="A91" s="27" t="str">
        <f>'Fruit Trees'!A87</f>
        <v>Pluot - Flavor Queen</v>
      </c>
      <c r="B91" s="27" t="str">
        <f>'Fruit Trees'!C87</f>
        <v>#5</v>
      </c>
      <c r="C91" s="28" t="str">
        <f>'Fruit Trees'!D87</f>
        <v>0.5-0.75"</v>
      </c>
      <c r="D91" s="27" t="str">
        <f>'Fruit Trees'!E87</f>
        <v>4-5'</v>
      </c>
      <c r="E91" s="49">
        <f>'Fruit Trees'!F87</f>
        <v>0</v>
      </c>
      <c r="F91" s="27">
        <f>'Fruit Trees'!G87</f>
        <v>30</v>
      </c>
      <c r="G91" s="30">
        <f>'Fruit Trees'!H87</f>
        <v>50</v>
      </c>
    </row>
    <row r="92">
      <c r="A92" s="27" t="str">
        <f>'Fruit Trees'!A88</f>
        <v>Raspberry - Fall Gold </v>
      </c>
      <c r="B92" s="27" t="str">
        <f>'Fruit Trees'!C88</f>
        <v>#5</v>
      </c>
      <c r="C92" s="32" t="str">
        <f>'Fruit Trees'!D88</f>
        <v>Multi</v>
      </c>
      <c r="D92" s="27" t="str">
        <f>'Fruit Trees'!E88</f>
        <v>2-3'</v>
      </c>
      <c r="E92" s="49">
        <f>'Fruit Trees'!F88</f>
        <v>2</v>
      </c>
      <c r="F92" s="27">
        <f>'Fruit Trees'!G88</f>
        <v>0</v>
      </c>
      <c r="G92" s="30">
        <f>'Fruit Trees'!H88</f>
        <v>32</v>
      </c>
    </row>
    <row r="93">
      <c r="A93" s="27" t="str">
        <f>'Fruit Trees'!A89</f>
        <v>Raspberry- Heritage</v>
      </c>
      <c r="B93" s="27" t="str">
        <f>'Fruit Trees'!C89</f>
        <v>#5</v>
      </c>
      <c r="C93" s="32" t="str">
        <f>'Fruit Trees'!D89</f>
        <v>Multi</v>
      </c>
      <c r="D93" s="27" t="str">
        <f>'Fruit Trees'!E89</f>
        <v>3-4'</v>
      </c>
      <c r="E93" s="49">
        <f>'Fruit Trees'!F89</f>
        <v>1</v>
      </c>
      <c r="F93" s="27">
        <f>'Fruit Trees'!G89</f>
        <v>0</v>
      </c>
      <c r="G93" s="30">
        <f>'Fruit Trees'!H89</f>
        <v>32</v>
      </c>
    </row>
    <row r="94">
      <c r="A94" s="27" t="str">
        <f>'Fruit Trees'!A90</f>
        <v>Russian Pomegrante - Salavatski</v>
      </c>
      <c r="B94" s="27" t="str">
        <f>'Fruit Trees'!C90</f>
        <v>#5</v>
      </c>
      <c r="C94" s="32" t="str">
        <f>'Fruit Trees'!D90</f>
        <v>Multi</v>
      </c>
      <c r="D94" s="27" t="str">
        <f>'Fruit Trees'!E90</f>
        <v>0.5-1'</v>
      </c>
      <c r="E94" s="49">
        <f>'Fruit Trees'!F90</f>
        <v>59</v>
      </c>
      <c r="F94" s="27">
        <f>'Fruit Trees'!G90</f>
        <v>72</v>
      </c>
      <c r="G94" s="30">
        <f>'Fruit Trees'!H90</f>
        <v>35</v>
      </c>
    </row>
    <row r="95">
      <c r="A95" s="27" t="str">
        <f>'Fruit Trees'!A91</f>
        <v>Walnut - Mesa Carpathian</v>
      </c>
      <c r="B95" s="27" t="str">
        <f>'Fruit Trees'!C91</f>
        <v>#15</v>
      </c>
      <c r="C95" s="28" t="str">
        <f>'Fruit Trees'!D91</f>
        <v>0-1"</v>
      </c>
      <c r="D95" s="27" t="str">
        <f>'Fruit Trees'!E91</f>
        <v>0-4'</v>
      </c>
      <c r="E95" s="49">
        <f>'Fruit Trees'!F91</f>
        <v>0</v>
      </c>
      <c r="F95" s="27">
        <f>'Fruit Trees'!G91</f>
        <v>10</v>
      </c>
      <c r="G95" s="30">
        <f>'Fruit Trees'!H91</f>
        <v>110</v>
      </c>
    </row>
    <row r="96">
      <c r="A96" s="27" t="str">
        <f>'Fruit Trees'!A92</f>
        <v/>
      </c>
      <c r="B96" s="27" t="str">
        <f>'Fruit Trees'!C92</f>
        <v/>
      </c>
      <c r="C96" s="27" t="str">
        <f>'Fruit Trees'!D92</f>
        <v/>
      </c>
      <c r="D96" s="27" t="str">
        <f>'Fruit Trees'!E92</f>
        <v/>
      </c>
      <c r="E96" s="27" t="str">
        <f>'Fruit Trees'!F92</f>
        <v/>
      </c>
      <c r="F96" s="27" t="str">
        <f>'Fruit Trees'!G92</f>
        <v/>
      </c>
      <c r="G96" s="27" t="str">
        <f>'Fruit Trees'!H92</f>
        <v/>
      </c>
    </row>
    <row r="97">
      <c r="A97" s="27" t="str">
        <f>'Fruit Trees'!A93</f>
        <v/>
      </c>
      <c r="B97" s="27" t="str">
        <f>'Fruit Trees'!C93</f>
        <v/>
      </c>
      <c r="C97" s="27" t="str">
        <f>'Fruit Trees'!D93</f>
        <v/>
      </c>
      <c r="D97" s="27" t="str">
        <f>'Fruit Trees'!E93</f>
        <v/>
      </c>
      <c r="E97" s="27" t="str">
        <f>'Fruit Trees'!F93</f>
        <v/>
      </c>
      <c r="F97" s="27" t="str">
        <f>'Fruit Trees'!G93</f>
        <v/>
      </c>
      <c r="G97" s="27" t="str">
        <f>'Fruit Trees'!H93</f>
        <v/>
      </c>
    </row>
    <row r="98">
      <c r="A98" s="27" t="str">
        <f>'Fruit Trees'!A94</f>
        <v/>
      </c>
      <c r="B98" s="27" t="str">
        <f>'Fruit Trees'!C94</f>
        <v/>
      </c>
      <c r="C98" s="27" t="str">
        <f>'Fruit Trees'!D94</f>
        <v/>
      </c>
      <c r="D98" s="27" t="str">
        <f>'Fruit Trees'!E94</f>
        <v/>
      </c>
      <c r="E98" s="27" t="str">
        <f>'Fruit Trees'!F94</f>
        <v/>
      </c>
      <c r="F98" s="27" t="str">
        <f>'Fruit Trees'!G94</f>
        <v/>
      </c>
      <c r="G98" s="27" t="str">
        <f>'Fruit Trees'!H94</f>
        <v/>
      </c>
    </row>
    <row r="99">
      <c r="A99" s="27" t="str">
        <f>'Fruit Trees'!A95</f>
        <v/>
      </c>
      <c r="B99" s="27" t="str">
        <f>'Fruit Trees'!C95</f>
        <v/>
      </c>
      <c r="C99" s="27" t="str">
        <f>'Fruit Trees'!D95</f>
        <v/>
      </c>
      <c r="D99" s="27" t="str">
        <f>'Fruit Trees'!E95</f>
        <v/>
      </c>
      <c r="E99" s="27" t="str">
        <f>'Fruit Trees'!F95</f>
        <v/>
      </c>
      <c r="F99" s="27" t="str">
        <f>'Fruit Trees'!G95</f>
        <v/>
      </c>
      <c r="G99" s="27" t="str">
        <f>'Fruit Trees'!H95</f>
        <v/>
      </c>
    </row>
    <row r="100">
      <c r="A100" s="27" t="str">
        <f>'Fruit Trees'!A96</f>
        <v/>
      </c>
      <c r="B100" s="27" t="str">
        <f>'Fruit Trees'!C96</f>
        <v/>
      </c>
      <c r="C100" s="27" t="str">
        <f>'Fruit Trees'!D96</f>
        <v/>
      </c>
      <c r="D100" s="27" t="str">
        <f>'Fruit Trees'!E96</f>
        <v/>
      </c>
      <c r="E100" s="27" t="str">
        <f>'Fruit Trees'!F96</f>
        <v/>
      </c>
      <c r="F100" s="27" t="str">
        <f>'Fruit Trees'!G96</f>
        <v/>
      </c>
      <c r="G100" s="27" t="str">
        <f>'Fruit Trees'!H96</f>
        <v/>
      </c>
    </row>
    <row r="101">
      <c r="A101" s="27" t="str">
        <f>'Fruit Trees'!A97</f>
        <v/>
      </c>
      <c r="B101" s="27" t="str">
        <f>'Fruit Trees'!C97</f>
        <v/>
      </c>
      <c r="C101" s="27" t="str">
        <f>'Fruit Trees'!D97</f>
        <v/>
      </c>
      <c r="D101" s="27" t="str">
        <f>'Fruit Trees'!E97</f>
        <v/>
      </c>
      <c r="E101" s="27" t="str">
        <f>'Fruit Trees'!F97</f>
        <v/>
      </c>
      <c r="F101" s="27" t="str">
        <f>'Fruit Trees'!G97</f>
        <v/>
      </c>
      <c r="G101" s="27" t="str">
        <f>'Fruit Trees'!H97</f>
        <v/>
      </c>
    </row>
    <row r="102">
      <c r="A102" s="27" t="str">
        <f>'Fruit Trees'!A98</f>
        <v/>
      </c>
      <c r="B102" s="27" t="str">
        <f>'Fruit Trees'!C98</f>
        <v/>
      </c>
      <c r="C102" s="27" t="str">
        <f>'Fruit Trees'!D98</f>
        <v/>
      </c>
      <c r="D102" s="27" t="str">
        <f>'Fruit Trees'!E98</f>
        <v/>
      </c>
      <c r="E102" s="27" t="str">
        <f>'Fruit Trees'!F98</f>
        <v/>
      </c>
      <c r="F102" s="27" t="str">
        <f>'Fruit Trees'!G98</f>
        <v/>
      </c>
      <c r="G102" s="27" t="str">
        <f>'Fruit Trees'!H98</f>
        <v/>
      </c>
    </row>
    <row r="103">
      <c r="A103" s="27" t="str">
        <f>'Fruit Trees'!A99</f>
        <v/>
      </c>
      <c r="B103" s="27" t="str">
        <f>'Fruit Trees'!C99</f>
        <v/>
      </c>
      <c r="C103" s="27" t="str">
        <f>'Fruit Trees'!D99</f>
        <v/>
      </c>
      <c r="D103" s="27" t="str">
        <f>'Fruit Trees'!E99</f>
        <v/>
      </c>
      <c r="E103" s="27" t="str">
        <f>'Fruit Trees'!F99</f>
        <v/>
      </c>
      <c r="F103" s="27" t="str">
        <f>'Fruit Trees'!G99</f>
        <v/>
      </c>
      <c r="G103" s="27" t="str">
        <f>'Fruit Trees'!H99</f>
        <v/>
      </c>
    </row>
    <row r="104">
      <c r="A104" s="27" t="str">
        <f>'Fruit Trees'!A100</f>
        <v/>
      </c>
      <c r="B104" s="27" t="str">
        <f>'Fruit Trees'!C100</f>
        <v/>
      </c>
      <c r="C104" s="27" t="str">
        <f>'Fruit Trees'!D100</f>
        <v/>
      </c>
      <c r="D104" s="27" t="str">
        <f>'Fruit Trees'!E100</f>
        <v/>
      </c>
      <c r="E104" s="27" t="str">
        <f>'Fruit Trees'!F100</f>
        <v/>
      </c>
      <c r="F104" s="27" t="str">
        <f>'Fruit Trees'!G100</f>
        <v/>
      </c>
      <c r="G104" s="27" t="str">
        <f>'Fruit Trees'!H100</f>
        <v/>
      </c>
    </row>
    <row r="105">
      <c r="A105" s="27" t="str">
        <f>'Fruit Trees'!A101</f>
        <v/>
      </c>
      <c r="B105" s="27" t="str">
        <f>'Fruit Trees'!C101</f>
        <v/>
      </c>
      <c r="C105" s="27" t="str">
        <f>'Fruit Trees'!D101</f>
        <v/>
      </c>
      <c r="D105" s="27" t="str">
        <f>'Fruit Trees'!E101</f>
        <v/>
      </c>
      <c r="E105" s="27" t="str">
        <f>'Fruit Trees'!F101</f>
        <v/>
      </c>
      <c r="F105" s="27" t="str">
        <f>'Fruit Trees'!G101</f>
        <v/>
      </c>
      <c r="G105" s="27" t="str">
        <f>'Fruit Trees'!H101</f>
        <v/>
      </c>
    </row>
    <row r="106">
      <c r="A106" s="27" t="str">
        <f>'Fruit Trees'!A102</f>
        <v/>
      </c>
      <c r="B106" s="27" t="str">
        <f>'Fruit Trees'!C102</f>
        <v/>
      </c>
      <c r="C106" s="27" t="str">
        <f>'Fruit Trees'!D102</f>
        <v/>
      </c>
      <c r="D106" s="27" t="str">
        <f>'Fruit Trees'!E102</f>
        <v/>
      </c>
      <c r="E106" s="27" t="str">
        <f>'Fruit Trees'!F102</f>
        <v/>
      </c>
      <c r="F106" s="27" t="str">
        <f>'Fruit Trees'!G102</f>
        <v/>
      </c>
      <c r="G106" s="27" t="str">
        <f>'Fruit Trees'!H102</f>
        <v/>
      </c>
    </row>
    <row r="107">
      <c r="A107" s="27" t="str">
        <f>'Fruit Trees'!A103</f>
        <v/>
      </c>
      <c r="B107" s="27" t="str">
        <f>'Fruit Trees'!C103</f>
        <v/>
      </c>
      <c r="C107" s="27" t="str">
        <f>'Fruit Trees'!D103</f>
        <v/>
      </c>
      <c r="D107" s="27" t="str">
        <f>'Fruit Trees'!E103</f>
        <v/>
      </c>
      <c r="E107" s="27" t="str">
        <f>'Fruit Trees'!F103</f>
        <v/>
      </c>
      <c r="F107" s="27" t="str">
        <f>'Fruit Trees'!G103</f>
        <v/>
      </c>
      <c r="G107" s="27" t="str">
        <f>'Fruit Trees'!H103</f>
        <v/>
      </c>
    </row>
    <row r="108">
      <c r="A108" s="27" t="str">
        <f>'Fruit Trees'!A104</f>
        <v/>
      </c>
      <c r="B108" s="27" t="str">
        <f>'Fruit Trees'!C104</f>
        <v/>
      </c>
      <c r="C108" s="27" t="str">
        <f>'Fruit Trees'!D104</f>
        <v/>
      </c>
      <c r="D108" s="27" t="str">
        <f>'Fruit Trees'!E104</f>
        <v/>
      </c>
      <c r="E108" s="27" t="str">
        <f>'Fruit Trees'!F104</f>
        <v/>
      </c>
      <c r="F108" s="27" t="str">
        <f>'Fruit Trees'!G104</f>
        <v/>
      </c>
      <c r="G108" s="27" t="str">
        <f>'Fruit Trees'!H104</f>
        <v/>
      </c>
    </row>
    <row r="109">
      <c r="A109" s="27" t="str">
        <f>'Fruit Trees'!A105</f>
        <v/>
      </c>
      <c r="B109" s="27" t="str">
        <f>'Fruit Trees'!C105</f>
        <v/>
      </c>
      <c r="C109" s="27" t="str">
        <f>'Fruit Trees'!D105</f>
        <v/>
      </c>
      <c r="D109" s="27" t="str">
        <f>'Fruit Trees'!E105</f>
        <v/>
      </c>
      <c r="E109" s="27" t="str">
        <f>'Fruit Trees'!F105</f>
        <v/>
      </c>
      <c r="F109" s="27" t="str">
        <f>'Fruit Trees'!G105</f>
        <v/>
      </c>
      <c r="G109" s="27" t="str">
        <f>'Fruit Trees'!H105</f>
        <v/>
      </c>
    </row>
    <row r="110">
      <c r="A110" s="27" t="str">
        <f>'Fruit Trees'!A106</f>
        <v/>
      </c>
      <c r="B110" s="27" t="str">
        <f>'Fruit Trees'!C106</f>
        <v/>
      </c>
      <c r="C110" s="27" t="str">
        <f>'Fruit Trees'!D106</f>
        <v/>
      </c>
      <c r="D110" s="27" t="str">
        <f>'Fruit Trees'!E106</f>
        <v/>
      </c>
      <c r="E110" s="27" t="str">
        <f>'Fruit Trees'!F106</f>
        <v/>
      </c>
      <c r="F110" s="27" t="str">
        <f>'Fruit Trees'!G106</f>
        <v/>
      </c>
      <c r="G110" s="27" t="str">
        <f>'Fruit Trees'!H106</f>
        <v/>
      </c>
    </row>
    <row r="111">
      <c r="A111" s="27" t="str">
        <f>'Fruit Trees'!A107</f>
        <v/>
      </c>
      <c r="B111" s="27" t="str">
        <f>'Fruit Trees'!C107</f>
        <v/>
      </c>
      <c r="C111" s="27" t="str">
        <f>'Fruit Trees'!D107</f>
        <v/>
      </c>
      <c r="D111" s="27" t="str">
        <f>'Fruit Trees'!E107</f>
        <v/>
      </c>
      <c r="E111" s="27" t="str">
        <f>'Fruit Trees'!F107</f>
        <v/>
      </c>
      <c r="F111" s="27" t="str">
        <f>'Fruit Trees'!G107</f>
        <v/>
      </c>
      <c r="G111" s="27" t="str">
        <f>'Fruit Trees'!H107</f>
        <v/>
      </c>
    </row>
    <row r="112">
      <c r="A112" s="27" t="str">
        <f>'Fruit Trees'!A108</f>
        <v/>
      </c>
      <c r="B112" s="27" t="str">
        <f>'Fruit Trees'!C108</f>
        <v/>
      </c>
      <c r="C112" s="27" t="str">
        <f>'Fruit Trees'!D108</f>
        <v/>
      </c>
      <c r="D112" s="27" t="str">
        <f>'Fruit Trees'!E108</f>
        <v/>
      </c>
      <c r="E112" s="27" t="str">
        <f>'Fruit Trees'!F108</f>
        <v/>
      </c>
      <c r="F112" s="27" t="str">
        <f>'Fruit Trees'!G108</f>
        <v/>
      </c>
      <c r="G112" s="27" t="str">
        <f>'Fruit Trees'!H108</f>
        <v/>
      </c>
    </row>
    <row r="113">
      <c r="A113" s="27" t="str">
        <f>'Fruit Trees'!A109</f>
        <v/>
      </c>
      <c r="B113" s="27" t="str">
        <f>'Fruit Trees'!C109</f>
        <v/>
      </c>
      <c r="C113" s="27" t="str">
        <f>'Fruit Trees'!D109</f>
        <v/>
      </c>
      <c r="D113" s="27" t="str">
        <f>'Fruit Trees'!E109</f>
        <v/>
      </c>
      <c r="E113" s="27" t="str">
        <f>'Fruit Trees'!F109</f>
        <v/>
      </c>
      <c r="F113" s="27" t="str">
        <f>'Fruit Trees'!G109</f>
        <v/>
      </c>
      <c r="G113" s="27" t="str">
        <f>'Fruit Trees'!H109</f>
        <v/>
      </c>
    </row>
    <row r="114">
      <c r="A114" s="27" t="str">
        <f>'Fruit Trees'!A110</f>
        <v/>
      </c>
      <c r="B114" s="27" t="str">
        <f>'Fruit Trees'!C110</f>
        <v/>
      </c>
      <c r="C114" s="27" t="str">
        <f>'Fruit Trees'!D110</f>
        <v/>
      </c>
      <c r="D114" s="27" t="str">
        <f>'Fruit Trees'!E110</f>
        <v/>
      </c>
      <c r="E114" s="27" t="str">
        <f>'Fruit Trees'!F110</f>
        <v/>
      </c>
      <c r="F114" s="27" t="str">
        <f>'Fruit Trees'!G110</f>
        <v/>
      </c>
      <c r="G114" s="27" t="str">
        <f>'Fruit Trees'!H110</f>
        <v/>
      </c>
    </row>
    <row r="115">
      <c r="A115" s="27" t="str">
        <f>'Fruit Trees'!A111</f>
        <v/>
      </c>
      <c r="B115" s="27" t="str">
        <f>'Fruit Trees'!C111</f>
        <v/>
      </c>
      <c r="C115" s="27" t="str">
        <f>'Fruit Trees'!D111</f>
        <v/>
      </c>
      <c r="D115" s="27" t="str">
        <f>'Fruit Trees'!E111</f>
        <v/>
      </c>
      <c r="E115" s="27" t="str">
        <f>'Fruit Trees'!F111</f>
        <v/>
      </c>
      <c r="F115" s="27" t="str">
        <f>'Fruit Trees'!G111</f>
        <v/>
      </c>
      <c r="G115" s="27" t="str">
        <f>'Fruit Trees'!H111</f>
        <v/>
      </c>
    </row>
    <row r="116">
      <c r="A116" s="27" t="str">
        <f>'Fruit Trees'!A112</f>
        <v/>
      </c>
      <c r="B116" s="27" t="str">
        <f>'Fruit Trees'!C112</f>
        <v/>
      </c>
      <c r="C116" s="27" t="str">
        <f>'Fruit Trees'!D112</f>
        <v/>
      </c>
      <c r="D116" s="27" t="str">
        <f>'Fruit Trees'!E112</f>
        <v/>
      </c>
      <c r="E116" s="27" t="str">
        <f>'Fruit Trees'!F112</f>
        <v/>
      </c>
      <c r="F116" s="27" t="str">
        <f>'Fruit Trees'!G112</f>
        <v/>
      </c>
      <c r="G116" s="27" t="str">
        <f>'Fruit Trees'!H112</f>
        <v/>
      </c>
    </row>
    <row r="117">
      <c r="A117" s="27" t="str">
        <f>'Fruit Trees'!A113</f>
        <v/>
      </c>
      <c r="B117" s="27" t="str">
        <f>'Fruit Trees'!C113</f>
        <v/>
      </c>
      <c r="C117" s="27" t="str">
        <f>'Fruit Trees'!D113</f>
        <v/>
      </c>
      <c r="D117" s="27" t="str">
        <f>'Fruit Trees'!E113</f>
        <v/>
      </c>
      <c r="E117" s="27" t="str">
        <f>'Fruit Trees'!F113</f>
        <v/>
      </c>
      <c r="F117" s="27" t="str">
        <f>'Fruit Trees'!G113</f>
        <v/>
      </c>
      <c r="G117" s="27" t="str">
        <f>'Fruit Trees'!H113</f>
        <v/>
      </c>
    </row>
    <row r="118">
      <c r="A118" s="27" t="str">
        <f>'Fruit Trees'!A114</f>
        <v/>
      </c>
      <c r="B118" s="27" t="str">
        <f>'Fruit Trees'!C114</f>
        <v/>
      </c>
      <c r="C118" s="27" t="str">
        <f>'Fruit Trees'!D114</f>
        <v/>
      </c>
      <c r="D118" s="27" t="str">
        <f>'Fruit Trees'!E114</f>
        <v/>
      </c>
      <c r="E118" s="27" t="str">
        <f>'Fruit Trees'!F114</f>
        <v/>
      </c>
      <c r="F118" s="27" t="str">
        <f>'Fruit Trees'!G114</f>
        <v/>
      </c>
      <c r="G118" s="27" t="str">
        <f>'Fruit Trees'!H114</f>
        <v/>
      </c>
    </row>
    <row r="119">
      <c r="A119" s="27" t="str">
        <f>'Fruit Trees'!A115</f>
        <v/>
      </c>
      <c r="B119" s="27" t="str">
        <f>'Fruit Trees'!C115</f>
        <v/>
      </c>
      <c r="C119" s="27" t="str">
        <f>'Fruit Trees'!D115</f>
        <v/>
      </c>
      <c r="D119" s="27" t="str">
        <f>'Fruit Trees'!E115</f>
        <v/>
      </c>
      <c r="E119" s="27" t="str">
        <f>'Fruit Trees'!F115</f>
        <v/>
      </c>
      <c r="F119" s="27" t="str">
        <f>'Fruit Trees'!G115</f>
        <v/>
      </c>
      <c r="G119" s="27" t="str">
        <f>'Fruit Trees'!H115</f>
        <v/>
      </c>
    </row>
    <row r="120">
      <c r="A120" s="27" t="str">
        <f>'Fruit Trees'!A116</f>
        <v/>
      </c>
      <c r="B120" s="27" t="str">
        <f>'Fruit Trees'!C116</f>
        <v/>
      </c>
      <c r="C120" s="27" t="str">
        <f>'Fruit Trees'!D116</f>
        <v/>
      </c>
      <c r="D120" s="27" t="str">
        <f>'Fruit Trees'!E116</f>
        <v/>
      </c>
      <c r="E120" s="27" t="str">
        <f>'Fruit Trees'!F116</f>
        <v/>
      </c>
      <c r="F120" s="27" t="str">
        <f>'Fruit Trees'!G116</f>
        <v/>
      </c>
      <c r="G120" s="27" t="str">
        <f>'Fruit Trees'!H116</f>
        <v/>
      </c>
    </row>
    <row r="121">
      <c r="A121" s="27" t="str">
        <f>'Fruit Trees'!A117</f>
        <v/>
      </c>
      <c r="B121" s="27" t="str">
        <f>'Fruit Trees'!C117</f>
        <v/>
      </c>
      <c r="C121" s="27" t="str">
        <f>'Fruit Trees'!D117</f>
        <v/>
      </c>
      <c r="D121" s="27" t="str">
        <f>'Fruit Trees'!E117</f>
        <v/>
      </c>
      <c r="E121" s="27" t="str">
        <f>'Fruit Trees'!F117</f>
        <v/>
      </c>
      <c r="F121" s="27" t="str">
        <f>'Fruit Trees'!G117</f>
        <v/>
      </c>
      <c r="G121" s="27" t="str">
        <f>'Fruit Trees'!H117</f>
        <v/>
      </c>
    </row>
    <row r="122">
      <c r="A122" s="27" t="str">
        <f>'Fruit Trees'!A118</f>
        <v/>
      </c>
      <c r="B122" s="27" t="str">
        <f>'Fruit Trees'!C118</f>
        <v/>
      </c>
      <c r="C122" s="27" t="str">
        <f>'Fruit Trees'!D118</f>
        <v/>
      </c>
      <c r="D122" s="27" t="str">
        <f>'Fruit Trees'!E118</f>
        <v/>
      </c>
      <c r="E122" s="27" t="str">
        <f>'Fruit Trees'!F118</f>
        <v/>
      </c>
      <c r="F122" s="27" t="str">
        <f>'Fruit Trees'!G118</f>
        <v/>
      </c>
      <c r="G122" s="27" t="str">
        <f>'Fruit Trees'!H118</f>
        <v/>
      </c>
    </row>
    <row r="123">
      <c r="A123" s="27" t="str">
        <f>'Fruit Trees'!A119</f>
        <v/>
      </c>
      <c r="B123" s="27" t="str">
        <f>'Fruit Trees'!C119</f>
        <v/>
      </c>
      <c r="C123" s="27" t="str">
        <f>'Fruit Trees'!D119</f>
        <v/>
      </c>
      <c r="D123" s="27" t="str">
        <f>'Fruit Trees'!E119</f>
        <v/>
      </c>
      <c r="E123" s="27" t="str">
        <f>'Fruit Trees'!F119</f>
        <v/>
      </c>
      <c r="F123" s="27" t="str">
        <f>'Fruit Trees'!G119</f>
        <v/>
      </c>
      <c r="G123" s="27" t="str">
        <f>'Fruit Trees'!H119</f>
        <v/>
      </c>
    </row>
    <row r="124">
      <c r="A124" s="27" t="str">
        <f>'Fruit Trees'!A120</f>
        <v/>
      </c>
      <c r="B124" s="27" t="str">
        <f>'Fruit Trees'!C120</f>
        <v/>
      </c>
      <c r="C124" s="27" t="str">
        <f>'Fruit Trees'!D120</f>
        <v/>
      </c>
      <c r="D124" s="27" t="str">
        <f>'Fruit Trees'!E120</f>
        <v/>
      </c>
      <c r="E124" s="27" t="str">
        <f>'Fruit Trees'!F120</f>
        <v/>
      </c>
      <c r="F124" s="27" t="str">
        <f>'Fruit Trees'!G120</f>
        <v/>
      </c>
      <c r="G124" s="27" t="str">
        <f>'Fruit Trees'!H120</f>
        <v/>
      </c>
    </row>
    <row r="125">
      <c r="A125" s="27" t="str">
        <f>'Fruit Trees'!A121</f>
        <v/>
      </c>
      <c r="B125" s="27" t="str">
        <f>'Fruit Trees'!C121</f>
        <v/>
      </c>
      <c r="C125" s="27" t="str">
        <f>'Fruit Trees'!D121</f>
        <v/>
      </c>
      <c r="D125" s="27" t="str">
        <f>'Fruit Trees'!E121</f>
        <v/>
      </c>
      <c r="E125" s="27" t="str">
        <f>'Fruit Trees'!F121</f>
        <v/>
      </c>
      <c r="F125" s="27" t="str">
        <f>'Fruit Trees'!G121</f>
        <v/>
      </c>
      <c r="G125" s="27" t="str">
        <f>'Fruit Trees'!H121</f>
        <v/>
      </c>
    </row>
    <row r="126">
      <c r="A126" s="27" t="str">
        <f>'Fruit Trees'!A122</f>
        <v/>
      </c>
      <c r="B126" s="27" t="str">
        <f>'Fruit Trees'!C122</f>
        <v/>
      </c>
      <c r="C126" s="27" t="str">
        <f>'Fruit Trees'!D122</f>
        <v/>
      </c>
      <c r="D126" s="27" t="str">
        <f>'Fruit Trees'!E122</f>
        <v/>
      </c>
      <c r="E126" s="27" t="str">
        <f>'Fruit Trees'!F122</f>
        <v/>
      </c>
      <c r="F126" s="27" t="str">
        <f>'Fruit Trees'!G122</f>
        <v/>
      </c>
      <c r="G126" s="27" t="str">
        <f>'Fruit Trees'!H122</f>
        <v/>
      </c>
    </row>
    <row r="127">
      <c r="A127" s="27" t="str">
        <f>'Fruit Trees'!A123</f>
        <v/>
      </c>
      <c r="B127" s="27" t="str">
        <f>'Fruit Trees'!C123</f>
        <v/>
      </c>
      <c r="C127" s="27" t="str">
        <f>'Fruit Trees'!D123</f>
        <v/>
      </c>
      <c r="D127" s="27" t="str">
        <f>'Fruit Trees'!E123</f>
        <v/>
      </c>
      <c r="E127" s="27" t="str">
        <f>'Fruit Trees'!F123</f>
        <v/>
      </c>
      <c r="F127" s="27" t="str">
        <f>'Fruit Trees'!G123</f>
        <v/>
      </c>
      <c r="G127" s="27" t="str">
        <f>'Fruit Trees'!H123</f>
        <v/>
      </c>
    </row>
    <row r="128">
      <c r="A128" s="27" t="str">
        <f>'Fruit Trees'!A124</f>
        <v/>
      </c>
      <c r="B128" s="27" t="str">
        <f>'Fruit Trees'!C124</f>
        <v/>
      </c>
      <c r="C128" s="27" t="str">
        <f>'Fruit Trees'!D124</f>
        <v/>
      </c>
      <c r="D128" s="27" t="str">
        <f>'Fruit Trees'!E124</f>
        <v/>
      </c>
      <c r="E128" s="27" t="str">
        <f>'Fruit Trees'!F124</f>
        <v/>
      </c>
      <c r="F128" s="27" t="str">
        <f>'Fruit Trees'!G124</f>
        <v/>
      </c>
      <c r="G128" s="27" t="str">
        <f>'Fruit Trees'!H124</f>
        <v/>
      </c>
    </row>
    <row r="129">
      <c r="A129" s="27" t="str">
        <f>'Fruit Trees'!A125</f>
        <v/>
      </c>
      <c r="B129" s="27" t="str">
        <f>'Fruit Trees'!C125</f>
        <v/>
      </c>
      <c r="C129" s="27" t="str">
        <f>'Fruit Trees'!D125</f>
        <v/>
      </c>
      <c r="D129" s="27" t="str">
        <f>'Fruit Trees'!E125</f>
        <v/>
      </c>
      <c r="E129" s="27" t="str">
        <f>'Fruit Trees'!F125</f>
        <v/>
      </c>
      <c r="F129" s="27" t="str">
        <f>'Fruit Trees'!G125</f>
        <v/>
      </c>
      <c r="G129" s="27" t="str">
        <f>'Fruit Trees'!H125</f>
        <v/>
      </c>
    </row>
    <row r="130">
      <c r="A130" s="27" t="str">
        <f>'Fruit Trees'!A126</f>
        <v/>
      </c>
      <c r="B130" s="27" t="str">
        <f>'Fruit Trees'!C126</f>
        <v/>
      </c>
      <c r="C130" s="27" t="str">
        <f>'Fruit Trees'!D126</f>
        <v/>
      </c>
      <c r="D130" s="27" t="str">
        <f>'Fruit Trees'!E126</f>
        <v/>
      </c>
      <c r="E130" s="27" t="str">
        <f>'Fruit Trees'!F126</f>
        <v/>
      </c>
      <c r="F130" s="27" t="str">
        <f>'Fruit Trees'!G126</f>
        <v/>
      </c>
      <c r="G130" s="27" t="str">
        <f>'Fruit Trees'!H126</f>
        <v/>
      </c>
    </row>
    <row r="131">
      <c r="A131" s="27" t="str">
        <f>'Fruit Trees'!A127</f>
        <v/>
      </c>
      <c r="B131" s="27" t="str">
        <f>'Fruit Trees'!C127</f>
        <v/>
      </c>
      <c r="C131" s="27" t="str">
        <f>'Fruit Trees'!D127</f>
        <v/>
      </c>
      <c r="D131" s="27" t="str">
        <f>'Fruit Trees'!E127</f>
        <v/>
      </c>
      <c r="E131" s="27" t="str">
        <f>'Fruit Trees'!F127</f>
        <v/>
      </c>
      <c r="F131" s="27" t="str">
        <f>'Fruit Trees'!G127</f>
        <v/>
      </c>
      <c r="G131" s="27" t="str">
        <f>'Fruit Trees'!H127</f>
        <v/>
      </c>
    </row>
    <row r="132">
      <c r="A132" s="27" t="str">
        <f>'Fruit Trees'!A128</f>
        <v/>
      </c>
      <c r="B132" s="27" t="str">
        <f>'Fruit Trees'!C128</f>
        <v/>
      </c>
      <c r="C132" s="27" t="str">
        <f>'Fruit Trees'!D128</f>
        <v/>
      </c>
      <c r="D132" s="27" t="str">
        <f>'Fruit Trees'!E128</f>
        <v/>
      </c>
      <c r="E132" s="27" t="str">
        <f>'Fruit Trees'!F128</f>
        <v/>
      </c>
      <c r="F132" s="27" t="str">
        <f>'Fruit Trees'!G128</f>
        <v/>
      </c>
      <c r="G132" s="27" t="str">
        <f>'Fruit Trees'!H128</f>
        <v/>
      </c>
    </row>
    <row r="133">
      <c r="A133" s="27" t="str">
        <f>'Fruit Trees'!A129</f>
        <v/>
      </c>
      <c r="B133" s="27" t="str">
        <f>'Fruit Trees'!C129</f>
        <v/>
      </c>
      <c r="C133" s="27" t="str">
        <f>'Fruit Trees'!D129</f>
        <v/>
      </c>
      <c r="D133" s="27" t="str">
        <f>'Fruit Trees'!E129</f>
        <v/>
      </c>
      <c r="E133" s="27" t="str">
        <f>'Fruit Trees'!F129</f>
        <v/>
      </c>
      <c r="F133" s="27" t="str">
        <f>'Fruit Trees'!G129</f>
        <v/>
      </c>
      <c r="G133" s="27" t="str">
        <f>'Fruit Trees'!H129</f>
        <v/>
      </c>
    </row>
    <row r="134">
      <c r="A134" s="27" t="str">
        <f>'Fruit Trees'!A130</f>
        <v/>
      </c>
      <c r="B134" s="27" t="str">
        <f>'Fruit Trees'!C130</f>
        <v/>
      </c>
      <c r="C134" s="27" t="str">
        <f>'Fruit Trees'!D130</f>
        <v/>
      </c>
      <c r="D134" s="27" t="str">
        <f>'Fruit Trees'!E130</f>
        <v/>
      </c>
      <c r="E134" s="27" t="str">
        <f>'Fruit Trees'!F130</f>
        <v/>
      </c>
      <c r="F134" s="27" t="str">
        <f>'Fruit Trees'!G130</f>
        <v/>
      </c>
      <c r="G134" s="27" t="str">
        <f>'Fruit Trees'!H130</f>
        <v/>
      </c>
    </row>
    <row r="135">
      <c r="A135" s="27" t="str">
        <f>'Fruit Trees'!A131</f>
        <v/>
      </c>
      <c r="B135" s="27" t="str">
        <f>'Fruit Trees'!C131</f>
        <v/>
      </c>
      <c r="C135" s="27" t="str">
        <f>'Fruit Trees'!D131</f>
        <v/>
      </c>
      <c r="D135" s="27" t="str">
        <f>'Fruit Trees'!E131</f>
        <v/>
      </c>
      <c r="E135" s="27" t="str">
        <f>'Fruit Trees'!F131</f>
        <v/>
      </c>
      <c r="F135" s="27" t="str">
        <f>'Fruit Trees'!G131</f>
        <v/>
      </c>
      <c r="G135" s="27" t="str">
        <f>'Fruit Trees'!H131</f>
        <v/>
      </c>
    </row>
    <row r="136">
      <c r="A136" s="27" t="str">
        <f>'Fruit Trees'!A132</f>
        <v/>
      </c>
      <c r="B136" s="27" t="str">
        <f>'Fruit Trees'!C132</f>
        <v/>
      </c>
      <c r="C136" s="27" t="str">
        <f>'Fruit Trees'!D132</f>
        <v/>
      </c>
      <c r="D136" s="27" t="str">
        <f>'Fruit Trees'!E132</f>
        <v/>
      </c>
      <c r="E136" s="27" t="str">
        <f>'Fruit Trees'!F132</f>
        <v/>
      </c>
      <c r="F136" s="27" t="str">
        <f>'Fruit Trees'!G132</f>
        <v/>
      </c>
      <c r="G136" s="27" t="str">
        <f>'Fruit Trees'!H132</f>
        <v/>
      </c>
    </row>
    <row r="137">
      <c r="A137" s="27" t="str">
        <f>'Fruit Trees'!A133</f>
        <v/>
      </c>
      <c r="B137" s="27" t="str">
        <f>'Fruit Trees'!C133</f>
        <v/>
      </c>
      <c r="C137" s="27" t="str">
        <f>'Fruit Trees'!D133</f>
        <v/>
      </c>
      <c r="D137" s="27" t="str">
        <f>'Fruit Trees'!E133</f>
        <v/>
      </c>
      <c r="E137" s="27" t="str">
        <f>'Fruit Trees'!F133</f>
        <v/>
      </c>
      <c r="F137" s="27" t="str">
        <f>'Fruit Trees'!G133</f>
        <v/>
      </c>
      <c r="G137" s="27" t="str">
        <f>'Fruit Trees'!H133</f>
        <v/>
      </c>
    </row>
    <row r="138">
      <c r="A138" s="27" t="str">
        <f>'Fruit Trees'!A134</f>
        <v/>
      </c>
      <c r="B138" s="27" t="str">
        <f>'Fruit Trees'!C134</f>
        <v/>
      </c>
      <c r="C138" s="27" t="str">
        <f>'Fruit Trees'!D134</f>
        <v/>
      </c>
      <c r="D138" s="27" t="str">
        <f>'Fruit Trees'!E134</f>
        <v/>
      </c>
      <c r="E138" s="27" t="str">
        <f>'Fruit Trees'!F134</f>
        <v/>
      </c>
      <c r="F138" s="27" t="str">
        <f>'Fruit Trees'!G134</f>
        <v/>
      </c>
      <c r="G138" s="27" t="str">
        <f>'Fruit Trees'!H134</f>
        <v/>
      </c>
    </row>
    <row r="139">
      <c r="A139" s="27" t="str">
        <f>'Fruit Trees'!A135</f>
        <v/>
      </c>
      <c r="B139" s="27" t="str">
        <f>'Fruit Trees'!C135</f>
        <v/>
      </c>
      <c r="C139" s="27" t="str">
        <f>'Fruit Trees'!D135</f>
        <v/>
      </c>
      <c r="D139" s="27" t="str">
        <f>'Fruit Trees'!E135</f>
        <v/>
      </c>
      <c r="E139" s="27" t="str">
        <f>'Fruit Trees'!F135</f>
        <v/>
      </c>
      <c r="F139" s="27" t="str">
        <f>'Fruit Trees'!G135</f>
        <v/>
      </c>
      <c r="G139" s="27" t="str">
        <f>'Fruit Trees'!H135</f>
        <v/>
      </c>
    </row>
    <row r="140">
      <c r="A140" s="27" t="str">
        <f>'Fruit Trees'!A136</f>
        <v/>
      </c>
      <c r="B140" s="27" t="str">
        <f>'Fruit Trees'!C136</f>
        <v/>
      </c>
      <c r="C140" s="27" t="str">
        <f>'Fruit Trees'!D136</f>
        <v/>
      </c>
      <c r="D140" s="27" t="str">
        <f>'Fruit Trees'!E136</f>
        <v/>
      </c>
      <c r="E140" s="27" t="str">
        <f>'Fruit Trees'!F136</f>
        <v/>
      </c>
      <c r="F140" s="27" t="str">
        <f>'Fruit Trees'!G136</f>
        <v/>
      </c>
      <c r="G140" s="27" t="str">
        <f>'Fruit Trees'!H136</f>
        <v/>
      </c>
    </row>
    <row r="141">
      <c r="A141" s="27" t="str">
        <f>'Fruit Trees'!A137</f>
        <v/>
      </c>
      <c r="B141" s="27" t="str">
        <f>'Fruit Trees'!C137</f>
        <v/>
      </c>
      <c r="C141" s="27" t="str">
        <f>'Fruit Trees'!D137</f>
        <v/>
      </c>
      <c r="D141" s="27" t="str">
        <f>'Fruit Trees'!E137</f>
        <v/>
      </c>
      <c r="E141" s="27" t="str">
        <f>'Fruit Trees'!F137</f>
        <v/>
      </c>
      <c r="F141" s="27" t="str">
        <f>'Fruit Trees'!G137</f>
        <v/>
      </c>
      <c r="G141" s="27" t="str">
        <f>'Fruit Trees'!H137</f>
        <v/>
      </c>
    </row>
    <row r="142">
      <c r="A142" s="34" t="s">
        <v>14</v>
      </c>
      <c r="B142" s="35"/>
      <c r="D142" s="22"/>
      <c r="E142" s="22"/>
      <c r="F142" s="50"/>
      <c r="G142" s="50"/>
      <c r="H142" s="38"/>
    </row>
    <row r="143">
      <c r="A143" s="24" t="str">
        <f>'Landscape Trees '!A1</f>
        <v>Latin Name</v>
      </c>
      <c r="B143" s="24" t="str">
        <f>'Landscape Trees '!C1</f>
        <v>Common Name</v>
      </c>
      <c r="C143" s="24" t="str">
        <f>'Landscape Trees '!D1</f>
        <v>Pot Size</v>
      </c>
      <c r="D143" s="24" t="str">
        <f>'Landscape Trees '!E1</f>
        <v>Caliper </v>
      </c>
      <c r="E143" s="24" t="str">
        <f>'Landscape Trees '!F1</f>
        <v>Height</v>
      </c>
      <c r="F143" s="24" t="str">
        <f>'Landscape Trees '!G1</f>
        <v>Quantity </v>
      </c>
      <c r="G143" s="24" t="str">
        <f>'Landscape Trees '!H1</f>
        <v>Projected</v>
      </c>
      <c r="H143" s="24" t="str">
        <f>'Landscape Trees '!I1</f>
        <v>Price</v>
      </c>
    </row>
    <row r="144">
      <c r="A144" s="27" t="str">
        <f>'Landscape Trees '!A2</f>
        <v/>
      </c>
      <c r="B144" s="27" t="str">
        <f>'Landscape Trees '!C2</f>
        <v>Sugar Maple</v>
      </c>
      <c r="C144" s="27" t="str">
        <f>'Landscape Trees '!D2</f>
        <v>#15</v>
      </c>
      <c r="D144" s="28" t="str">
        <f>'Landscape Trees '!E2</f>
        <v>1-1"</v>
      </c>
      <c r="E144" s="27" t="str">
        <f>'Landscape Trees '!F2</f>
        <v>8-9'</v>
      </c>
      <c r="F144" s="49">
        <f>'Landscape Trees '!G2</f>
        <v>0</v>
      </c>
      <c r="G144" s="27">
        <f>'Landscape Trees '!H2</f>
        <v>10</v>
      </c>
      <c r="H144" s="30">
        <f>'Landscape Trees '!I2</f>
        <v>35</v>
      </c>
    </row>
    <row r="145">
      <c r="A145" s="27" t="str">
        <f>'Landscape Trees '!A3</f>
        <v>Acer buergerianum</v>
      </c>
      <c r="B145" s="27" t="str">
        <f>'Landscape Trees '!C3</f>
        <v>Trident Maple</v>
      </c>
      <c r="C145" s="27" t="str">
        <f>'Landscape Trees '!D3</f>
        <v>#5</v>
      </c>
      <c r="D145" s="28" t="str">
        <f>'Landscape Trees '!E3</f>
        <v>0.25-0.5"</v>
      </c>
      <c r="E145" s="27" t="str">
        <f>'Landscape Trees '!F3</f>
        <v>3-6'</v>
      </c>
      <c r="F145" s="49">
        <f>'Landscape Trees '!G3</f>
        <v>9</v>
      </c>
      <c r="G145" s="27">
        <f>'Landscape Trees '!H3</f>
        <v>0</v>
      </c>
      <c r="H145" s="30">
        <f>'Landscape Trees '!I3</f>
        <v>40</v>
      </c>
    </row>
    <row r="146">
      <c r="A146" s="27" t="str">
        <f>'Landscape Trees '!A4</f>
        <v>Acer campestre</v>
      </c>
      <c r="B146" s="27" t="str">
        <f>'Landscape Trees '!C4</f>
        <v>Hedge Maple</v>
      </c>
      <c r="C146" s="27" t="str">
        <f>'Landscape Trees '!D4</f>
        <v>#5</v>
      </c>
      <c r="D146" s="28" t="str">
        <f>'Landscape Trees '!E4</f>
        <v>1-1.25"</v>
      </c>
      <c r="E146" s="27" t="str">
        <f>'Landscape Trees '!F4</f>
        <v>6-7'</v>
      </c>
      <c r="F146" s="49">
        <f>'Landscape Trees '!G4</f>
        <v>12</v>
      </c>
      <c r="G146" s="27">
        <f>'Landscape Trees '!H4</f>
        <v>0</v>
      </c>
      <c r="H146" s="30">
        <f>'Landscape Trees '!I4</f>
        <v>40</v>
      </c>
    </row>
    <row r="147">
      <c r="A147" s="27" t="str">
        <f>'Landscape Trees '!A5</f>
        <v>Acer griseum</v>
      </c>
      <c r="B147" s="27" t="str">
        <f>'Landscape Trees '!C5</f>
        <v>Paperbark Maple</v>
      </c>
      <c r="C147" s="27" t="str">
        <f>'Landscape Trees '!D5</f>
        <v>#5</v>
      </c>
      <c r="D147" s="28" t="str">
        <f>'Landscape Trees '!E5</f>
        <v>0.75-1"</v>
      </c>
      <c r="E147" s="27" t="str">
        <f>'Landscape Trees '!F5</f>
        <v>4-5'</v>
      </c>
      <c r="F147" s="49">
        <f>'Landscape Trees '!G5</f>
        <v>21</v>
      </c>
      <c r="G147" s="27">
        <f>'Landscape Trees '!H5</f>
        <v>0</v>
      </c>
      <c r="H147" s="30">
        <f>'Landscape Trees '!I5</f>
        <v>55</v>
      </c>
    </row>
    <row r="148">
      <c r="A148" s="27" t="str">
        <f>'Landscape Trees '!A6</f>
        <v>Acer griseum</v>
      </c>
      <c r="B148" s="27" t="str">
        <f>'Landscape Trees '!C6</f>
        <v>Paperbark Maple</v>
      </c>
      <c r="C148" s="27" t="str">
        <f>'Landscape Trees '!D6</f>
        <v>#15</v>
      </c>
      <c r="D148" s="28" t="str">
        <f>'Landscape Trees '!E6</f>
        <v>0-1.75"</v>
      </c>
      <c r="E148" s="27" t="str">
        <f>'Landscape Trees '!F6</f>
        <v>0-10'</v>
      </c>
      <c r="F148" s="49">
        <f>'Landscape Trees '!G6</f>
        <v>0</v>
      </c>
      <c r="G148" s="27">
        <f>'Landscape Trees '!H6</f>
        <v>6</v>
      </c>
      <c r="H148" s="30">
        <f>'Landscape Trees '!I6</f>
        <v>180</v>
      </c>
    </row>
    <row r="149">
      <c r="A149" s="27" t="str">
        <f>'Landscape Trees '!A7</f>
        <v>Acer palmatum 'Bloodgood'</v>
      </c>
      <c r="B149" s="27" t="str">
        <f>'Landscape Trees '!C7</f>
        <v>Bloodgood Japanese Maple</v>
      </c>
      <c r="C149" s="27" t="str">
        <f>'Landscape Trees '!D7</f>
        <v>#7</v>
      </c>
      <c r="D149" s="28" t="str">
        <f>'Landscape Trees '!E7</f>
        <v>0.25-0.5"</v>
      </c>
      <c r="E149" s="27" t="str">
        <f>'Landscape Trees '!F7</f>
        <v>4-5'</v>
      </c>
      <c r="F149" s="49">
        <f>'Landscape Trees '!G7</f>
        <v>1</v>
      </c>
      <c r="G149" s="27">
        <f>'Landscape Trees '!H7</f>
        <v>0</v>
      </c>
      <c r="H149" s="30">
        <f>'Landscape Trees '!I7</f>
        <v>50</v>
      </c>
    </row>
    <row r="150">
      <c r="A150" s="27" t="str">
        <f>'Landscape Trees '!A8</f>
        <v>Acer palmatum 'Emperor I'</v>
      </c>
      <c r="B150" s="27" t="str">
        <f>'Landscape Trees '!C8</f>
        <v>Emperor I Japanese Maple</v>
      </c>
      <c r="C150" s="27" t="str">
        <f>'Landscape Trees '!D8</f>
        <v>#7</v>
      </c>
      <c r="D150" s="28" t="str">
        <f>'Landscape Trees '!E8</f>
        <v>0.25-0.5"</v>
      </c>
      <c r="E150" s="27" t="str">
        <f>'Landscape Trees '!F8</f>
        <v>4-5'</v>
      </c>
      <c r="F150" s="49">
        <f>'Landscape Trees '!G8</f>
        <v>3</v>
      </c>
      <c r="G150" s="27">
        <f>'Landscape Trees '!H8</f>
        <v>20</v>
      </c>
      <c r="H150" s="30">
        <f>'Landscape Trees '!I8</f>
        <v>55</v>
      </c>
    </row>
    <row r="151">
      <c r="A151" s="27" t="str">
        <f>'Landscape Trees '!A9</f>
        <v>Acer palmatum 'Tamukeyama'</v>
      </c>
      <c r="B151" s="27" t="str">
        <f>'Landscape Trees '!C9</f>
        <v>Tamukeyama Japanese Maple</v>
      </c>
      <c r="C151" s="27" t="str">
        <f>'Landscape Trees '!D9</f>
        <v>#7</v>
      </c>
      <c r="D151" s="28" t="str">
        <f>'Landscape Trees '!E9</f>
        <v>0.375-0.5"</v>
      </c>
      <c r="E151" s="27" t="str">
        <f>'Landscape Trees '!F9</f>
        <v>3-4'</v>
      </c>
      <c r="F151" s="49">
        <f>'Landscape Trees '!G9</f>
        <v>14</v>
      </c>
      <c r="G151" s="27">
        <f>'Landscape Trees '!H9</f>
        <v>20</v>
      </c>
      <c r="H151" s="30">
        <f>'Landscape Trees '!I9</f>
        <v>60</v>
      </c>
    </row>
    <row r="152">
      <c r="A152" s="27" t="str">
        <f>'Landscape Trees '!A10</f>
        <v>Acer rubrum</v>
      </c>
      <c r="B152" s="27" t="str">
        <f>'Landscape Trees '!C10</f>
        <v>Red Maple (Native)</v>
      </c>
      <c r="C152" s="27" t="str">
        <f>'Landscape Trees '!D10</f>
        <v>#5</v>
      </c>
      <c r="D152" s="28" t="str">
        <f>'Landscape Trees '!E10</f>
        <v>0.125-0.25"</v>
      </c>
      <c r="E152" s="27" t="str">
        <f>'Landscape Trees '!F10</f>
        <v>3-4'</v>
      </c>
      <c r="F152" s="49">
        <f>'Landscape Trees '!G10</f>
        <v>8</v>
      </c>
      <c r="G152" s="27">
        <f>'Landscape Trees '!H10</f>
        <v>100</v>
      </c>
      <c r="H152" s="30">
        <f>'Landscape Trees '!I10</f>
        <v>40</v>
      </c>
    </row>
    <row r="153">
      <c r="A153" s="27" t="str">
        <f>'Landscape Trees '!A11</f>
        <v>Acer rubrum </v>
      </c>
      <c r="B153" s="27" t="str">
        <f>'Landscape Trees '!C11</f>
        <v>Red Maple (Cultivar)</v>
      </c>
      <c r="C153" s="27" t="str">
        <f>'Landscape Trees '!D11</f>
        <v>#5</v>
      </c>
      <c r="D153" s="28" t="str">
        <f>'Landscape Trees '!E11</f>
        <v>0.25-0.5"</v>
      </c>
      <c r="E153" s="27" t="str">
        <f>'Landscape Trees '!F11</f>
        <v>2-3'</v>
      </c>
      <c r="F153" s="49">
        <f>'Landscape Trees '!G11</f>
        <v>55</v>
      </c>
      <c r="G153" s="27">
        <f>'Landscape Trees '!H11</f>
        <v>0</v>
      </c>
      <c r="H153" s="30">
        <f>'Landscape Trees '!I11</f>
        <v>40</v>
      </c>
    </row>
    <row r="154">
      <c r="A154" s="27" t="str">
        <f>'Landscape Trees '!A12</f>
        <v>Acer rubrum </v>
      </c>
      <c r="B154" s="27" t="str">
        <f>'Landscape Trees '!C12</f>
        <v>Red Maple</v>
      </c>
      <c r="C154" s="27" t="str">
        <f>'Landscape Trees '!D12</f>
        <v>#15</v>
      </c>
      <c r="D154" s="28" t="str">
        <f>'Landscape Trees '!E12</f>
        <v>0-1.25"</v>
      </c>
      <c r="E154" s="27" t="str">
        <f>'Landscape Trees '!F12</f>
        <v>0-12'</v>
      </c>
      <c r="F154" s="49">
        <f>'Landscape Trees '!G12</f>
        <v>0</v>
      </c>
      <c r="G154" s="27">
        <f>'Landscape Trees '!H12</f>
        <v>40</v>
      </c>
      <c r="H154" s="30">
        <f>'Landscape Trees '!I12</f>
        <v>115</v>
      </c>
    </row>
    <row r="155">
      <c r="A155" s="27" t="str">
        <f>'Landscape Trees '!A13</f>
        <v>Acer saccharum</v>
      </c>
      <c r="B155" s="27" t="str">
        <f>'Landscape Trees '!C13</f>
        <v>Sugar Maple</v>
      </c>
      <c r="C155" s="27" t="str">
        <f>'Landscape Trees '!D13</f>
        <v>#5</v>
      </c>
      <c r="D155" s="28" t="str">
        <f>'Landscape Trees '!E13</f>
        <v>0.25-0.5"</v>
      </c>
      <c r="E155" s="27" t="str">
        <f>'Landscape Trees '!F13</f>
        <v>3-5'</v>
      </c>
      <c r="F155" s="49">
        <f>'Landscape Trees '!G13</f>
        <v>33</v>
      </c>
      <c r="G155" s="27">
        <f>'Landscape Trees '!H13</f>
        <v>50</v>
      </c>
      <c r="H155" s="30">
        <f>'Landscape Trees '!I13</f>
        <v>40</v>
      </c>
    </row>
    <row r="156">
      <c r="A156" s="27" t="str">
        <f>'Landscape Trees '!A14</f>
        <v>Acer saccharum 'Bailsta'</v>
      </c>
      <c r="B156" s="27" t="str">
        <f>'Landscape Trees '!C14</f>
        <v>Fall Fiesta Sugar Maple</v>
      </c>
      <c r="C156" s="27" t="str">
        <f>'Landscape Trees '!D14</f>
        <v>#15</v>
      </c>
      <c r="D156" s="28" t="str">
        <f>'Landscape Trees '!E14</f>
        <v>0-0"</v>
      </c>
      <c r="E156" s="27" t="str">
        <f>'Landscape Trees '!F14</f>
        <v>0-0'</v>
      </c>
      <c r="F156" s="49">
        <f>'Landscape Trees '!G14</f>
        <v>0</v>
      </c>
      <c r="G156" s="27">
        <f>'Landscape Trees '!H14</f>
        <v>15</v>
      </c>
      <c r="H156" s="30">
        <f>'Landscape Trees '!I14</f>
        <v>115</v>
      </c>
    </row>
    <row r="157">
      <c r="A157" s="27" t="str">
        <f>'Landscape Trees '!A15</f>
        <v>Acer saccharum 'Green Mountain'</v>
      </c>
      <c r="B157" s="27" t="str">
        <f>'Landscape Trees '!C15</f>
        <v>Green Mountain Sugar Maple</v>
      </c>
      <c r="C157" s="27" t="str">
        <f>'Landscape Trees '!D15</f>
        <v>#15</v>
      </c>
      <c r="D157" s="28" t="str">
        <f>'Landscape Trees '!E15</f>
        <v>0-1.25"</v>
      </c>
      <c r="E157" s="27" t="str">
        <f>'Landscape Trees '!F15</f>
        <v>0-10'</v>
      </c>
      <c r="F157" s="49">
        <f>'Landscape Trees '!G15</f>
        <v>0</v>
      </c>
      <c r="G157" s="27">
        <f>'Landscape Trees '!H15</f>
        <v>10</v>
      </c>
      <c r="H157" s="30">
        <f>'Landscape Trees '!I15</f>
        <v>115</v>
      </c>
    </row>
    <row r="158">
      <c r="A158" s="27" t="str">
        <f>'Landscape Trees '!A16</f>
        <v>Acer saccharum 'Green Mountain'</v>
      </c>
      <c r="B158" s="27" t="str">
        <f>'Landscape Trees '!C16</f>
        <v>Green Mountain Sugar Maple</v>
      </c>
      <c r="C158" s="27" t="str">
        <f>'Landscape Trees '!D16</f>
        <v>#25</v>
      </c>
      <c r="D158" s="28" t="str">
        <f>'Landscape Trees '!E16</f>
        <v>1-1.25"</v>
      </c>
      <c r="E158" s="27" t="str">
        <f>'Landscape Trees '!F16</f>
        <v>9-10'</v>
      </c>
      <c r="F158" s="49">
        <f>'Landscape Trees '!G16</f>
        <v>1</v>
      </c>
      <c r="G158" s="27">
        <f>'Landscape Trees '!H16</f>
        <v>0</v>
      </c>
      <c r="H158" s="30">
        <f>'Landscape Trees '!I16</f>
        <v>155</v>
      </c>
    </row>
    <row r="159">
      <c r="A159" s="27" t="str">
        <f>'Landscape Trees '!A17</f>
        <v>Acer saccharum 'Legacy'</v>
      </c>
      <c r="B159" s="27" t="str">
        <f>'Landscape Trees '!C17</f>
        <v>Legacy Sugar Maple</v>
      </c>
      <c r="C159" s="27" t="str">
        <f>'Landscape Trees '!D17</f>
        <v>#15</v>
      </c>
      <c r="D159" s="28" t="str">
        <f>'Landscape Trees '!E17</f>
        <v>0.5-0.75"</v>
      </c>
      <c r="E159" s="27" t="str">
        <f>'Landscape Trees '!F17</f>
        <v>7-7'</v>
      </c>
      <c r="F159" s="49">
        <f>'Landscape Trees '!G17</f>
        <v>2</v>
      </c>
      <c r="G159" s="27">
        <f>'Landscape Trees '!H17</f>
        <v>0</v>
      </c>
      <c r="H159" s="30">
        <f>'Landscape Trees '!I17</f>
        <v>115</v>
      </c>
    </row>
    <row r="160">
      <c r="A160" s="27" t="str">
        <f>'Landscape Trees '!A18</f>
        <v>Acer tataricum 'Hot Wings'</v>
      </c>
      <c r="B160" s="27" t="str">
        <f>'Landscape Trees '!C18</f>
        <v>Hot Wings Maple</v>
      </c>
      <c r="C160" s="27" t="str">
        <f>'Landscape Trees '!D18</f>
        <v>#15</v>
      </c>
      <c r="D160" s="28" t="str">
        <f>'Landscape Trees '!E18</f>
        <v>0-0"</v>
      </c>
      <c r="E160" s="27" t="str">
        <f>'Landscape Trees '!F18</f>
        <v>0-0'</v>
      </c>
      <c r="F160" s="49">
        <f>'Landscape Trees '!G18</f>
        <v>0</v>
      </c>
      <c r="G160" s="27">
        <f>'Landscape Trees '!H18</f>
        <v>5</v>
      </c>
      <c r="H160" s="30">
        <f>'Landscape Trees '!I18</f>
        <v>115</v>
      </c>
    </row>
    <row r="161">
      <c r="A161" s="27" t="str">
        <f>'Landscape Trees '!A19</f>
        <v>Acer tataricum 'Hot Wings'</v>
      </c>
      <c r="B161" s="27" t="str">
        <f>'Landscape Trees '!C19</f>
        <v>Hot Wings Maple</v>
      </c>
      <c r="C161" s="27" t="str">
        <f>'Landscape Trees '!D19</f>
        <v>#25</v>
      </c>
      <c r="D161" s="28" t="str">
        <f>'Landscape Trees '!E19</f>
        <v>1-1.5"</v>
      </c>
      <c r="E161" s="27" t="str">
        <f>'Landscape Trees '!F19</f>
        <v>8-11'</v>
      </c>
      <c r="F161" s="49">
        <f>'Landscape Trees '!G19</f>
        <v>5</v>
      </c>
      <c r="G161" s="27">
        <f>'Landscape Trees '!H19</f>
        <v>0</v>
      </c>
      <c r="H161" s="30">
        <f>'Landscape Trees '!I19</f>
        <v>140</v>
      </c>
    </row>
    <row r="162">
      <c r="A162" s="27" t="str">
        <f>'Landscape Trees '!A20</f>
        <v>Acer x freemanii</v>
      </c>
      <c r="B162" s="27" t="str">
        <f>'Landscape Trees '!C20</f>
        <v>Autumn Blaze Maple</v>
      </c>
      <c r="C162" s="27" t="str">
        <f>'Landscape Trees '!D20</f>
        <v>#5</v>
      </c>
      <c r="D162" s="28" t="str">
        <f>'Landscape Trees '!E20</f>
        <v>0.38-0.25"</v>
      </c>
      <c r="E162" s="27" t="str">
        <f>'Landscape Trees '!F20</f>
        <v>1-2'</v>
      </c>
      <c r="F162" s="49">
        <f>'Landscape Trees '!G20</f>
        <v>0</v>
      </c>
      <c r="G162" s="27">
        <f>'Landscape Trees '!H20</f>
        <v>25</v>
      </c>
      <c r="H162" s="30">
        <f>'Landscape Trees '!I20</f>
        <v>40</v>
      </c>
    </row>
    <row r="163">
      <c r="A163" s="27" t="str">
        <f>'Landscape Trees '!A21</f>
        <v>Acer x freemanii</v>
      </c>
      <c r="B163" s="27" t="str">
        <f>'Landscape Trees '!C21</f>
        <v>Autumn Blaze Maple</v>
      </c>
      <c r="C163" s="27" t="str">
        <f>'Landscape Trees '!D21</f>
        <v>#10</v>
      </c>
      <c r="D163" s="28" t="str">
        <f>'Landscape Trees '!E21</f>
        <v>0-1.5"</v>
      </c>
      <c r="E163" s="27" t="str">
        <f>'Landscape Trees '!F21</f>
        <v>0-9'</v>
      </c>
      <c r="F163" s="49">
        <f>'Landscape Trees '!G21</f>
        <v>0</v>
      </c>
      <c r="G163" s="27">
        <f>'Landscape Trees '!H21</f>
        <v>17</v>
      </c>
      <c r="H163" s="30">
        <f>'Landscape Trees '!I21</f>
        <v>85</v>
      </c>
    </row>
    <row r="164">
      <c r="A164" s="27" t="str">
        <f>'Landscape Trees '!A22</f>
        <v>Aesculus carnea 'Ft. McNair'</v>
      </c>
      <c r="B164" s="27" t="str">
        <f>'Landscape Trees '!C22</f>
        <v>Ft. McNair Horsechestnut</v>
      </c>
      <c r="C164" s="27" t="str">
        <f>'Landscape Trees '!D22</f>
        <v>#15</v>
      </c>
      <c r="D164" s="28" t="str">
        <f>'Landscape Trees '!E22</f>
        <v>1.25-1.5"</v>
      </c>
      <c r="E164" s="27" t="str">
        <f>'Landscape Trees '!F22</f>
        <v>8-9'</v>
      </c>
      <c r="F164" s="49">
        <f>'Landscape Trees '!G22</f>
        <v>1</v>
      </c>
      <c r="G164" s="27">
        <f>'Landscape Trees '!H22</f>
        <v>12</v>
      </c>
      <c r="H164" s="30">
        <f>'Landscape Trees '!I22</f>
        <v>140</v>
      </c>
    </row>
    <row r="165">
      <c r="A165" s="27" t="str">
        <f>'Landscape Trees '!A23</f>
        <v>Aesculus carnea 'Ft. McNair'</v>
      </c>
      <c r="B165" s="27" t="str">
        <f>'Landscape Trees '!C23</f>
        <v>Ft. McNair Horsechestnut</v>
      </c>
      <c r="C165" s="27" t="str">
        <f>'Landscape Trees '!D23</f>
        <v>#25</v>
      </c>
      <c r="D165" s="28" t="str">
        <f>'Landscape Trees '!E23</f>
        <v>1.25-1.5"</v>
      </c>
      <c r="E165" s="27" t="str">
        <f>'Landscape Trees '!F23</f>
        <v>8-9'</v>
      </c>
      <c r="F165" s="49">
        <f>'Landscape Trees '!G23</f>
        <v>1</v>
      </c>
      <c r="G165" s="27">
        <f>'Landscape Trees '!H23</f>
        <v>0</v>
      </c>
      <c r="H165" s="30">
        <f>'Landscape Trees '!I23</f>
        <v>155</v>
      </c>
    </row>
    <row r="166">
      <c r="A166" s="27" t="str">
        <f>'Landscape Trees '!A24</f>
        <v>Aesculus hippocastanum</v>
      </c>
      <c r="B166" s="27" t="str">
        <f>'Landscape Trees '!C24</f>
        <v>European Horsechestnut</v>
      </c>
      <c r="C166" s="27" t="str">
        <f>'Landscape Trees '!D24</f>
        <v>#5</v>
      </c>
      <c r="D166" s="28" t="str">
        <f>'Landscape Trees '!E24</f>
        <v>1-1.25"</v>
      </c>
      <c r="E166" s="27" t="str">
        <f>'Landscape Trees '!F24</f>
        <v>4-5'</v>
      </c>
      <c r="F166" s="49">
        <f>'Landscape Trees '!G24</f>
        <v>15</v>
      </c>
      <c r="G166" s="27">
        <f>'Landscape Trees '!H24</f>
        <v>0</v>
      </c>
      <c r="H166" s="30">
        <f>'Landscape Trees '!I24</f>
        <v>45</v>
      </c>
    </row>
    <row r="167">
      <c r="A167" s="27" t="str">
        <f>'Landscape Trees '!A25</f>
        <v>Aesculus parviflora</v>
      </c>
      <c r="B167" s="27" t="str">
        <f>'Landscape Trees '!C25</f>
        <v>Bottlebrush Buckeye</v>
      </c>
      <c r="C167" s="27" t="str">
        <f>'Landscape Trees '!D25</f>
        <v>#5</v>
      </c>
      <c r="D167" s="28" t="str">
        <f>'Landscape Trees '!E25</f>
        <v>0.38-0.25"</v>
      </c>
      <c r="E167" s="27" t="str">
        <f>'Landscape Trees '!F25</f>
        <v>1-2'</v>
      </c>
      <c r="F167" s="49">
        <f>'Landscape Trees '!G25</f>
        <v>0</v>
      </c>
      <c r="G167" s="27">
        <f>'Landscape Trees '!H25</f>
        <v>100</v>
      </c>
      <c r="H167" s="30">
        <f>'Landscape Trees '!I25</f>
        <v>55</v>
      </c>
    </row>
    <row r="168">
      <c r="A168" s="27" t="str">
        <f>'Landscape Trees '!A26</f>
        <v>Aesculus parviflora</v>
      </c>
      <c r="B168" s="27" t="str">
        <f>'Landscape Trees '!C26</f>
        <v>Bottlebrush Buckeye</v>
      </c>
      <c r="C168" s="27" t="str">
        <f>'Landscape Trees '!D26</f>
        <v>#7p</v>
      </c>
      <c r="D168" s="28" t="str">
        <f>'Landscape Trees '!E26</f>
        <v>0.5-0.75"</v>
      </c>
      <c r="E168" s="27" t="str">
        <f>'Landscape Trees '!F26</f>
        <v>4-5'</v>
      </c>
      <c r="F168" s="49">
        <f>'Landscape Trees '!G26</f>
        <v>0</v>
      </c>
      <c r="G168" s="27">
        <f>'Landscape Trees '!H26</f>
        <v>10</v>
      </c>
      <c r="H168" s="30">
        <f>'Landscape Trees '!I26</f>
        <v>65</v>
      </c>
    </row>
    <row r="169">
      <c r="A169" s="27" t="str">
        <f>'Landscape Trees '!A27</f>
        <v>Aesculus pavia</v>
      </c>
      <c r="B169" s="27" t="str">
        <f>'Landscape Trees '!C27</f>
        <v>Red Buckeye</v>
      </c>
      <c r="C169" s="27" t="str">
        <f>'Landscape Trees '!D27</f>
        <v>#5</v>
      </c>
      <c r="D169" s="28" t="str">
        <f>'Landscape Trees '!E27</f>
        <v>0.25-0.5"</v>
      </c>
      <c r="E169" s="27" t="str">
        <f>'Landscape Trees '!F27</f>
        <v>1-3'</v>
      </c>
      <c r="F169" s="49">
        <f>'Landscape Trees '!G27</f>
        <v>2</v>
      </c>
      <c r="G169" s="27">
        <f>'Landscape Trees '!H27</f>
        <v>50</v>
      </c>
      <c r="H169" s="30">
        <f>'Landscape Trees '!I27</f>
        <v>45</v>
      </c>
    </row>
    <row r="170">
      <c r="A170" s="27" t="str">
        <f>'Landscape Trees '!A28</f>
        <v>Albizia julibrissin 'E.H.Wilson'</v>
      </c>
      <c r="B170" s="27" t="str">
        <f>'Landscape Trees '!C28</f>
        <v>Cold Hardy Mimosa</v>
      </c>
      <c r="C170" s="27" t="str">
        <f>'Landscape Trees '!D28</f>
        <v>#5</v>
      </c>
      <c r="D170" s="32" t="str">
        <f>'Landscape Trees '!E28</f>
        <v>Multi</v>
      </c>
      <c r="E170" s="27" t="str">
        <f>'Landscape Trees '!F28</f>
        <v>3-4'</v>
      </c>
      <c r="F170" s="49">
        <f>'Landscape Trees '!G28</f>
        <v>11</v>
      </c>
      <c r="G170" s="27">
        <f>'Landscape Trees '!H28</f>
        <v>0</v>
      </c>
      <c r="H170" s="30">
        <f>'Landscape Trees '!I28</f>
        <v>35</v>
      </c>
    </row>
    <row r="171">
      <c r="A171" s="27" t="str">
        <f>'Landscape Trees '!A29</f>
        <v>Amelanchier canadensis</v>
      </c>
      <c r="B171" s="27" t="str">
        <f>'Landscape Trees '!C29</f>
        <v>Canadensis Serviceberry</v>
      </c>
      <c r="C171" s="27" t="str">
        <f>'Landscape Trees '!D29</f>
        <v>#15</v>
      </c>
      <c r="D171" s="32" t="str">
        <f>'Landscape Trees '!E29</f>
        <v>Multi</v>
      </c>
      <c r="E171" s="27" t="str">
        <f>'Landscape Trees '!F29</f>
        <v>6-7'</v>
      </c>
      <c r="F171" s="49">
        <f>'Landscape Trees '!G29</f>
        <v>5</v>
      </c>
      <c r="G171" s="27">
        <f>'Landscape Trees '!H29</f>
        <v>0</v>
      </c>
      <c r="H171" s="30">
        <f>'Landscape Trees '!I29</f>
        <v>115</v>
      </c>
    </row>
    <row r="172">
      <c r="A172" s="27" t="str">
        <f>'Landscape Trees '!A30</f>
        <v>Amelanchier grandiflora 'Autumn Brilliance'</v>
      </c>
      <c r="B172" s="27" t="str">
        <f>'Landscape Trees '!C30</f>
        <v>Autumn Brillance Serviceberry</v>
      </c>
      <c r="C172" s="27" t="str">
        <f>'Landscape Trees '!D30</f>
        <v>#5</v>
      </c>
      <c r="D172" s="28" t="str">
        <f>'Landscape Trees '!E30</f>
        <v>0.25-0.5"</v>
      </c>
      <c r="E172" s="27" t="str">
        <f>'Landscape Trees '!F30</f>
        <v>5-6'</v>
      </c>
      <c r="F172" s="49">
        <f>'Landscape Trees '!G30</f>
        <v>0</v>
      </c>
      <c r="G172" s="27">
        <f>'Landscape Trees '!H30</f>
        <v>50</v>
      </c>
      <c r="H172" s="30">
        <f>'Landscape Trees '!I30</f>
        <v>40</v>
      </c>
    </row>
    <row r="173">
      <c r="A173" s="27" t="str">
        <f>'Landscape Trees '!A31</f>
        <v>Amelanchier grandiflora 'Autumn Brilliance'</v>
      </c>
      <c r="B173" s="27" t="str">
        <f>'Landscape Trees '!C31</f>
        <v>Autumn Brilliance Serviceberry</v>
      </c>
      <c r="C173" s="27" t="str">
        <f>'Landscape Trees '!D31</f>
        <v>#15</v>
      </c>
      <c r="D173" s="28" t="str">
        <f>'Landscape Trees '!E31</f>
        <v>1-1"</v>
      </c>
      <c r="E173" s="27" t="str">
        <f>'Landscape Trees '!F31</f>
        <v>9-10'</v>
      </c>
      <c r="F173" s="49">
        <f>'Landscape Trees '!G31</f>
        <v>4</v>
      </c>
      <c r="G173" s="27">
        <f>'Landscape Trees '!H31</f>
        <v>0</v>
      </c>
      <c r="H173" s="30">
        <f>'Landscape Trees '!I31</f>
        <v>115</v>
      </c>
    </row>
    <row r="174">
      <c r="A174" s="27" t="str">
        <f>'Landscape Trees '!A32</f>
        <v>Amelanchier laevis</v>
      </c>
      <c r="B174" s="27" t="str">
        <f>'Landscape Trees '!C32</f>
        <v>Allegheny Serviceberry</v>
      </c>
      <c r="C174" s="27" t="str">
        <f>'Landscape Trees '!D32</f>
        <v>#5</v>
      </c>
      <c r="D174" s="28" t="str">
        <f>'Landscape Trees '!E32</f>
        <v>0.25-0.75"</v>
      </c>
      <c r="E174" s="27" t="str">
        <f>'Landscape Trees '!F32</f>
        <v>5-7'</v>
      </c>
      <c r="F174" s="27">
        <f>'Landscape Trees '!G32</f>
        <v>26</v>
      </c>
      <c r="G174" s="27">
        <f>'Landscape Trees '!H32</f>
        <v>0</v>
      </c>
      <c r="H174" s="30">
        <f>'Landscape Trees '!I32</f>
        <v>40</v>
      </c>
    </row>
    <row r="175">
      <c r="A175" s="27" t="str">
        <f>'Landscape Trees '!A33</f>
        <v>Amelanchier lamarckii</v>
      </c>
      <c r="B175" s="27" t="str">
        <f>'Landscape Trees '!C33</f>
        <v>Lamarckii Serviceberry</v>
      </c>
      <c r="C175" s="27" t="str">
        <f>'Landscape Trees '!D33</f>
        <v>#5</v>
      </c>
      <c r="D175" s="28" t="str">
        <f>'Landscape Trees '!E33</f>
        <v>0.125-0.125"</v>
      </c>
      <c r="E175" s="27" t="str">
        <f>'Landscape Trees '!F33</f>
        <v>2-8'</v>
      </c>
      <c r="F175" s="49">
        <f>'Landscape Trees '!G33</f>
        <v>54</v>
      </c>
      <c r="G175" s="27">
        <f>'Landscape Trees '!H33</f>
        <v>0</v>
      </c>
      <c r="H175" s="30">
        <f>'Landscape Trees '!I33</f>
        <v>40</v>
      </c>
    </row>
    <row r="176">
      <c r="A176" s="27" t="str">
        <f>'Landscape Trees '!A34</f>
        <v>Amelanchier lamarckii</v>
      </c>
      <c r="B176" s="27" t="str">
        <f>'Landscape Trees '!C34</f>
        <v>Lamarckii Serviceberry</v>
      </c>
      <c r="C176" s="27" t="str">
        <f>'Landscape Trees '!D34</f>
        <v>#5</v>
      </c>
      <c r="D176" s="28" t="str">
        <f>'Landscape Trees '!E34</f>
        <v>Multi</v>
      </c>
      <c r="E176" s="27" t="str">
        <f>'Landscape Trees '!F34</f>
        <v>2-8'</v>
      </c>
      <c r="F176" s="49">
        <f>'Landscape Trees '!G34</f>
        <v>12</v>
      </c>
      <c r="G176" s="27">
        <f>'Landscape Trees '!H34</f>
        <v>0</v>
      </c>
      <c r="H176" s="30">
        <f>'Landscape Trees '!I34</f>
        <v>40</v>
      </c>
    </row>
    <row r="177">
      <c r="A177" s="27" t="str">
        <f>'Landscape Trees '!A35</f>
        <v>Aronia melanocarpa</v>
      </c>
      <c r="B177" s="27" t="str">
        <f>'Landscape Trees '!C35</f>
        <v>Black Chokeberry</v>
      </c>
      <c r="C177" s="27" t="str">
        <f>'Landscape Trees '!D35</f>
        <v>#5</v>
      </c>
      <c r="D177" s="28" t="str">
        <f>'Landscape Trees '!E35</f>
        <v>Multi</v>
      </c>
      <c r="E177" s="27" t="str">
        <f>'Landscape Trees '!F35</f>
        <v>3-4'</v>
      </c>
      <c r="F177" s="49">
        <f>'Landscape Trees '!G35</f>
        <v>1</v>
      </c>
      <c r="G177" s="27">
        <f>'Landscape Trees '!H35</f>
        <v>100</v>
      </c>
      <c r="H177" s="30">
        <f>'Landscape Trees '!I35</f>
        <v>32</v>
      </c>
    </row>
    <row r="178">
      <c r="A178" s="27" t="str">
        <f>'Landscape Trees '!A36</f>
        <v>Aronia melanocarpa 'Viking'</v>
      </c>
      <c r="B178" s="27" t="str">
        <f>'Landscape Trees '!C36</f>
        <v>Viking Black Chokeberry</v>
      </c>
      <c r="C178" s="27" t="str">
        <f>'Landscape Trees '!D36</f>
        <v>#5</v>
      </c>
      <c r="D178" s="28" t="str">
        <f>'Landscape Trees '!E36</f>
        <v>Multi</v>
      </c>
      <c r="E178" s="27" t="str">
        <f>'Landscape Trees '!F36</f>
        <v>1-2'</v>
      </c>
      <c r="F178" s="49">
        <f>'Landscape Trees '!G36</f>
        <v>0</v>
      </c>
      <c r="G178" s="27">
        <f>'Landscape Trees '!H36</f>
        <v>72</v>
      </c>
      <c r="H178" s="30">
        <f>'Landscape Trees '!I36</f>
        <v>35</v>
      </c>
    </row>
    <row r="179">
      <c r="A179" s="27" t="str">
        <f>'Landscape Trees '!A37</f>
        <v>Betula nigra</v>
      </c>
      <c r="B179" s="27" t="str">
        <f>'Landscape Trees '!C37</f>
        <v>River Birch</v>
      </c>
      <c r="C179" s="27" t="str">
        <f>'Landscape Trees '!D37</f>
        <v>#5</v>
      </c>
      <c r="D179" s="28" t="str">
        <f>'Landscape Trees '!E37</f>
        <v>0-1.25"</v>
      </c>
      <c r="E179" s="27" t="str">
        <f>'Landscape Trees '!F37</f>
        <v>0-8'</v>
      </c>
      <c r="F179" s="49">
        <f>'Landscape Trees '!G37</f>
        <v>0</v>
      </c>
      <c r="G179" s="27">
        <f>'Landscape Trees '!H37</f>
        <v>200</v>
      </c>
      <c r="H179" s="30">
        <f>'Landscape Trees '!I37</f>
        <v>40</v>
      </c>
    </row>
    <row r="180">
      <c r="A180" s="27" t="str">
        <f>'Landscape Trees '!A38</f>
        <v>Betula nigra</v>
      </c>
      <c r="B180" s="27" t="str">
        <f>'Landscape Trees '!C38</f>
        <v>River Birch</v>
      </c>
      <c r="C180" s="27" t="str">
        <f>'Landscape Trees '!D38</f>
        <v>#7</v>
      </c>
      <c r="D180" s="28" t="str">
        <f>'Landscape Trees '!E38</f>
        <v>0.25-0.5"</v>
      </c>
      <c r="E180" s="27" t="str">
        <f>'Landscape Trees '!F38</f>
        <v>4-5'</v>
      </c>
      <c r="F180" s="49">
        <f>'Landscape Trees '!G38</f>
        <v>23</v>
      </c>
      <c r="G180" s="27">
        <f>'Landscape Trees '!H38</f>
        <v>0</v>
      </c>
      <c r="H180" s="30">
        <f>'Landscape Trees '!I38</f>
        <v>45</v>
      </c>
    </row>
    <row r="181">
      <c r="A181" s="27" t="str">
        <f>'Landscape Trees '!A39</f>
        <v>Betula nigra</v>
      </c>
      <c r="B181" s="27" t="str">
        <f>'Landscape Trees '!C39</f>
        <v>River Birch</v>
      </c>
      <c r="C181" s="27" t="str">
        <f>'Landscape Trees '!D39</f>
        <v>#15</v>
      </c>
      <c r="D181" s="32" t="str">
        <f>'Landscape Trees '!E39</f>
        <v>Multi</v>
      </c>
      <c r="E181" s="27" t="str">
        <f>'Landscape Trees '!F39</f>
        <v>3-11'</v>
      </c>
      <c r="F181" s="49">
        <f>'Landscape Trees '!G39</f>
        <v>2</v>
      </c>
      <c r="G181" s="27">
        <f>'Landscape Trees '!H39</f>
        <v>5</v>
      </c>
      <c r="H181" s="30">
        <f>'Landscape Trees '!I39</f>
        <v>115</v>
      </c>
    </row>
    <row r="182">
      <c r="A182" s="27" t="str">
        <f>'Landscape Trees '!A40</f>
        <v>Betula nigra Clump</v>
      </c>
      <c r="B182" s="27" t="str">
        <f>'Landscape Trees '!C40</f>
        <v>Clump River Birch</v>
      </c>
      <c r="C182" s="27" t="str">
        <f>'Landscape Trees '!D40</f>
        <v>#15</v>
      </c>
      <c r="D182" s="28" t="str">
        <f>'Landscape Trees '!E40</f>
        <v>0.25-0.5"</v>
      </c>
      <c r="E182" s="27" t="str">
        <f>'Landscape Trees '!F40</f>
        <v>4-5'</v>
      </c>
      <c r="F182" s="49">
        <f>'Landscape Trees '!G40</f>
        <v>0</v>
      </c>
      <c r="G182" s="27">
        <f>'Landscape Trees '!H40</f>
        <v>25</v>
      </c>
      <c r="H182" s="30">
        <f>'Landscape Trees '!I40</f>
        <v>0</v>
      </c>
    </row>
    <row r="183">
      <c r="A183" s="27" t="str">
        <f>'Landscape Trees '!A41</f>
        <v>Betula papyrifera</v>
      </c>
      <c r="B183" s="27" t="str">
        <f>'Landscape Trees '!C41</f>
        <v>Paper Birch</v>
      </c>
      <c r="C183" s="27" t="str">
        <f>'Landscape Trees '!D41</f>
        <v>#5</v>
      </c>
      <c r="D183" s="28" t="str">
        <f>'Landscape Trees '!E41</f>
        <v>0.38-0.25"</v>
      </c>
      <c r="E183" s="27" t="str">
        <f>'Landscape Trees '!F41</f>
        <v>1-2'</v>
      </c>
      <c r="F183" s="49">
        <f>'Landscape Trees '!G41</f>
        <v>0</v>
      </c>
      <c r="G183" s="27">
        <f>'Landscape Trees '!H41</f>
        <v>50</v>
      </c>
      <c r="H183" s="30">
        <f>'Landscape Trees '!I41</f>
        <v>40</v>
      </c>
    </row>
    <row r="184">
      <c r="A184" s="27" t="str">
        <f>'Landscape Trees '!A42</f>
        <v>Betula pendula</v>
      </c>
      <c r="B184" s="27" t="str">
        <f>'Landscape Trees '!C42</f>
        <v>European Silver Birch</v>
      </c>
      <c r="C184" s="27" t="str">
        <f>'Landscape Trees '!D42</f>
        <v>#5</v>
      </c>
      <c r="D184" s="28" t="str">
        <f>'Landscape Trees '!E42</f>
        <v>1-1.25"</v>
      </c>
      <c r="E184" s="27" t="str">
        <f>'Landscape Trees '!F42</f>
        <v>9-13'</v>
      </c>
      <c r="F184" s="49">
        <f>'Landscape Trees '!G42</f>
        <v>6</v>
      </c>
      <c r="G184" s="27">
        <f>'Landscape Trees '!H42</f>
        <v>0</v>
      </c>
      <c r="H184" s="30">
        <f>'Landscape Trees '!I42</f>
        <v>40</v>
      </c>
    </row>
    <row r="185">
      <c r="A185" s="27" t="str">
        <f>'Landscape Trees '!A43</f>
        <v>Betula populifolia</v>
      </c>
      <c r="B185" s="27" t="str">
        <f>'Landscape Trees '!C43</f>
        <v>Gray Birch</v>
      </c>
      <c r="C185" s="27" t="str">
        <f>'Landscape Trees '!D43</f>
        <v>#5</v>
      </c>
      <c r="D185" s="28" t="str">
        <f>'Landscape Trees '!E43</f>
        <v>0.5-1.5"</v>
      </c>
      <c r="E185" s="27" t="str">
        <f>'Landscape Trees '!F43</f>
        <v>4-14'</v>
      </c>
      <c r="F185" s="49">
        <f>'Landscape Trees '!G43</f>
        <v>23</v>
      </c>
      <c r="G185" s="27">
        <f>'Landscape Trees '!H43</f>
        <v>0</v>
      </c>
      <c r="H185" s="30">
        <f>'Landscape Trees '!I43</f>
        <v>40</v>
      </c>
    </row>
    <row r="186">
      <c r="A186" s="27" t="str">
        <f>'Landscape Trees '!A44</f>
        <v>Carpinus betulus</v>
      </c>
      <c r="B186" s="27" t="str">
        <f>'Landscape Trees '!C44</f>
        <v>European Hornbeam</v>
      </c>
      <c r="C186" s="27" t="str">
        <f>'Landscape Trees '!D44</f>
        <v>#7</v>
      </c>
      <c r="D186" s="28" t="str">
        <f>'Landscape Trees '!E44</f>
        <v>1-1.5"</v>
      </c>
      <c r="E186" s="27" t="str">
        <f>'Landscape Trees '!F44</f>
        <v>5-10'</v>
      </c>
      <c r="F186" s="49">
        <f>'Landscape Trees '!G44</f>
        <v>17</v>
      </c>
      <c r="G186" s="27">
        <f>'Landscape Trees '!H44</f>
        <v>0</v>
      </c>
      <c r="H186" s="30">
        <f>'Landscape Trees '!I44</f>
        <v>70</v>
      </c>
    </row>
    <row r="187">
      <c r="A187" s="27" t="str">
        <f>'Landscape Trees '!A45</f>
        <v>Carpinus betulus 'Fastigiata'</v>
      </c>
      <c r="B187" s="27" t="str">
        <f>'Landscape Trees '!C45</f>
        <v>Pyramidal Hornbeam</v>
      </c>
      <c r="C187" s="27" t="str">
        <f>'Landscape Trees '!D45</f>
        <v>#15</v>
      </c>
      <c r="D187" s="28" t="str">
        <f>'Landscape Trees '!E45</f>
        <v>0.75-1"</v>
      </c>
      <c r="E187" s="27" t="str">
        <f>'Landscape Trees '!F45</f>
        <v>6-8'</v>
      </c>
      <c r="F187" s="49">
        <f>'Landscape Trees '!G45</f>
        <v>10</v>
      </c>
      <c r="G187" s="27">
        <f>'Landscape Trees '!H45</f>
        <v>0</v>
      </c>
      <c r="H187" s="30">
        <f>'Landscape Trees '!I45</f>
        <v>115</v>
      </c>
    </row>
    <row r="188">
      <c r="A188" s="27" t="str">
        <f>'Landscape Trees '!A46</f>
        <v>Carpinus betulus 'Frans Fontaine'</v>
      </c>
      <c r="B188" s="27" t="str">
        <f>'Landscape Trees '!C46</f>
        <v>Frans Fontaine European Hornbeam</v>
      </c>
      <c r="C188" s="27" t="str">
        <f>'Landscape Trees '!D46</f>
        <v>#10</v>
      </c>
      <c r="D188" s="28" t="str">
        <f>'Landscape Trees '!E46</f>
        <v>1.5-1.5"</v>
      </c>
      <c r="E188" s="27" t="str">
        <f>'Landscape Trees '!F46</f>
        <v>7-7'</v>
      </c>
      <c r="F188" s="49">
        <f>'Landscape Trees '!G46</f>
        <v>1</v>
      </c>
      <c r="G188" s="27">
        <f>'Landscape Trees '!H46</f>
        <v>0</v>
      </c>
      <c r="H188" s="30">
        <f>'Landscape Trees '!I46</f>
        <v>85</v>
      </c>
    </row>
    <row r="189">
      <c r="A189" s="27" t="str">
        <f>'Landscape Trees '!A47</f>
        <v>Carpinus caroliniana</v>
      </c>
      <c r="B189" s="27" t="str">
        <f>'Landscape Trees '!C47</f>
        <v>American Hornbeam</v>
      </c>
      <c r="C189" s="27" t="str">
        <f>'Landscape Trees '!D47</f>
        <v>#5</v>
      </c>
      <c r="D189" s="28" t="str">
        <f>'Landscape Trees '!E47</f>
        <v>0.5-0.75"</v>
      </c>
      <c r="E189" s="27" t="str">
        <f>'Landscape Trees '!F47</f>
        <v>4-6'</v>
      </c>
      <c r="F189" s="49">
        <f>'Landscape Trees '!G47</f>
        <v>216</v>
      </c>
      <c r="G189" s="27">
        <f>'Landscape Trees '!H47</f>
        <v>225</v>
      </c>
      <c r="H189" s="30">
        <f>'Landscape Trees '!I47</f>
        <v>40</v>
      </c>
    </row>
    <row r="190">
      <c r="A190" s="27" t="str">
        <f>'Landscape Trees '!A48</f>
        <v>Carpinus caroliniana</v>
      </c>
      <c r="B190" s="27" t="str">
        <f>'Landscape Trees '!C48</f>
        <v>American Hornbeam</v>
      </c>
      <c r="C190" s="27" t="str">
        <f>'Landscape Trees '!D48</f>
        <v>#7</v>
      </c>
      <c r="D190" s="28" t="str">
        <f>'Landscape Trees '!E48</f>
        <v>0.75-0.75"</v>
      </c>
      <c r="E190" s="27" t="str">
        <f>'Landscape Trees '!F48</f>
        <v>5-7'</v>
      </c>
      <c r="F190" s="49">
        <f>'Landscape Trees '!G48</f>
        <v>20</v>
      </c>
      <c r="G190" s="27">
        <f>'Landscape Trees '!H48</f>
        <v>0</v>
      </c>
      <c r="H190" s="30">
        <f>'Landscape Trees '!I48</f>
        <v>50</v>
      </c>
    </row>
    <row r="191">
      <c r="A191" s="27" t="str">
        <f>'Landscape Trees '!A49</f>
        <v>Carpinus caroliniana</v>
      </c>
      <c r="B191" s="27" t="str">
        <f>'Landscape Trees '!C49</f>
        <v>American Hornbeam</v>
      </c>
      <c r="C191" s="27" t="str">
        <f>'Landscape Trees '!D49</f>
        <v>#15</v>
      </c>
      <c r="D191" s="28" t="str">
        <f>'Landscape Trees '!E49</f>
        <v>0-1.5"</v>
      </c>
      <c r="E191" s="27" t="str">
        <f>'Landscape Trees '!F49</f>
        <v>0-11'</v>
      </c>
      <c r="F191" s="49">
        <f>'Landscape Trees '!G49</f>
        <v>0</v>
      </c>
      <c r="G191" s="27">
        <f>'Landscape Trees '!H49</f>
        <v>15</v>
      </c>
      <c r="H191" s="30">
        <f>'Landscape Trees '!I49</f>
        <v>115</v>
      </c>
    </row>
    <row r="192">
      <c r="A192" s="27" t="str">
        <f>'Landscape Trees '!A50</f>
        <v>Carya laciniosa</v>
      </c>
      <c r="B192" s="27" t="str">
        <f>'Landscape Trees '!C50</f>
        <v>Shellbark Hickory</v>
      </c>
      <c r="C192" s="27" t="str">
        <f>'Landscape Trees '!D50</f>
        <v>#5</v>
      </c>
      <c r="D192" s="28" t="str">
        <f>'Landscape Trees '!E50</f>
        <v>0.25-0.5"</v>
      </c>
      <c r="E192" s="27" t="str">
        <f>'Landscape Trees '!F50</f>
        <v>1.5-2.5'</v>
      </c>
      <c r="F192" s="49">
        <f>'Landscape Trees '!G50</f>
        <v>8</v>
      </c>
      <c r="G192" s="27">
        <f>'Landscape Trees '!H50</f>
        <v>0</v>
      </c>
      <c r="H192" s="30">
        <f>'Landscape Trees '!I50</f>
        <v>35</v>
      </c>
    </row>
    <row r="193">
      <c r="A193" s="27" t="str">
        <f>'Landscape Trees '!A51</f>
        <v>Carya ovata</v>
      </c>
      <c r="B193" s="27" t="str">
        <f>'Landscape Trees '!C51</f>
        <v>Shagbark Hickory</v>
      </c>
      <c r="C193" s="27" t="str">
        <f>'Landscape Trees '!D51</f>
        <v>#5</v>
      </c>
      <c r="D193" s="28" t="str">
        <f>'Landscape Trees '!E51</f>
        <v>0.125-0.5"</v>
      </c>
      <c r="E193" s="27" t="str">
        <f>'Landscape Trees '!F51</f>
        <v>0.5-2'</v>
      </c>
      <c r="F193" s="49">
        <f>'Landscape Trees '!G51</f>
        <v>164</v>
      </c>
      <c r="G193" s="27">
        <f>'Landscape Trees '!H51</f>
        <v>0</v>
      </c>
      <c r="H193" s="30">
        <f>'Landscape Trees '!I51</f>
        <v>35</v>
      </c>
    </row>
    <row r="194">
      <c r="A194" s="27" t="str">
        <f>'Landscape Trees '!A52</f>
        <v>Catalpa bignonioides</v>
      </c>
      <c r="B194" s="27" t="str">
        <f>'Landscape Trees '!C52</f>
        <v>Southern Catalpa</v>
      </c>
      <c r="C194" s="27" t="str">
        <f>'Landscape Trees '!D52</f>
        <v>#5</v>
      </c>
      <c r="D194" s="28" t="str">
        <f>'Landscape Trees '!E52</f>
        <v>0-0"</v>
      </c>
      <c r="E194" s="27" t="str">
        <f>'Landscape Trees '!F52</f>
        <v>0-0'</v>
      </c>
      <c r="F194" s="27">
        <f>'Landscape Trees '!G52</f>
        <v>26</v>
      </c>
      <c r="G194" s="27">
        <f>'Landscape Trees '!H52</f>
        <v>12.5</v>
      </c>
      <c r="H194" s="30">
        <f>'Landscape Trees '!I52</f>
        <v>40</v>
      </c>
    </row>
    <row r="195">
      <c r="A195" s="27" t="str">
        <f>'Landscape Trees '!A53</f>
        <v>Catalpa bignonioides</v>
      </c>
      <c r="B195" s="27" t="str">
        <f>'Landscape Trees '!C53</f>
        <v>Southern Catalpa</v>
      </c>
      <c r="C195" s="27" t="str">
        <f>'Landscape Trees '!D53</f>
        <v>#5</v>
      </c>
      <c r="D195" s="28" t="str">
        <f>'Landscape Trees '!E53</f>
        <v>0.5-0.75"</v>
      </c>
      <c r="E195" s="27" t="str">
        <f>'Landscape Trees '!F53</f>
        <v>2-3'</v>
      </c>
      <c r="F195" s="49">
        <f>'Landscape Trees '!G53</f>
        <v>0</v>
      </c>
      <c r="G195" s="27">
        <f>'Landscape Trees '!H53</f>
        <v>12.5</v>
      </c>
      <c r="H195" s="30">
        <f>'Landscape Trees '!I53</f>
        <v>40</v>
      </c>
    </row>
    <row r="196">
      <c r="A196" s="27" t="str">
        <f>'Landscape Trees '!A54</f>
        <v>Catalpa speciosa</v>
      </c>
      <c r="B196" s="27" t="str">
        <f>'Landscape Trees '!C54</f>
        <v>Northern Catalpa</v>
      </c>
      <c r="C196" s="27" t="str">
        <f>'Landscape Trees '!D54</f>
        <v>#5</v>
      </c>
      <c r="D196" s="28" t="str">
        <f>'Landscape Trees '!E54</f>
        <v>1-1"</v>
      </c>
      <c r="E196" s="27" t="str">
        <f>'Landscape Trees '!F54</f>
        <v>4-5'</v>
      </c>
      <c r="F196" s="49">
        <f>'Landscape Trees '!G54</f>
        <v>23</v>
      </c>
      <c r="G196" s="27">
        <f>'Landscape Trees '!H54</f>
        <v>0</v>
      </c>
      <c r="H196" s="30">
        <f>'Landscape Trees '!I54</f>
        <v>40</v>
      </c>
    </row>
    <row r="197">
      <c r="A197" s="27" t="str">
        <f>'Landscape Trees '!A55</f>
        <v>Catalpa speciosa</v>
      </c>
      <c r="B197" s="27" t="str">
        <f>'Landscape Trees '!C55</f>
        <v>Northern Catalpa</v>
      </c>
      <c r="C197" s="27" t="str">
        <f>'Landscape Trees '!D55</f>
        <v>#25</v>
      </c>
      <c r="D197" s="28" t="str">
        <f>'Landscape Trees '!E55</f>
        <v>1.5-1.75"</v>
      </c>
      <c r="E197" s="27" t="str">
        <f>'Landscape Trees '!F55</f>
        <v>9-10'</v>
      </c>
      <c r="F197" s="49">
        <f>'Landscape Trees '!G55</f>
        <v>1</v>
      </c>
      <c r="G197" s="27">
        <f>'Landscape Trees '!H55</f>
        <v>0</v>
      </c>
      <c r="H197" s="30">
        <f>'Landscape Trees '!I55</f>
        <v>140</v>
      </c>
    </row>
    <row r="198">
      <c r="A198" s="27" t="str">
        <f>'Landscape Trees '!A56</f>
        <v>Celtis occidentalis</v>
      </c>
      <c r="B198" s="27" t="str">
        <f>'Landscape Trees '!C56</f>
        <v>Hackberry</v>
      </c>
      <c r="C198" s="27" t="str">
        <f>'Landscape Trees '!D56</f>
        <v>#5</v>
      </c>
      <c r="D198" s="28" t="str">
        <f>'Landscape Trees '!E56</f>
        <v>0.25-0.25"</v>
      </c>
      <c r="E198" s="27" t="str">
        <f>'Landscape Trees '!F56</f>
        <v>2-4.5'</v>
      </c>
      <c r="F198" s="49">
        <f>'Landscape Trees '!G56</f>
        <v>122</v>
      </c>
      <c r="G198" s="27">
        <f>'Landscape Trees '!H56</f>
        <v>100</v>
      </c>
      <c r="H198" s="30">
        <f>'Landscape Trees '!I56</f>
        <v>40</v>
      </c>
    </row>
    <row r="199">
      <c r="A199" s="27" t="str">
        <f>'Landscape Trees '!A57</f>
        <v>Cephalanthus occidentalis</v>
      </c>
      <c r="B199" s="27" t="str">
        <f>'Landscape Trees '!C57</f>
        <v>ButtonBush</v>
      </c>
      <c r="C199" s="27" t="str">
        <f>'Landscape Trees '!D57</f>
        <v>#5</v>
      </c>
      <c r="D199" s="32" t="str">
        <f>'Landscape Trees '!E57</f>
        <v>Multi</v>
      </c>
      <c r="E199" s="27" t="str">
        <f>'Landscape Trees '!F57</f>
        <v>3-5'</v>
      </c>
      <c r="F199" s="49">
        <f>'Landscape Trees '!G57</f>
        <v>3</v>
      </c>
      <c r="G199" s="27">
        <f>'Landscape Trees '!H57</f>
        <v>50</v>
      </c>
      <c r="H199" s="30">
        <f>'Landscape Trees '!I57</f>
        <v>32</v>
      </c>
    </row>
    <row r="200">
      <c r="A200" s="27" t="str">
        <f>'Landscape Trees '!A58</f>
        <v>Cercis canadensis</v>
      </c>
      <c r="B200" s="27" t="str">
        <f>'Landscape Trees '!C58</f>
        <v>Eastern Redbud</v>
      </c>
      <c r="C200" s="27" t="str">
        <f>'Landscape Trees '!D58</f>
        <v>#10</v>
      </c>
      <c r="D200" s="28" t="str">
        <f>'Landscape Trees '!E58</f>
        <v>0-1.25"</v>
      </c>
      <c r="E200" s="27" t="str">
        <f>'Landscape Trees '!F58</f>
        <v>0-8'</v>
      </c>
      <c r="F200" s="49">
        <f>'Landscape Trees '!G58</f>
        <v>0</v>
      </c>
      <c r="G200" s="27">
        <f>'Landscape Trees '!H58</f>
        <v>10</v>
      </c>
      <c r="H200" s="30">
        <f>'Landscape Trees '!I58</f>
        <v>85</v>
      </c>
    </row>
    <row r="201">
      <c r="A201" s="27" t="str">
        <f>'Landscape Trees '!A59</f>
        <v>Cercis canadensis</v>
      </c>
      <c r="B201" s="27" t="str">
        <f>'Landscape Trees '!C59</f>
        <v>Eastern Redbud</v>
      </c>
      <c r="C201" s="27" t="str">
        <f>'Landscape Trees '!D59</f>
        <v>#15</v>
      </c>
      <c r="D201" s="28" t="str">
        <f>'Landscape Trees '!E59</f>
        <v>0-1.5"</v>
      </c>
      <c r="E201" s="27" t="str">
        <f>'Landscape Trees '!F59</f>
        <v>0-11'</v>
      </c>
      <c r="F201" s="49">
        <f>'Landscape Trees '!G59</f>
        <v>0</v>
      </c>
      <c r="G201" s="27">
        <f>'Landscape Trees '!H59</f>
        <v>25</v>
      </c>
      <c r="H201" s="30">
        <f>'Landscape Trees '!I59</f>
        <v>115</v>
      </c>
    </row>
    <row r="202">
      <c r="A202" s="27" t="str">
        <f>'Landscape Trees '!A60</f>
        <v>Cercis canadensis 'Forest Pansy'</v>
      </c>
      <c r="B202" s="27" t="str">
        <f>'Landscape Trees '!C60</f>
        <v>Forest Pansy Redbud</v>
      </c>
      <c r="C202" s="27" t="str">
        <f>'Landscape Trees '!D60</f>
        <v>#7</v>
      </c>
      <c r="D202" s="28" t="str">
        <f>'Landscape Trees '!E60</f>
        <v>0.75-1"</v>
      </c>
      <c r="E202" s="27" t="str">
        <f>'Landscape Trees '!F60</f>
        <v>3-6'</v>
      </c>
      <c r="F202" s="49">
        <f>'Landscape Trees '!G60</f>
        <v>54</v>
      </c>
      <c r="G202" s="27">
        <f>'Landscape Trees '!H60</f>
        <v>100</v>
      </c>
      <c r="H202" s="30">
        <f>'Landscape Trees '!I60</f>
        <v>65</v>
      </c>
    </row>
    <row r="203">
      <c r="A203" s="27" t="str">
        <f>'Landscape Trees '!A61</f>
        <v>Cercis canadensis 'Forest Pansy'</v>
      </c>
      <c r="B203" s="27" t="str">
        <f>'Landscape Trees '!C61</f>
        <v>Forest Pansy Redbud</v>
      </c>
      <c r="C203" s="27" t="str">
        <f>'Landscape Trees '!D61</f>
        <v>#15p</v>
      </c>
      <c r="D203" s="28" t="str">
        <f>'Landscape Trees '!E61</f>
        <v>0.5-0.75"</v>
      </c>
      <c r="E203" s="27" t="str">
        <f>'Landscape Trees '!F61</f>
        <v>7-8'</v>
      </c>
      <c r="F203" s="49">
        <f>'Landscape Trees '!G61</f>
        <v>0</v>
      </c>
      <c r="G203" s="27">
        <f>'Landscape Trees '!H61</f>
        <v>15</v>
      </c>
      <c r="H203" s="30">
        <f>'Landscape Trees '!I61</f>
        <v>115</v>
      </c>
    </row>
    <row r="204">
      <c r="A204" s="27" t="str">
        <f>'Landscape Trees '!A62</f>
        <v>Cercis canadensis 'Lavender Twist'</v>
      </c>
      <c r="B204" s="27" t="str">
        <f>'Landscape Trees '!C62</f>
        <v>Lavender Twist Redbud</v>
      </c>
      <c r="C204" s="27" t="str">
        <f>'Landscape Trees '!D62</f>
        <v>#7</v>
      </c>
      <c r="D204" s="28" t="str">
        <f>'Landscape Trees '!E62</f>
        <v>0.75-1"</v>
      </c>
      <c r="E204" s="27" t="str">
        <f>'Landscape Trees '!F62</f>
        <v>3-6'</v>
      </c>
      <c r="F204" s="49">
        <f>'Landscape Trees '!G62</f>
        <v>7</v>
      </c>
      <c r="G204" s="27">
        <f>'Landscape Trees '!H62</f>
        <v>20</v>
      </c>
      <c r="H204" s="30">
        <f>'Landscape Trees '!I62</f>
        <v>90</v>
      </c>
    </row>
    <row r="205">
      <c r="A205" s="27" t="str">
        <f>'Landscape Trees '!A63</f>
        <v>Cercis canadensis 'Oklahoma'</v>
      </c>
      <c r="B205" s="27" t="str">
        <f>'Landscape Trees '!C63</f>
        <v>Oklahoma Redbud</v>
      </c>
      <c r="C205" s="27" t="str">
        <f>'Landscape Trees '!D63</f>
        <v>#7</v>
      </c>
      <c r="D205" s="28" t="str">
        <f>'Landscape Trees '!E63</f>
        <v>0.75-1"</v>
      </c>
      <c r="E205" s="27" t="str">
        <f>'Landscape Trees '!F63</f>
        <v>3-4'</v>
      </c>
      <c r="F205" s="49">
        <f>'Landscape Trees '!G63</f>
        <v>5</v>
      </c>
      <c r="G205" s="27">
        <f>'Landscape Trees '!H63</f>
        <v>0</v>
      </c>
      <c r="H205" s="30">
        <f>'Landscape Trees '!I63</f>
        <v>70</v>
      </c>
    </row>
    <row r="206">
      <c r="A206" s="27" t="str">
        <f>'Landscape Trees '!A64</f>
        <v>Cercis canadensis 'Rising Sun'</v>
      </c>
      <c r="B206" s="27" t="str">
        <f>'Landscape Trees '!C64</f>
        <v>Rising Sun Redbud</v>
      </c>
      <c r="C206" s="27" t="str">
        <f>'Landscape Trees '!D64</f>
        <v>#7</v>
      </c>
      <c r="D206" s="28" t="str">
        <f>'Landscape Trees '!E64</f>
        <v>0.5-0.75"</v>
      </c>
      <c r="E206" s="27" t="str">
        <f>'Landscape Trees '!F64</f>
        <v>1-2'</v>
      </c>
      <c r="F206" s="49">
        <f>'Landscape Trees '!G64</f>
        <v>15</v>
      </c>
      <c r="G206" s="27">
        <f>'Landscape Trees '!H64</f>
        <v>40</v>
      </c>
      <c r="H206" s="30">
        <f>'Landscape Trees '!I64</f>
        <v>90</v>
      </c>
    </row>
    <row r="207">
      <c r="A207" s="27" t="str">
        <f>'Landscape Trees '!A65</f>
        <v>Cercis canadensis 'Rising Sun'</v>
      </c>
      <c r="B207" s="27" t="str">
        <f>'Landscape Trees '!C65</f>
        <v>Rising Sun Redbud</v>
      </c>
      <c r="C207" s="27" t="str">
        <f>'Landscape Trees '!D65</f>
        <v>#10</v>
      </c>
      <c r="D207" s="28" t="str">
        <f>'Landscape Trees '!E65</f>
        <v>1-1"</v>
      </c>
      <c r="E207" s="27" t="str">
        <f>'Landscape Trees '!F65</f>
        <v>3-4'</v>
      </c>
      <c r="F207" s="49">
        <f>'Landscape Trees '!G65</f>
        <v>2</v>
      </c>
      <c r="G207" s="27">
        <f>'Landscape Trees '!H65</f>
        <v>0</v>
      </c>
      <c r="H207" s="30">
        <f>'Landscape Trees '!I65</f>
        <v>105</v>
      </c>
    </row>
    <row r="208">
      <c r="A208" s="27" t="str">
        <f>'Landscape Trees '!A66</f>
        <v>Cercis canadensis 'Ruby Falls'</v>
      </c>
      <c r="B208" s="27" t="str">
        <f>'Landscape Trees '!C66</f>
        <v>Ruby Falls Redbud</v>
      </c>
      <c r="C208" s="27" t="str">
        <f>'Landscape Trees '!D66</f>
        <v>#7</v>
      </c>
      <c r="D208" s="28" t="str">
        <f>'Landscape Trees '!E66</f>
        <v>0.5-0.75"</v>
      </c>
      <c r="E208" s="27" t="str">
        <f>'Landscape Trees '!F66</f>
        <v>0.5-2'</v>
      </c>
      <c r="F208" s="49">
        <f>'Landscape Trees '!G66</f>
        <v>4</v>
      </c>
      <c r="G208" s="27">
        <f>'Landscape Trees '!H66</f>
        <v>20</v>
      </c>
      <c r="H208" s="30">
        <f>'Landscape Trees '!I66</f>
        <v>90</v>
      </c>
    </row>
    <row r="209">
      <c r="A209" s="27" t="str">
        <f>'Landscape Trees '!A67</f>
        <v>Cercis canadensis 'Ruby Falls'</v>
      </c>
      <c r="B209" s="27" t="str">
        <f>'Landscape Trees '!C67</f>
        <v>Ruby Falls Redbud</v>
      </c>
      <c r="C209" s="27" t="str">
        <f>'Landscape Trees '!D67</f>
        <v>#15</v>
      </c>
      <c r="D209" s="28" t="str">
        <f>'Landscape Trees '!E67</f>
        <v>0.75-1"</v>
      </c>
      <c r="E209" s="27" t="str">
        <f>'Landscape Trees '!F67</f>
        <v>6-7'</v>
      </c>
      <c r="F209" s="49">
        <f>'Landscape Trees '!G67</f>
        <v>4</v>
      </c>
      <c r="G209" s="27">
        <f>'Landscape Trees '!H67</f>
        <v>0</v>
      </c>
      <c r="H209" s="30">
        <f>'Landscape Trees '!I67</f>
        <v>115</v>
      </c>
    </row>
    <row r="210">
      <c r="A210" s="27" t="str">
        <f>'Landscape Trees '!A68</f>
        <v>Cercis tex. 'Merlot'</v>
      </c>
      <c r="B210" s="27" t="str">
        <f>'Landscape Trees '!C68</f>
        <v>Merlot Redbud</v>
      </c>
      <c r="C210" s="27" t="str">
        <f>'Landscape Trees '!D68</f>
        <v>#10</v>
      </c>
      <c r="D210" s="28" t="str">
        <f>'Landscape Trees '!E68</f>
        <v>0.5-0.75"</v>
      </c>
      <c r="E210" s="27" t="str">
        <f>'Landscape Trees '!F68</f>
        <v>3-4'</v>
      </c>
      <c r="F210" s="49">
        <f>'Landscape Trees '!G68</f>
        <v>4</v>
      </c>
      <c r="G210" s="27">
        <f>'Landscape Trees '!H68</f>
        <v>0</v>
      </c>
      <c r="H210" s="30">
        <f>'Landscape Trees '!I68</f>
        <v>85</v>
      </c>
    </row>
    <row r="211">
      <c r="A211" s="27" t="str">
        <f>'Landscape Trees '!A69</f>
        <v>Chionanthus retusus</v>
      </c>
      <c r="B211" s="27" t="str">
        <f>'Landscape Trees '!C69</f>
        <v>Chinese Fringe Tree</v>
      </c>
      <c r="C211" s="27" t="str">
        <f>'Landscape Trees '!D69</f>
        <v>#5</v>
      </c>
      <c r="D211" s="28" t="str">
        <f>'Landscape Trees '!E69</f>
        <v>0.125-0.25"</v>
      </c>
      <c r="E211" s="27" t="str">
        <f>'Landscape Trees '!F69</f>
        <v>1-3'</v>
      </c>
      <c r="F211" s="49">
        <f>'Landscape Trees '!G69</f>
        <v>4</v>
      </c>
      <c r="G211" s="27">
        <f>'Landscape Trees '!H69</f>
        <v>0</v>
      </c>
      <c r="H211" s="30">
        <f>'Landscape Trees '!I69</f>
        <v>40</v>
      </c>
    </row>
    <row r="212">
      <c r="A212" s="27" t="str">
        <f>'Landscape Trees '!A70</f>
        <v>Chionanthus virginicus</v>
      </c>
      <c r="B212" s="27" t="str">
        <f>'Landscape Trees '!C70</f>
        <v>White Fringe Tree</v>
      </c>
      <c r="C212" s="27" t="str">
        <f>'Landscape Trees '!D70</f>
        <v>#5</v>
      </c>
      <c r="D212" s="28" t="str">
        <f>'Landscape Trees '!E70</f>
        <v>0.125-0.75"</v>
      </c>
      <c r="E212" s="27" t="str">
        <f>'Landscape Trees '!F70</f>
        <v>2-5'</v>
      </c>
      <c r="F212" s="49">
        <f>'Landscape Trees '!G70</f>
        <v>264</v>
      </c>
      <c r="G212" s="27">
        <f>'Landscape Trees '!H70</f>
        <v>100</v>
      </c>
      <c r="H212" s="30">
        <f>'Landscape Trees '!I70</f>
        <v>40</v>
      </c>
    </row>
    <row r="213">
      <c r="A213" s="27" t="str">
        <f>'Landscape Trees '!A71</f>
        <v>Cladastris kentuckea 'Perkins Pink'</v>
      </c>
      <c r="B213" s="27" t="str">
        <f>'Landscape Trees '!C71</f>
        <v>Perkins Pink Yellowwood</v>
      </c>
      <c r="C213" s="27" t="str">
        <f>'Landscape Trees '!D71</f>
        <v>#15</v>
      </c>
      <c r="D213" s="28" t="str">
        <f>'Landscape Trees '!E71</f>
        <v>0-1"</v>
      </c>
      <c r="E213" s="27" t="str">
        <f>'Landscape Trees '!F71</f>
        <v>0-8'</v>
      </c>
      <c r="F213" s="49">
        <f>'Landscape Trees '!G71</f>
        <v>0</v>
      </c>
      <c r="G213" s="27">
        <f>'Landscape Trees '!H71</f>
        <v>5</v>
      </c>
      <c r="H213" s="30">
        <f>'Landscape Trees '!I71</f>
        <v>115</v>
      </c>
    </row>
    <row r="214">
      <c r="A214" s="27" t="str">
        <f>'Landscape Trees '!A72</f>
        <v>Cladrastis kentukea</v>
      </c>
      <c r="B214" s="27" t="str">
        <f>'Landscape Trees '!C72</f>
        <v>Yellowwood</v>
      </c>
      <c r="C214" s="27" t="str">
        <f>'Landscape Trees '!D72</f>
        <v>#5</v>
      </c>
      <c r="D214" s="28" t="str">
        <f>'Landscape Trees '!E72</f>
        <v>0.375-0.5"</v>
      </c>
      <c r="E214" s="27" t="str">
        <f>'Landscape Trees '!F72</f>
        <v>2-6'</v>
      </c>
      <c r="F214" s="49">
        <f>'Landscape Trees '!G72</f>
        <v>62</v>
      </c>
      <c r="G214" s="27">
        <f>'Landscape Trees '!H72</f>
        <v>200</v>
      </c>
      <c r="H214" s="30">
        <f>'Landscape Trees '!I72</f>
        <v>40</v>
      </c>
    </row>
    <row r="215">
      <c r="A215" s="27" t="str">
        <f>'Landscape Trees '!A73</f>
        <v>Conium maculatum</v>
      </c>
      <c r="B215" s="27" t="str">
        <f>'Landscape Trees '!C73</f>
        <v>Hemlock</v>
      </c>
      <c r="C215" s="27" t="str">
        <f>'Landscape Trees '!D73</f>
        <v>#7</v>
      </c>
      <c r="D215" s="28" t="str">
        <f>'Landscape Trees '!E73</f>
        <v>1-1"</v>
      </c>
      <c r="E215" s="27" t="str">
        <f>'Landscape Trees '!F73</f>
        <v>3-4'</v>
      </c>
      <c r="F215" s="49">
        <f>'Landscape Trees '!G73</f>
        <v>1</v>
      </c>
      <c r="G215" s="27">
        <f>'Landscape Trees '!H73</f>
        <v>0</v>
      </c>
      <c r="H215" s="30">
        <f>'Landscape Trees '!I73</f>
        <v>75</v>
      </c>
    </row>
    <row r="216">
      <c r="A216" s="27" t="str">
        <f>'Landscape Trees '!A74</f>
        <v>Cornus 'Cherokee Brave'</v>
      </c>
      <c r="B216" s="27" t="str">
        <f>'Landscape Trees '!C74</f>
        <v>Cherokee Brave Dogwood</v>
      </c>
      <c r="C216" s="27" t="str">
        <f>'Landscape Trees '!D74</f>
        <v>#5</v>
      </c>
      <c r="D216" s="28" t="str">
        <f>'Landscape Trees '!E74</f>
        <v>0.25-0.5"</v>
      </c>
      <c r="E216" s="27" t="str">
        <f>'Landscape Trees '!F74</f>
        <v>2-3'</v>
      </c>
      <c r="F216" s="49">
        <f>'Landscape Trees '!G74</f>
        <v>0</v>
      </c>
      <c r="G216" s="27">
        <f>'Landscape Trees '!H74</f>
        <v>100</v>
      </c>
      <c r="H216" s="30">
        <f>'Landscape Trees '!I74</f>
        <v>55</v>
      </c>
    </row>
    <row r="217">
      <c r="A217" s="27" t="str">
        <f>'Landscape Trees '!A75</f>
        <v>Cornus 'Cherokee Brave'</v>
      </c>
      <c r="B217" s="27" t="str">
        <f>'Landscape Trees '!C75</f>
        <v>Cherokee Brave Dogwood</v>
      </c>
      <c r="C217" s="27" t="str">
        <f>'Landscape Trees '!D75</f>
        <v>#7</v>
      </c>
      <c r="D217" s="28" t="str">
        <f>'Landscape Trees '!E75</f>
        <v>0.5-0.75"</v>
      </c>
      <c r="E217" s="27" t="str">
        <f>'Landscape Trees '!F75</f>
        <v>4-5'</v>
      </c>
      <c r="F217" s="49">
        <f>'Landscape Trees '!G75</f>
        <v>3</v>
      </c>
      <c r="G217" s="27">
        <f>'Landscape Trees '!H75</f>
        <v>0</v>
      </c>
      <c r="H217" s="30">
        <f>'Landscape Trees '!I75</f>
        <v>80</v>
      </c>
    </row>
    <row r="218">
      <c r="A218" s="27" t="str">
        <f>'Landscape Trees '!A76</f>
        <v>Cornus 'Cherokee Brave'</v>
      </c>
      <c r="B218" s="27" t="str">
        <f>'Landscape Trees '!C76</f>
        <v>Cherokee Brave Dogwood</v>
      </c>
      <c r="C218" s="27" t="str">
        <f>'Landscape Trees '!D76</f>
        <v>#10</v>
      </c>
      <c r="D218" s="28" t="str">
        <f>'Landscape Trees '!E76</f>
        <v>0.5-0.75"</v>
      </c>
      <c r="E218" s="27" t="str">
        <f>'Landscape Trees '!F76</f>
        <v>4-5'</v>
      </c>
      <c r="F218" s="49">
        <f>'Landscape Trees '!G76</f>
        <v>4</v>
      </c>
      <c r="G218" s="27">
        <f>'Landscape Trees '!H76</f>
        <v>0</v>
      </c>
      <c r="H218" s="30">
        <f>'Landscape Trees '!I76</f>
        <v>90</v>
      </c>
    </row>
    <row r="219">
      <c r="A219" s="27" t="str">
        <f>'Landscape Trees '!A77</f>
        <v>Cornus 'Constellation'</v>
      </c>
      <c r="B219" s="27" t="str">
        <f>'Landscape Trees '!C77</f>
        <v>Constellation Dogwood</v>
      </c>
      <c r="C219" s="27" t="str">
        <f>'Landscape Trees '!D77</f>
        <v>#10</v>
      </c>
      <c r="D219" s="28" t="str">
        <f>'Landscape Trees '!E77</f>
        <v>0.5-0.75"</v>
      </c>
      <c r="E219" s="27" t="str">
        <f>'Landscape Trees '!F77</f>
        <v>5-8'</v>
      </c>
      <c r="F219" s="49">
        <f>'Landscape Trees '!G77</f>
        <v>14</v>
      </c>
      <c r="G219" s="27">
        <f>'Landscape Trees '!H77</f>
        <v>0</v>
      </c>
      <c r="H219" s="30">
        <f>'Landscape Trees '!I77</f>
        <v>90</v>
      </c>
    </row>
    <row r="220">
      <c r="A220" s="27" t="str">
        <f>'Landscape Trees '!A78</f>
        <v>Cornus 'Constellation'</v>
      </c>
      <c r="B220" s="27" t="str">
        <f>'Landscape Trees '!C78</f>
        <v>Constellation Dogwood</v>
      </c>
      <c r="C220" s="27" t="str">
        <f>'Landscape Trees '!D78</f>
        <v>#15</v>
      </c>
      <c r="D220" s="28" t="str">
        <f>'Landscape Trees '!E78</f>
        <v>1-1"</v>
      </c>
      <c r="E220" s="27" t="str">
        <f>'Landscape Trees '!F78</f>
        <v>8-8'</v>
      </c>
      <c r="F220" s="49">
        <f>'Landscape Trees '!G78</f>
        <v>1</v>
      </c>
      <c r="G220" s="27">
        <f>'Landscape Trees '!H78</f>
        <v>20</v>
      </c>
      <c r="H220" s="30">
        <f>'Landscape Trees '!I78</f>
        <v>115</v>
      </c>
    </row>
    <row r="221">
      <c r="A221" s="27" t="str">
        <f>'Landscape Trees '!A79</f>
        <v>Cornus 'Rutdan' Celestial </v>
      </c>
      <c r="B221" s="27" t="str">
        <f>'Landscape Trees '!C79</f>
        <v>Celestial Dogwood</v>
      </c>
      <c r="C221" s="27" t="str">
        <f>'Landscape Trees '!D79</f>
        <v>#5</v>
      </c>
      <c r="D221" s="28" t="str">
        <f>'Landscape Trees '!E79</f>
        <v>0.75-1"</v>
      </c>
      <c r="E221" s="27" t="str">
        <f>'Landscape Trees '!F79</f>
        <v>5-5'</v>
      </c>
      <c r="F221" s="49">
        <f>'Landscape Trees '!G79</f>
        <v>11</v>
      </c>
      <c r="G221" s="27">
        <f>'Landscape Trees '!H79</f>
        <v>0</v>
      </c>
      <c r="H221" s="30">
        <f>'Landscape Trees '!I79</f>
        <v>50</v>
      </c>
    </row>
    <row r="222">
      <c r="A222" s="27" t="str">
        <f>'Landscape Trees '!A80</f>
        <v>Cornus 'Rutgan' Stellar Pink</v>
      </c>
      <c r="B222" s="27" t="str">
        <f>'Landscape Trees '!C80</f>
        <v>Stellar Pink Dogwood</v>
      </c>
      <c r="C222" s="27" t="str">
        <f>'Landscape Trees '!D80</f>
        <v>#10</v>
      </c>
      <c r="D222" s="28" t="str">
        <f>'Landscape Trees '!E80</f>
        <v>0.75-1"</v>
      </c>
      <c r="E222" s="27" t="str">
        <f>'Landscape Trees '!F80</f>
        <v>5-8'</v>
      </c>
      <c r="F222" s="49">
        <f>'Landscape Trees '!G80</f>
        <v>20</v>
      </c>
      <c r="G222" s="27">
        <f>'Landscape Trees '!H80</f>
        <v>100</v>
      </c>
      <c r="H222" s="30">
        <f>'Landscape Trees '!I80</f>
        <v>90</v>
      </c>
    </row>
    <row r="223">
      <c r="A223" s="27" t="str">
        <f>'Landscape Trees '!A81</f>
        <v>Cornus 'Rutgan' Stellar Pink</v>
      </c>
      <c r="B223" s="27" t="str">
        <f>'Landscape Trees '!C81</f>
        <v>Stellar Pink Dogwood</v>
      </c>
      <c r="C223" s="27" t="str">
        <f>'Landscape Trees '!D81</f>
        <v>#15</v>
      </c>
      <c r="D223" s="28" t="str">
        <f>'Landscape Trees '!E81</f>
        <v>0.5-0.75"</v>
      </c>
      <c r="E223" s="27" t="str">
        <f>'Landscape Trees '!F81</f>
        <v>5-6'</v>
      </c>
      <c r="F223" s="49">
        <f>'Landscape Trees '!G81</f>
        <v>0</v>
      </c>
      <c r="G223" s="27">
        <f>'Landscape Trees '!H81</f>
        <v>10</v>
      </c>
      <c r="H223" s="30">
        <f>'Landscape Trees '!I81</f>
        <v>120</v>
      </c>
    </row>
    <row r="224">
      <c r="A224" s="27" t="str">
        <f>'Landscape Trees '!A82</f>
        <v>Cornus kousa</v>
      </c>
      <c r="B224" s="27" t="str">
        <f>'Landscape Trees '!C82</f>
        <v>Kousa Dogwood</v>
      </c>
      <c r="C224" s="27" t="str">
        <f>'Landscape Trees '!D82</f>
        <v>#5</v>
      </c>
      <c r="D224" s="28" t="str">
        <f>'Landscape Trees '!E82</f>
        <v>0.5-0.75"</v>
      </c>
      <c r="E224" s="27" t="str">
        <f>'Landscape Trees '!F82</f>
        <v>3-4.5'</v>
      </c>
      <c r="F224" s="49">
        <f>'Landscape Trees '!G82</f>
        <v>88</v>
      </c>
      <c r="G224" s="27">
        <f>'Landscape Trees '!H82</f>
        <v>0</v>
      </c>
      <c r="H224" s="30">
        <f>'Landscape Trees '!I82</f>
        <v>40</v>
      </c>
    </row>
    <row r="225">
      <c r="A225" s="27" t="str">
        <f>'Landscape Trees '!A83</f>
        <v>Cornus kousa</v>
      </c>
      <c r="B225" s="27" t="str">
        <f>'Landscape Trees '!C83</f>
        <v>Kousa Dogwood</v>
      </c>
      <c r="C225" s="27" t="str">
        <f>'Landscape Trees '!D83</f>
        <v>#15</v>
      </c>
      <c r="D225" s="28" t="str">
        <f>'Landscape Trees '!E83</f>
        <v>0-1.25"</v>
      </c>
      <c r="E225" s="27" t="str">
        <f>'Landscape Trees '!F83</f>
        <v>0-7'</v>
      </c>
      <c r="F225" s="49">
        <f>'Landscape Trees '!G83</f>
        <v>0</v>
      </c>
      <c r="G225" s="27">
        <f>'Landscape Trees '!H83</f>
        <v>10</v>
      </c>
      <c r="H225" s="30">
        <f>'Landscape Trees '!I83</f>
        <v>120</v>
      </c>
    </row>
    <row r="226">
      <c r="A226" s="27" t="str">
        <f>'Landscape Trees '!A84</f>
        <v>Cornus kousa 'Rutpink'</v>
      </c>
      <c r="B226" s="27" t="str">
        <f>'Landscape Trees '!C84</f>
        <v>Scarlet Fire Dogwood</v>
      </c>
      <c r="C226" s="27" t="str">
        <f>'Landscape Trees '!D84</f>
        <v>#7</v>
      </c>
      <c r="D226" s="28" t="str">
        <f>'Landscape Trees '!E84</f>
        <v>0.5-0.75"</v>
      </c>
      <c r="E226" s="27" t="str">
        <f>'Landscape Trees '!F84</f>
        <v>3-5'</v>
      </c>
      <c r="F226" s="49">
        <f>'Landscape Trees '!G84</f>
        <v>6</v>
      </c>
      <c r="G226" s="27">
        <f>'Landscape Trees '!H84</f>
        <v>50</v>
      </c>
      <c r="H226" s="30">
        <f>'Landscape Trees '!I84</f>
        <v>65</v>
      </c>
    </row>
    <row r="227">
      <c r="A227" s="27" t="str">
        <f>'Landscape Trees '!A85</f>
        <v>Cornus mas</v>
      </c>
      <c r="B227" s="27" t="str">
        <f>'Landscape Trees '!C85</f>
        <v>Corneliancherry Dogwood</v>
      </c>
      <c r="C227" s="27" t="str">
        <f>'Landscape Trees '!D85</f>
        <v>#5</v>
      </c>
      <c r="D227" s="28" t="str">
        <f>'Landscape Trees '!E85</f>
        <v>0.5-0.75"</v>
      </c>
      <c r="E227" s="27" t="str">
        <f>'Landscape Trees '!F85</f>
        <v>4-5'</v>
      </c>
      <c r="F227" s="49">
        <f>'Landscape Trees '!G85</f>
        <v>31</v>
      </c>
      <c r="G227" s="27">
        <f>'Landscape Trees '!H85</f>
        <v>25</v>
      </c>
      <c r="H227" s="30">
        <f>'Landscape Trees '!I85</f>
        <v>40</v>
      </c>
    </row>
    <row r="228">
      <c r="A228" s="27" t="str">
        <f>'Landscape Trees '!A86</f>
        <v>Cornus racemosa</v>
      </c>
      <c r="B228" s="27" t="str">
        <f>'Landscape Trees '!C86</f>
        <v>Gray Dogwood</v>
      </c>
      <c r="C228" s="27" t="str">
        <f>'Landscape Trees '!D86</f>
        <v>#5</v>
      </c>
      <c r="D228" s="28" t="str">
        <f>'Landscape Trees '!E86</f>
        <v>0.5-0.75"</v>
      </c>
      <c r="E228" s="27" t="str">
        <f>'Landscape Trees '!F86</f>
        <v>4-5'</v>
      </c>
      <c r="F228" s="49">
        <f>'Landscape Trees '!G86</f>
        <v>5</v>
      </c>
      <c r="G228" s="27">
        <f>'Landscape Trees '!H86</f>
        <v>0</v>
      </c>
      <c r="H228" s="30">
        <f>'Landscape Trees '!I86</f>
        <v>32</v>
      </c>
    </row>
    <row r="229">
      <c r="A229" s="27" t="str">
        <f>'Landscape Trees '!A87</f>
        <v>Cornus sericea 'Baileyi'</v>
      </c>
      <c r="B229" s="27" t="str">
        <f>'Landscape Trees '!C87</f>
        <v>Baileyi Red Twig Dogwood</v>
      </c>
      <c r="C229" s="27" t="str">
        <f>'Landscape Trees '!D87</f>
        <v>#5</v>
      </c>
      <c r="D229" s="32" t="str">
        <f>'Landscape Trees '!E87</f>
        <v>Multi</v>
      </c>
      <c r="E229" s="27" t="str">
        <f>'Landscape Trees '!F87</f>
        <v>3-5'</v>
      </c>
      <c r="F229" s="49">
        <f>'Landscape Trees '!G87</f>
        <v>11</v>
      </c>
      <c r="G229" s="27">
        <f>'Landscape Trees '!H87</f>
        <v>0</v>
      </c>
      <c r="H229" s="30">
        <f>'Landscape Trees '!I87</f>
        <v>32</v>
      </c>
    </row>
    <row r="230">
      <c r="A230" s="27" t="str">
        <f>'Landscape Trees '!A88</f>
        <v>Cotinus coggygria 'Royal Purple'</v>
      </c>
      <c r="B230" s="27" t="str">
        <f>'Landscape Trees '!C88</f>
        <v>Royal Purple Smokebush</v>
      </c>
      <c r="C230" s="27" t="str">
        <f>'Landscape Trees '!D88</f>
        <v>#5</v>
      </c>
      <c r="D230" s="28" t="str">
        <f>'Landscape Trees '!E88</f>
        <v>0.25-0.5"</v>
      </c>
      <c r="E230" s="27" t="str">
        <f>'Landscape Trees '!F88</f>
        <v>3-5'</v>
      </c>
      <c r="F230" s="49">
        <f>'Landscape Trees '!G88</f>
        <v>22</v>
      </c>
      <c r="G230" s="27">
        <f>'Landscape Trees '!H88</f>
        <v>20</v>
      </c>
      <c r="H230" s="30">
        <f>'Landscape Trees '!I88</f>
        <v>40</v>
      </c>
    </row>
    <row r="231">
      <c r="A231" s="27" t="str">
        <f>'Landscape Trees '!A89</f>
        <v>Cotinus obovatus</v>
      </c>
      <c r="B231" s="27" t="str">
        <f>'Landscape Trees '!C89</f>
        <v>American Smoke Tree</v>
      </c>
      <c r="C231" s="27" t="str">
        <f>'Landscape Trees '!D89</f>
        <v>#5</v>
      </c>
      <c r="D231" s="28" t="str">
        <f>'Landscape Trees '!E89</f>
        <v>0.38-0.5"</v>
      </c>
      <c r="E231" s="27" t="str">
        <f>'Landscape Trees '!F89</f>
        <v>1-2'</v>
      </c>
      <c r="F231" s="49">
        <f>'Landscape Trees '!G89</f>
        <v>0</v>
      </c>
      <c r="G231" s="27">
        <f>'Landscape Trees '!H89</f>
        <v>50</v>
      </c>
      <c r="H231" s="30">
        <f>'Landscape Trees '!I89</f>
        <v>0</v>
      </c>
    </row>
    <row r="232">
      <c r="A232" s="27" t="str">
        <f>'Landscape Trees '!A90</f>
        <v>Cotinus obovatus</v>
      </c>
      <c r="B232" s="27" t="str">
        <f>'Landscape Trees '!C90</f>
        <v>Smokebush (Native)</v>
      </c>
      <c r="C232" s="27" t="str">
        <f>'Landscape Trees '!D90</f>
        <v>#5</v>
      </c>
      <c r="D232" s="32" t="str">
        <f>'Landscape Trees '!E90</f>
        <v>Multi</v>
      </c>
      <c r="E232" s="27" t="str">
        <f>'Landscape Trees '!F90</f>
        <v>4-9'</v>
      </c>
      <c r="F232" s="49">
        <f>'Landscape Trees '!G90</f>
        <v>155</v>
      </c>
      <c r="G232" s="27">
        <f>'Landscape Trees '!H90</f>
        <v>0</v>
      </c>
      <c r="H232" s="30">
        <f>'Landscape Trees '!I90</f>
        <v>40</v>
      </c>
    </row>
    <row r="233">
      <c r="A233" s="27" t="str">
        <f>'Landscape Trees '!A91</f>
        <v>Crataegus viridis 'Winter King'</v>
      </c>
      <c r="B233" s="27" t="str">
        <f>'Landscape Trees '!C91</f>
        <v>Winter King Hawthorn</v>
      </c>
      <c r="C233" s="27" t="str">
        <f>'Landscape Trees '!D91</f>
        <v>#15</v>
      </c>
      <c r="D233" s="28" t="str">
        <f>'Landscape Trees '!E91</f>
        <v>0-1.25"</v>
      </c>
      <c r="E233" s="27" t="str">
        <f>'Landscape Trees '!F91</f>
        <v>0-10'</v>
      </c>
      <c r="F233" s="49">
        <f>'Landscape Trees '!G91</f>
        <v>0</v>
      </c>
      <c r="G233" s="27">
        <f>'Landscape Trees '!H91</f>
        <v>25</v>
      </c>
      <c r="H233" s="30">
        <f>'Landscape Trees '!I91</f>
        <v>115</v>
      </c>
    </row>
    <row r="234">
      <c r="A234" s="27" t="str">
        <f>'Landscape Trees '!A92</f>
        <v>Diospyros virginiana</v>
      </c>
      <c r="B234" s="27" t="str">
        <f>'Landscape Trees '!C92</f>
        <v>American Persimmon</v>
      </c>
      <c r="C234" s="27" t="str">
        <f>'Landscape Trees '!D92</f>
        <v>#5</v>
      </c>
      <c r="D234" s="28" t="str">
        <f>'Landscape Trees '!E92</f>
        <v>0.125-0.75"</v>
      </c>
      <c r="E234" s="27" t="str">
        <f>'Landscape Trees '!F92</f>
        <v>1-6'</v>
      </c>
      <c r="F234" s="49">
        <f>'Landscape Trees '!G92</f>
        <v>36</v>
      </c>
      <c r="G234" s="27">
        <f>'Landscape Trees '!H92</f>
        <v>150</v>
      </c>
      <c r="H234" s="30">
        <f>'Landscape Trees '!I92</f>
        <v>40</v>
      </c>
    </row>
    <row r="235">
      <c r="A235" s="27" t="str">
        <f>'Landscape Trees '!A93</f>
        <v>Diospyros virginiana</v>
      </c>
      <c r="B235" s="27" t="str">
        <f>'Landscape Trees '!C93</f>
        <v>American Persimmon</v>
      </c>
      <c r="C235" s="27" t="str">
        <f>'Landscape Trees '!D93</f>
        <v>#7</v>
      </c>
      <c r="D235" s="28" t="str">
        <f>'Landscape Trees '!E93</f>
        <v>0.25-0.5"</v>
      </c>
      <c r="E235" s="27" t="str">
        <f>'Landscape Trees '!F93</f>
        <v>1-5'</v>
      </c>
      <c r="F235" s="49">
        <f>'Landscape Trees '!G93</f>
        <v>3</v>
      </c>
      <c r="G235" s="27">
        <f>'Landscape Trees '!H93</f>
        <v>0</v>
      </c>
      <c r="H235" s="30">
        <f>'Landscape Trees '!I93</f>
        <v>50</v>
      </c>
    </row>
    <row r="236">
      <c r="A236" s="27" t="str">
        <f>'Landscape Trees '!A94</f>
        <v>Eucommia ulmoides</v>
      </c>
      <c r="B236" s="27" t="str">
        <f>'Landscape Trees '!C94</f>
        <v>Hardy Rubber Tree</v>
      </c>
      <c r="C236" s="27" t="str">
        <f>'Landscape Trees '!D94</f>
        <v>#15</v>
      </c>
      <c r="D236" s="28" t="str">
        <f>'Landscape Trees '!E94</f>
        <v>1.75-2"</v>
      </c>
      <c r="E236" s="27" t="str">
        <f>'Landscape Trees '!F94</f>
        <v>12-13'</v>
      </c>
      <c r="F236" s="49">
        <f>'Landscape Trees '!G94</f>
        <v>5</v>
      </c>
      <c r="G236" s="27">
        <f>'Landscape Trees '!H94</f>
        <v>0</v>
      </c>
      <c r="H236" s="30">
        <f>'Landscape Trees '!I94</f>
        <v>115</v>
      </c>
    </row>
    <row r="237">
      <c r="A237" s="27" t="str">
        <f>'Landscape Trees '!A95</f>
        <v>Euonymus americanus</v>
      </c>
      <c r="B237" s="27" t="str">
        <f>'Landscape Trees '!C95</f>
        <v>Strawberry Bush</v>
      </c>
      <c r="C237" s="27" t="str">
        <f>'Landscape Trees '!D95</f>
        <v>#5</v>
      </c>
      <c r="D237" s="28" t="str">
        <f>'Landscape Trees '!E95</f>
        <v>0-0"</v>
      </c>
      <c r="E237" s="27" t="str">
        <f>'Landscape Trees '!F95</f>
        <v>0-0'</v>
      </c>
      <c r="F237" s="27">
        <f>'Landscape Trees '!G95</f>
        <v>29</v>
      </c>
      <c r="G237" s="27">
        <f>'Landscape Trees '!H95</f>
        <v>25</v>
      </c>
      <c r="H237" s="30">
        <f>'Landscape Trees '!I95</f>
        <v>45</v>
      </c>
    </row>
    <row r="238">
      <c r="A238" s="27" t="str">
        <f>'Landscape Trees '!A96</f>
        <v>Euonymus americanus</v>
      </c>
      <c r="B238" s="27" t="str">
        <f>'Landscape Trees '!C96</f>
        <v>Strawberry Bush</v>
      </c>
      <c r="C238" s="27" t="str">
        <f>'Landscape Trees '!D96</f>
        <v>#5</v>
      </c>
      <c r="D238" s="28" t="str">
        <f>'Landscape Trees '!E96</f>
        <v>0.38-0.25"</v>
      </c>
      <c r="E238" s="27" t="str">
        <f>'Landscape Trees '!F96</f>
        <v>1-2'</v>
      </c>
      <c r="F238" s="49">
        <f>'Landscape Trees '!G96</f>
        <v>0</v>
      </c>
      <c r="G238" s="27">
        <f>'Landscape Trees '!H96</f>
        <v>25</v>
      </c>
      <c r="H238" s="30">
        <f>'Landscape Trees '!I96</f>
        <v>45</v>
      </c>
    </row>
    <row r="239">
      <c r="A239" s="27" t="str">
        <f>'Landscape Trees '!A97</f>
        <v>Fagus sylvatica</v>
      </c>
      <c r="B239" s="27" t="str">
        <f>'Landscape Trees '!C97</f>
        <v>European Beech</v>
      </c>
      <c r="C239" s="27" t="str">
        <f>'Landscape Trees '!D97</f>
        <v>#5</v>
      </c>
      <c r="D239" s="28" t="str">
        <f>'Landscape Trees '!E97</f>
        <v>1-1"</v>
      </c>
      <c r="E239" s="27" t="str">
        <f>'Landscape Trees '!F97</f>
        <v>6-7'</v>
      </c>
      <c r="F239" s="49">
        <f>'Landscape Trees '!G97</f>
        <v>12</v>
      </c>
      <c r="G239" s="27">
        <f>'Landscape Trees '!H97</f>
        <v>0</v>
      </c>
      <c r="H239" s="30">
        <f>'Landscape Trees '!I97</f>
        <v>45</v>
      </c>
    </row>
    <row r="240">
      <c r="A240" s="27" t="str">
        <f>'Landscape Trees '!A98</f>
        <v>Fagus sylvatica</v>
      </c>
      <c r="B240" s="27" t="str">
        <f>'Landscape Trees '!C98</f>
        <v>European Beech</v>
      </c>
      <c r="C240" s="27" t="str">
        <f>'Landscape Trees '!D98</f>
        <v>#10</v>
      </c>
      <c r="D240" s="28" t="str">
        <f>'Landscape Trees '!E98</f>
        <v>1.25-1.25"</v>
      </c>
      <c r="E240" s="27" t="str">
        <f>'Landscape Trees '!F98</f>
        <v>9-13'</v>
      </c>
      <c r="F240" s="49">
        <f>'Landscape Trees '!G98</f>
        <v>1</v>
      </c>
      <c r="G240" s="27">
        <f>'Landscape Trees '!H98</f>
        <v>0</v>
      </c>
      <c r="H240" s="30">
        <f>'Landscape Trees '!I98</f>
        <v>100</v>
      </c>
    </row>
    <row r="241">
      <c r="A241" s="27" t="str">
        <f>'Landscape Trees '!A99</f>
        <v>Fagus sylvatica f. purpurea</v>
      </c>
      <c r="B241" s="27" t="str">
        <f>'Landscape Trees '!C99</f>
        <v>Purple Beech</v>
      </c>
      <c r="C241" s="27" t="str">
        <f>'Landscape Trees '!D99</f>
        <v>#10</v>
      </c>
      <c r="D241" s="28" t="str">
        <f>'Landscape Trees '!E99</f>
        <v>0.75-1"</v>
      </c>
      <c r="E241" s="27" t="str">
        <f>'Landscape Trees '!F99</f>
        <v>4-5'</v>
      </c>
      <c r="F241" s="49">
        <f>'Landscape Trees '!G99</f>
        <v>3</v>
      </c>
      <c r="G241" s="27">
        <f>'Landscape Trees '!H99</f>
        <v>0</v>
      </c>
      <c r="H241" s="30">
        <f>'Landscape Trees '!I99</f>
        <v>85</v>
      </c>
    </row>
    <row r="242">
      <c r="A242" s="27" t="str">
        <f>'Landscape Trees '!A100</f>
        <v>Franklinia alatamaha</v>
      </c>
      <c r="B242" s="27" t="str">
        <f>'Landscape Trees '!C100</f>
        <v>Franklinia</v>
      </c>
      <c r="C242" s="27" t="str">
        <f>'Landscape Trees '!D100</f>
        <v>#5</v>
      </c>
      <c r="D242" s="28" t="str">
        <f>'Landscape Trees '!E100</f>
        <v>0.75-1"</v>
      </c>
      <c r="E242" s="27" t="str">
        <f>'Landscape Trees '!F100</f>
        <v>5-6'</v>
      </c>
      <c r="F242" s="49">
        <f>'Landscape Trees '!G100</f>
        <v>6</v>
      </c>
      <c r="G242" s="27">
        <f>'Landscape Trees '!H100</f>
        <v>50</v>
      </c>
      <c r="H242" s="30">
        <f>'Landscape Trees '!I100</f>
        <v>55</v>
      </c>
    </row>
    <row r="243">
      <c r="A243" s="27" t="str">
        <f>'Landscape Trees '!A101</f>
        <v>Ginkgo biloba 'Autumn Gold'</v>
      </c>
      <c r="B243" s="27" t="str">
        <f>'Landscape Trees '!C101</f>
        <v>Autumn Gold Ginkgo</v>
      </c>
      <c r="C243" s="27" t="str">
        <f>'Landscape Trees '!D101</f>
        <v>#7</v>
      </c>
      <c r="D243" s="28" t="str">
        <f>'Landscape Trees '!E101</f>
        <v>0.5-0.75"</v>
      </c>
      <c r="E243" s="27" t="str">
        <f>'Landscape Trees '!F101</f>
        <v>3-4'</v>
      </c>
      <c r="F243" s="49">
        <f>'Landscape Trees '!G101</f>
        <v>0</v>
      </c>
      <c r="G243" s="27">
        <f>'Landscape Trees '!H101</f>
        <v>20</v>
      </c>
      <c r="H243" s="30">
        <f>'Landscape Trees '!I101</f>
        <v>55</v>
      </c>
    </row>
    <row r="244">
      <c r="A244" s="27" t="str">
        <f>'Landscape Trees '!A102</f>
        <v>Ginkgo biloba 'Autumn Gold'</v>
      </c>
      <c r="B244" s="27" t="str">
        <f>'Landscape Trees '!C102</f>
        <v>Autumn Gold Ginkgo</v>
      </c>
      <c r="C244" s="27" t="str">
        <f>'Landscape Trees '!D102</f>
        <v>#10</v>
      </c>
      <c r="D244" s="28" t="str">
        <f>'Landscape Trees '!E102</f>
        <v>0.25-0.5"</v>
      </c>
      <c r="E244" s="27" t="str">
        <f>'Landscape Trees '!F102</f>
        <v>2-3'</v>
      </c>
      <c r="F244" s="49">
        <f>'Landscape Trees '!G102</f>
        <v>0</v>
      </c>
      <c r="G244" s="27">
        <f>'Landscape Trees '!H102</f>
        <v>20</v>
      </c>
      <c r="H244" s="30">
        <f>'Landscape Trees '!I102</f>
        <v>55</v>
      </c>
    </row>
    <row r="245">
      <c r="A245" s="27" t="str">
        <f>'Landscape Trees '!A103</f>
        <v>Ginkgo biloba 'Princeton Sentry'</v>
      </c>
      <c r="B245" s="27" t="str">
        <f>'Landscape Trees '!C103</f>
        <v>Princeton Sentry Ginkgo biloba</v>
      </c>
      <c r="C245" s="27" t="str">
        <f>'Landscape Trees '!D103</f>
        <v>#15</v>
      </c>
      <c r="D245" s="28" t="str">
        <f>'Landscape Trees '!E103</f>
        <v>1.25-1.25"</v>
      </c>
      <c r="E245" s="27" t="str">
        <f>'Landscape Trees '!F103</f>
        <v>9-9'</v>
      </c>
      <c r="F245" s="49">
        <f>'Landscape Trees '!G103</f>
        <v>2</v>
      </c>
      <c r="G245" s="27">
        <f>'Landscape Trees '!H103</f>
        <v>0</v>
      </c>
      <c r="H245" s="30">
        <f>'Landscape Trees '!I103</f>
        <v>115</v>
      </c>
    </row>
    <row r="246">
      <c r="A246" s="27" t="str">
        <f>'Landscape Trees '!A104</f>
        <v>Ginkgo biloba 'Windover Gold'</v>
      </c>
      <c r="B246" s="27" t="str">
        <f>'Landscape Trees '!C104</f>
        <v>Windover Gold Ginkgo</v>
      </c>
      <c r="C246" s="27" t="str">
        <f>'Landscape Trees '!D104</f>
        <v>#25</v>
      </c>
      <c r="D246" s="28" t="str">
        <f>'Landscape Trees '!E104</f>
        <v>1.5-1.5"</v>
      </c>
      <c r="E246" s="27" t="str">
        <f>'Landscape Trees '!F104</f>
        <v>10-11'</v>
      </c>
      <c r="F246" s="49">
        <f>'Landscape Trees '!G104</f>
        <v>1</v>
      </c>
      <c r="G246" s="27">
        <f>'Landscape Trees '!H104</f>
        <v>0</v>
      </c>
      <c r="H246" s="30">
        <f>'Landscape Trees '!I104</f>
        <v>140</v>
      </c>
    </row>
    <row r="247">
      <c r="A247" s="27" t="str">
        <f>'Landscape Trees '!A105</f>
        <v>Gledistia triacanthos 'Sunset Gold'</v>
      </c>
      <c r="B247" s="27" t="str">
        <f>'Landscape Trees '!C105</f>
        <v>Sunset Gold Honeylocust</v>
      </c>
      <c r="C247" s="27" t="str">
        <f>'Landscape Trees '!D105</f>
        <v>#15</v>
      </c>
      <c r="D247" s="28" t="str">
        <f>'Landscape Trees '!E105</f>
        <v>1.25-1.5"</v>
      </c>
      <c r="E247" s="27" t="str">
        <f>'Landscape Trees '!F105</f>
        <v>8-10'</v>
      </c>
      <c r="F247" s="49">
        <f>'Landscape Trees '!G105</f>
        <v>5</v>
      </c>
      <c r="G247" s="27">
        <f>'Landscape Trees '!H105</f>
        <v>0</v>
      </c>
      <c r="H247" s="30">
        <f>'Landscape Trees '!I105</f>
        <v>115</v>
      </c>
    </row>
    <row r="248">
      <c r="A248" s="27" t="str">
        <f>'Landscape Trees '!A106</f>
        <v>Gledistia triacanthos 'Sunset Gold'</v>
      </c>
      <c r="B248" s="27" t="str">
        <f>'Landscape Trees '!C106</f>
        <v>Sunset Gold Honeylocust</v>
      </c>
      <c r="C248" s="27" t="str">
        <f>'Landscape Trees '!D106</f>
        <v>#25</v>
      </c>
      <c r="D248" s="28" t="str">
        <f>'Landscape Trees '!E106</f>
        <v>1.25-1.25"</v>
      </c>
      <c r="E248" s="27" t="str">
        <f>'Landscape Trees '!F106</f>
        <v>10-10'</v>
      </c>
      <c r="F248" s="49">
        <f>'Landscape Trees '!G106</f>
        <v>1</v>
      </c>
      <c r="G248" s="27">
        <f>'Landscape Trees '!H106</f>
        <v>0</v>
      </c>
      <c r="H248" s="30">
        <f>'Landscape Trees '!I106</f>
        <v>140</v>
      </c>
    </row>
    <row r="249">
      <c r="A249" s="27" t="str">
        <f>'Landscape Trees '!A107</f>
        <v>Gleditsia triacanthos 'Shademaster'</v>
      </c>
      <c r="B249" s="27" t="str">
        <f>'Landscape Trees '!C107</f>
        <v>Shademaster Honeylocust</v>
      </c>
      <c r="C249" s="27" t="str">
        <f>'Landscape Trees '!D107</f>
        <v>#15</v>
      </c>
      <c r="D249" s="28" t="str">
        <f>'Landscape Trees '!E107</f>
        <v>1.25-1.5"</v>
      </c>
      <c r="E249" s="27" t="str">
        <f>'Landscape Trees '!F107</f>
        <v>10-11'</v>
      </c>
      <c r="F249" s="49">
        <f>'Landscape Trees '!G107</f>
        <v>6</v>
      </c>
      <c r="G249" s="27">
        <f>'Landscape Trees '!H107</f>
        <v>15</v>
      </c>
      <c r="H249" s="30">
        <f>'Landscape Trees '!I107</f>
        <v>115</v>
      </c>
    </row>
    <row r="250">
      <c r="A250" s="27" t="str">
        <f>'Landscape Trees '!A108</f>
        <v>Gleditsia triacanthos 'Skyline'</v>
      </c>
      <c r="B250" s="27" t="str">
        <f>'Landscape Trees '!C108</f>
        <v>Skyline Honeylocust</v>
      </c>
      <c r="C250" s="27" t="str">
        <f>'Landscape Trees '!D108</f>
        <v>#15</v>
      </c>
      <c r="D250" s="28" t="str">
        <f>'Landscape Trees '!E108</f>
        <v>1-1"</v>
      </c>
      <c r="E250" s="27" t="str">
        <f>'Landscape Trees '!F108</f>
        <v>8-9'</v>
      </c>
      <c r="F250" s="49">
        <f>'Landscape Trees '!G108</f>
        <v>0</v>
      </c>
      <c r="G250" s="27">
        <f>'Landscape Trees '!H108</f>
        <v>15</v>
      </c>
      <c r="H250" s="30">
        <f>'Landscape Trees '!I108</f>
        <v>115</v>
      </c>
    </row>
    <row r="251">
      <c r="A251" s="27" t="str">
        <f>'Landscape Trees '!A109</f>
        <v>Gleditsia triacanthos 'Skyline'</v>
      </c>
      <c r="B251" s="27" t="str">
        <f>'Landscape Trees '!C109</f>
        <v>Skyline Honeylocust</v>
      </c>
      <c r="C251" s="27" t="str">
        <f>'Landscape Trees '!D109</f>
        <v>#25</v>
      </c>
      <c r="D251" s="28" t="str">
        <f>'Landscape Trees '!E109</f>
        <v>0-1.5"</v>
      </c>
      <c r="E251" s="27" t="str">
        <f>'Landscape Trees '!F109</f>
        <v>0-10'</v>
      </c>
      <c r="F251" s="49">
        <f>'Landscape Trees '!G109</f>
        <v>0</v>
      </c>
      <c r="G251" s="27">
        <f>'Landscape Trees '!H109</f>
        <v>5</v>
      </c>
      <c r="H251" s="30">
        <f>'Landscape Trees '!I109</f>
        <v>140</v>
      </c>
    </row>
    <row r="252">
      <c r="A252" s="27" t="str">
        <f>'Landscape Trees '!A110</f>
        <v>Gymnocladus dioicus</v>
      </c>
      <c r="B252" s="27" t="str">
        <f>'Landscape Trees '!C110</f>
        <v>Kentucky Coffeetree</v>
      </c>
      <c r="C252" s="27" t="str">
        <f>'Landscape Trees '!D110</f>
        <v>#5</v>
      </c>
      <c r="D252" s="28" t="str">
        <f>'Landscape Trees '!E110</f>
        <v>0.25-0.75"</v>
      </c>
      <c r="E252" s="27" t="str">
        <f>'Landscape Trees '!F110</f>
        <v>1-5'</v>
      </c>
      <c r="F252" s="49">
        <f>'Landscape Trees '!G110</f>
        <v>152</v>
      </c>
      <c r="G252" s="27">
        <f>'Landscape Trees '!H110</f>
        <v>50</v>
      </c>
      <c r="H252" s="30">
        <f>'Landscape Trees '!I110</f>
        <v>40</v>
      </c>
    </row>
    <row r="253">
      <c r="A253" s="27" t="str">
        <f>'Landscape Trees '!A111</f>
        <v>Gymnocladus dioicus</v>
      </c>
      <c r="B253" s="27" t="str">
        <f>'Landscape Trees '!C111</f>
        <v>Kentucky Coffeetree</v>
      </c>
      <c r="C253" s="27" t="str">
        <f>'Landscape Trees '!D111</f>
        <v>#15</v>
      </c>
      <c r="D253" s="28" t="str">
        <f>'Landscape Trees '!E111</f>
        <v>0.75-1"</v>
      </c>
      <c r="E253" s="27" t="str">
        <f>'Landscape Trees '!F111</f>
        <v>8-9'</v>
      </c>
      <c r="F253" s="49">
        <f>'Landscape Trees '!G111</f>
        <v>0</v>
      </c>
      <c r="G253" s="27">
        <f>'Landscape Trees '!H111</f>
        <v>10</v>
      </c>
      <c r="H253" s="30">
        <f>'Landscape Trees '!I111</f>
        <v>115</v>
      </c>
    </row>
    <row r="254">
      <c r="A254" s="27" t="str">
        <f>'Landscape Trees '!A112</f>
        <v>Gymnocladus dioicus 'Espresso'</v>
      </c>
      <c r="B254" s="27" t="str">
        <f>'Landscape Trees '!C112</f>
        <v>Espresso Kentucky Coffeetree</v>
      </c>
      <c r="C254" s="27" t="str">
        <f>'Landscape Trees '!D112</f>
        <v>#15</v>
      </c>
      <c r="D254" s="28" t="str">
        <f>'Landscape Trees '!E112</f>
        <v>1-1"</v>
      </c>
      <c r="E254" s="27" t="str">
        <f>'Landscape Trees '!F112</f>
        <v>7-10'</v>
      </c>
      <c r="F254" s="49">
        <f>'Landscape Trees '!G112</f>
        <v>2</v>
      </c>
      <c r="G254" s="27">
        <f>'Landscape Trees '!H112</f>
        <v>0</v>
      </c>
      <c r="H254" s="30">
        <f>'Landscape Trees '!I112</f>
        <v>115</v>
      </c>
    </row>
    <row r="255">
      <c r="A255" s="27" t="str">
        <f>'Landscape Trees '!A113</f>
        <v>Gymnocladus dioicus 'Espresso'</v>
      </c>
      <c r="B255" s="27" t="str">
        <f>'Landscape Trees '!C113</f>
        <v>Espresso Kentucky Coffeetree</v>
      </c>
      <c r="C255" s="27" t="str">
        <f>'Landscape Trees '!D113</f>
        <v>#25</v>
      </c>
      <c r="D255" s="28" t="str">
        <f>'Landscape Trees '!E113</f>
        <v>1-1"</v>
      </c>
      <c r="E255" s="27" t="str">
        <f>'Landscape Trees '!F113</f>
        <v>7-10'</v>
      </c>
      <c r="F255" s="49">
        <f>'Landscape Trees '!G113</f>
        <v>1</v>
      </c>
      <c r="G255" s="27">
        <f>'Landscape Trees '!H113</f>
        <v>0</v>
      </c>
      <c r="H255" s="30">
        <f>'Landscape Trees '!I113</f>
        <v>140</v>
      </c>
    </row>
    <row r="256">
      <c r="A256" s="27" t="str">
        <f>'Landscape Trees '!A114</f>
        <v>Halesia carolina</v>
      </c>
      <c r="B256" s="27" t="str">
        <f>'Landscape Trees '!C114</f>
        <v>Carolina Silverbell</v>
      </c>
      <c r="C256" s="27" t="str">
        <f>'Landscape Trees '!D114</f>
        <v>#5</v>
      </c>
      <c r="D256" s="28" t="str">
        <f>'Landscape Trees '!E114</f>
        <v>0.25-0.5"</v>
      </c>
      <c r="E256" s="27" t="str">
        <f>'Landscape Trees '!F114</f>
        <v>3-4'</v>
      </c>
      <c r="F256" s="49">
        <f>'Landscape Trees '!G114</f>
        <v>4</v>
      </c>
      <c r="G256" s="27">
        <f>'Landscape Trees '!H114</f>
        <v>50</v>
      </c>
      <c r="H256" s="30">
        <f>'Landscape Trees '!I114</f>
        <v>40</v>
      </c>
    </row>
    <row r="257">
      <c r="A257" s="27" t="str">
        <f>'Landscape Trees '!A115</f>
        <v>Hamamelis virginiana</v>
      </c>
      <c r="B257" s="27" t="str">
        <f>'Landscape Trees '!C115</f>
        <v>Witch Hazel</v>
      </c>
      <c r="C257" s="27" t="str">
        <f>'Landscape Trees '!D115</f>
        <v>#5</v>
      </c>
      <c r="D257" s="32" t="str">
        <f>'Landscape Trees '!E115</f>
        <v>Multi</v>
      </c>
      <c r="E257" s="27" t="str">
        <f>'Landscape Trees '!F115</f>
        <v>1-4.5'</v>
      </c>
      <c r="F257" s="49">
        <f>'Landscape Trees '!G115</f>
        <v>65</v>
      </c>
      <c r="G257" s="27">
        <f>'Landscape Trees '!H115</f>
        <v>200</v>
      </c>
      <c r="H257" s="30">
        <f>'Landscape Trees '!I115</f>
        <v>40</v>
      </c>
    </row>
    <row r="258">
      <c r="A258" s="27" t="str">
        <f>'Landscape Trees '!A116</f>
        <v>Hamamelis x 'Diane'</v>
      </c>
      <c r="B258" s="27" t="str">
        <f>'Landscape Trees '!C116</f>
        <v>Diane Witch Hazel</v>
      </c>
      <c r="C258" s="27" t="str">
        <f>'Landscape Trees '!D116</f>
        <v>#5</v>
      </c>
      <c r="D258" s="28" t="str">
        <f>'Landscape Trees '!E116</f>
        <v>Multi</v>
      </c>
      <c r="E258" s="27" t="str">
        <f>'Landscape Trees '!F116</f>
        <v>1-2'</v>
      </c>
      <c r="F258" s="49">
        <f>'Landscape Trees '!G116</f>
        <v>1</v>
      </c>
      <c r="G258" s="27">
        <f>'Landscape Trees '!H116</f>
        <v>10</v>
      </c>
      <c r="H258" s="30">
        <f>'Landscape Trees '!I116</f>
        <v>35</v>
      </c>
    </row>
    <row r="259">
      <c r="A259" s="27" t="str">
        <f>'Landscape Trees '!A117</f>
        <v>Hydrangea qu. 'Ruby slippers'</v>
      </c>
      <c r="B259" s="27" t="str">
        <f>'Landscape Trees '!C117</f>
        <v>Ruby Slippers Oakleaf Hydrangea</v>
      </c>
      <c r="C259" s="27" t="str">
        <f>'Landscape Trees '!D117</f>
        <v>#5</v>
      </c>
      <c r="D259" s="28" t="str">
        <f>'Landscape Trees '!E117</f>
        <v>Multi</v>
      </c>
      <c r="E259" s="27" t="str">
        <f>'Landscape Trees '!F117</f>
        <v>1-3'</v>
      </c>
      <c r="F259" s="49">
        <f>'Landscape Trees '!G117</f>
        <v>6</v>
      </c>
      <c r="G259" s="27">
        <f>'Landscape Trees '!H117</f>
        <v>100</v>
      </c>
      <c r="H259" s="30">
        <f>'Landscape Trees '!I117</f>
        <v>32</v>
      </c>
    </row>
    <row r="260">
      <c r="A260" s="27" t="str">
        <f>'Landscape Trees '!A118</f>
        <v>Hydrangea que. 'Pee Wee'</v>
      </c>
      <c r="B260" s="27" t="str">
        <f>'Landscape Trees '!C118</f>
        <v>Pee Wee Oakleaf Hydrangea</v>
      </c>
      <c r="C260" s="27" t="str">
        <f>'Landscape Trees '!D118</f>
        <v>#5</v>
      </c>
      <c r="D260" s="32" t="str">
        <f>'Landscape Trees '!E118</f>
        <v>Multi</v>
      </c>
      <c r="E260" s="27" t="str">
        <f>'Landscape Trees '!F118</f>
        <v>1-2'</v>
      </c>
      <c r="F260" s="49">
        <f>'Landscape Trees '!G118</f>
        <v>4</v>
      </c>
      <c r="G260" s="27">
        <f>'Landscape Trees '!H118</f>
        <v>50</v>
      </c>
      <c r="H260" s="30">
        <f>'Landscape Trees '!I118</f>
        <v>32</v>
      </c>
    </row>
    <row r="261">
      <c r="A261" s="27" t="str">
        <f>'Landscape Trees '!A119</f>
        <v>Hydrangea que. 'Snow Queen'</v>
      </c>
      <c r="B261" s="27" t="str">
        <f>'Landscape Trees '!C119</f>
        <v>Snow Queen Oakleaf Hydrangea</v>
      </c>
      <c r="C261" s="27" t="str">
        <f>'Landscape Trees '!D119</f>
        <v>#5</v>
      </c>
      <c r="D261" s="28" t="str">
        <f>'Landscape Trees '!E119</f>
        <v>Multi</v>
      </c>
      <c r="E261" s="27" t="str">
        <f>'Landscape Trees '!F119</f>
        <v>2-3'</v>
      </c>
      <c r="F261" s="49">
        <f>'Landscape Trees '!G119</f>
        <v>7</v>
      </c>
      <c r="G261" s="27">
        <f>'Landscape Trees '!H119</f>
        <v>50</v>
      </c>
      <c r="H261" s="30">
        <f>'Landscape Trees '!I119</f>
        <v>32</v>
      </c>
    </row>
    <row r="262">
      <c r="A262" s="27" t="str">
        <f>'Landscape Trees '!A120</f>
        <v>Hydrangea quercifolia 'Alice'</v>
      </c>
      <c r="B262" s="27" t="str">
        <f>'Landscape Trees '!C120</f>
        <v>Alice Oakleaf Hydrangea</v>
      </c>
      <c r="C262" s="27" t="str">
        <f>'Landscape Trees '!D120</f>
        <v>#5</v>
      </c>
      <c r="D262" s="32" t="str">
        <f>'Landscape Trees '!E120</f>
        <v>Multi</v>
      </c>
      <c r="E262" s="27" t="str">
        <f>'Landscape Trees '!F120</f>
        <v>1-2'</v>
      </c>
      <c r="F262" s="49">
        <f>'Landscape Trees '!G120</f>
        <v>1</v>
      </c>
      <c r="G262" s="27">
        <f>'Landscape Trees '!H120</f>
        <v>0</v>
      </c>
      <c r="H262" s="30">
        <f>'Landscape Trees '!I120</f>
        <v>32</v>
      </c>
    </row>
    <row r="263">
      <c r="A263" s="27" t="str">
        <f>'Landscape Trees '!A121</f>
        <v>Hypericum calycinum 'Fiesta'</v>
      </c>
      <c r="B263" s="27" t="str">
        <f>'Landscape Trees '!C121</f>
        <v>Fiesta St. John's wort</v>
      </c>
      <c r="C263" s="27" t="str">
        <f>'Landscape Trees '!D121</f>
        <v>#5</v>
      </c>
      <c r="D263" s="32" t="str">
        <f>'Landscape Trees '!E121</f>
        <v>Multi</v>
      </c>
      <c r="E263" s="27" t="str">
        <f>'Landscape Trees '!F121</f>
        <v>0.5-1'</v>
      </c>
      <c r="F263" s="49">
        <f>'Landscape Trees '!G121</f>
        <v>3</v>
      </c>
      <c r="G263" s="27">
        <f>'Landscape Trees '!H121</f>
        <v>0</v>
      </c>
      <c r="H263" s="30">
        <f>'Landscape Trees '!I121</f>
        <v>30</v>
      </c>
    </row>
    <row r="264">
      <c r="A264" s="27" t="str">
        <f>'Landscape Trees '!A122</f>
        <v>Ilex verticillata 'Winter Gold'</v>
      </c>
      <c r="B264" s="27" t="str">
        <f>'Landscape Trees '!C122</f>
        <v>Winter Gold Holly</v>
      </c>
      <c r="C264" s="27" t="str">
        <f>'Landscape Trees '!D122</f>
        <v>#2</v>
      </c>
      <c r="D264" s="32" t="str">
        <f>'Landscape Trees '!E122</f>
        <v>Multi</v>
      </c>
      <c r="E264" s="27" t="str">
        <f>'Landscape Trees '!F122</f>
        <v>0-3'</v>
      </c>
      <c r="F264" s="49">
        <f>'Landscape Trees '!G122</f>
        <v>0</v>
      </c>
      <c r="G264" s="27">
        <f>'Landscape Trees '!H122</f>
        <v>50</v>
      </c>
      <c r="H264" s="30">
        <f>'Landscape Trees '!I122</f>
        <v>15</v>
      </c>
    </row>
    <row r="265">
      <c r="A265" s="27" t="str">
        <f>'Landscape Trees '!A123</f>
        <v>Ilex verticillata 'Winter Red'</v>
      </c>
      <c r="B265" s="27" t="str">
        <f>'Landscape Trees '!C123</f>
        <v>Winter Red Winterberry Holly</v>
      </c>
      <c r="C265" s="27" t="str">
        <f>'Landscape Trees '!D123</f>
        <v>#5</v>
      </c>
      <c r="D265" s="28" t="str">
        <f>'Landscape Trees '!E123</f>
        <v>Multi</v>
      </c>
      <c r="E265" s="27" t="str">
        <f>'Landscape Trees '!F123</f>
        <v>2-2'</v>
      </c>
      <c r="F265" s="49">
        <f>'Landscape Trees '!G123</f>
        <v>2</v>
      </c>
      <c r="G265" s="27">
        <f>'Landscape Trees '!H123</f>
        <v>100</v>
      </c>
      <c r="H265" s="30">
        <f>'Landscape Trees '!I123</f>
        <v>30</v>
      </c>
    </row>
    <row r="266">
      <c r="A266" s="27" t="str">
        <f>'Landscape Trees '!A124</f>
        <v>Juglans cinerea</v>
      </c>
      <c r="B266" s="27" t="str">
        <f>'Landscape Trees '!C124</f>
        <v>Butternut</v>
      </c>
      <c r="C266" s="27" t="str">
        <f>'Landscape Trees '!D124</f>
        <v>#5</v>
      </c>
      <c r="D266" s="28" t="str">
        <f>'Landscape Trees '!E124</f>
        <v>0.5-0.75"</v>
      </c>
      <c r="E266" s="27" t="str">
        <f>'Landscape Trees '!F124</f>
        <v>3-5'</v>
      </c>
      <c r="F266" s="49">
        <f>'Landscape Trees '!G124</f>
        <v>59</v>
      </c>
      <c r="G266" s="27">
        <f>'Landscape Trees '!H124</f>
        <v>0</v>
      </c>
      <c r="H266" s="30">
        <f>'Landscape Trees '!I124</f>
        <v>40</v>
      </c>
    </row>
    <row r="267">
      <c r="A267" s="27" t="str">
        <f>'Landscape Trees '!A125</f>
        <v>Koelreuteria paniculata</v>
      </c>
      <c r="B267" s="27" t="str">
        <f>'Landscape Trees '!C125</f>
        <v>Golden Rain Tree</v>
      </c>
      <c r="C267" s="27" t="str">
        <f>'Landscape Trees '!D125</f>
        <v>#5</v>
      </c>
      <c r="D267" s="28" t="str">
        <f>'Landscape Trees '!E125</f>
        <v>0.75-1"</v>
      </c>
      <c r="E267" s="27" t="str">
        <f>'Landscape Trees '!F125</f>
        <v>6-9'</v>
      </c>
      <c r="F267" s="49">
        <f>'Landscape Trees '!G125</f>
        <v>16</v>
      </c>
      <c r="G267" s="27">
        <f>'Landscape Trees '!H125</f>
        <v>0</v>
      </c>
      <c r="H267" s="30">
        <f>'Landscape Trees '!I125</f>
        <v>40</v>
      </c>
    </row>
    <row r="268">
      <c r="A268" s="27" t="str">
        <f>'Landscape Trees '!A126</f>
        <v>Koelreuteria paniculata</v>
      </c>
      <c r="B268" s="27" t="str">
        <f>'Landscape Trees '!C126</f>
        <v>Golden Rain Tree</v>
      </c>
      <c r="C268" s="27" t="str">
        <f>'Landscape Trees '!D126</f>
        <v>#15</v>
      </c>
      <c r="D268" s="28" t="str">
        <f>'Landscape Trees '!E126</f>
        <v>0-0"</v>
      </c>
      <c r="E268" s="27" t="str">
        <f>'Landscape Trees '!F126</f>
        <v>0-0'</v>
      </c>
      <c r="F268" s="49">
        <f>'Landscape Trees '!G126</f>
        <v>0</v>
      </c>
      <c r="G268" s="27">
        <f>'Landscape Trees '!H126</f>
        <v>10</v>
      </c>
      <c r="H268" s="30">
        <f>'Landscape Trees '!I126</f>
        <v>115</v>
      </c>
    </row>
    <row r="269">
      <c r="A269" s="27" t="str">
        <f>'Landscape Trees '!A127</f>
        <v>Laburnum anagyroides</v>
      </c>
      <c r="B269" s="27" t="str">
        <f>'Landscape Trees '!C127</f>
        <v>Golden Chain Tree</v>
      </c>
      <c r="C269" s="27" t="str">
        <f>'Landscape Trees '!D127</f>
        <v>#5</v>
      </c>
      <c r="D269" s="32" t="str">
        <f>'Landscape Trees '!E127</f>
        <v>Multi</v>
      </c>
      <c r="E269" s="27" t="str">
        <f>'Landscape Trees '!F127</f>
        <v>2-7'</v>
      </c>
      <c r="F269" s="49">
        <f>'Landscape Trees '!G127</f>
        <v>30</v>
      </c>
      <c r="G269" s="27">
        <f>'Landscape Trees '!H127</f>
        <v>0</v>
      </c>
      <c r="H269" s="30">
        <f>'Landscape Trees '!I127</f>
        <v>45</v>
      </c>
    </row>
    <row r="270">
      <c r="A270" s="27" t="str">
        <f>'Landscape Trees '!A128</f>
        <v>Lindera benzoin</v>
      </c>
      <c r="B270" s="27" t="str">
        <f>'Landscape Trees '!C128</f>
        <v>Spice Bush</v>
      </c>
      <c r="C270" s="27" t="str">
        <f>'Landscape Trees '!D128</f>
        <v>#5</v>
      </c>
      <c r="D270" s="28" t="str">
        <f>'Landscape Trees '!E128</f>
        <v>Multi</v>
      </c>
      <c r="E270" s="27" t="str">
        <f>'Landscape Trees '!F128</f>
        <v>1-2'</v>
      </c>
      <c r="F270" s="49">
        <f>'Landscape Trees '!G128</f>
        <v>0</v>
      </c>
      <c r="G270" s="27">
        <f>'Landscape Trees '!H128</f>
        <v>300</v>
      </c>
      <c r="H270" s="30">
        <f>'Landscape Trees '!I128</f>
        <v>35</v>
      </c>
    </row>
    <row r="271">
      <c r="A271" s="27" t="str">
        <f>'Landscape Trees '!A129</f>
        <v>Liquidambar styraciflua</v>
      </c>
      <c r="B271" s="27" t="str">
        <f>'Landscape Trees '!C129</f>
        <v>Sweet Gum</v>
      </c>
      <c r="C271" s="27" t="str">
        <f>'Landscape Trees '!D129</f>
        <v>#5</v>
      </c>
      <c r="D271" s="28" t="str">
        <f>'Landscape Trees '!E129</f>
        <v>0.25-1"</v>
      </c>
      <c r="E271" s="27" t="str">
        <f>'Landscape Trees '!F129</f>
        <v>2-6.5'</v>
      </c>
      <c r="F271" s="49">
        <f>'Landscape Trees '!G129</f>
        <v>46</v>
      </c>
      <c r="G271" s="27">
        <f>'Landscape Trees '!H129</f>
        <v>0</v>
      </c>
      <c r="H271" s="30">
        <f>'Landscape Trees '!I129</f>
        <v>40</v>
      </c>
    </row>
    <row r="272">
      <c r="A272" s="27" t="str">
        <f>'Landscape Trees '!A130</f>
        <v>Liquidambar styraciflua</v>
      </c>
      <c r="B272" s="27" t="str">
        <f>'Landscape Trees '!C130</f>
        <v>Sweet Gum</v>
      </c>
      <c r="C272" s="27" t="str">
        <f>'Landscape Trees '!D130</f>
        <v>#7</v>
      </c>
      <c r="D272" s="28" t="str">
        <f>'Landscape Trees '!E130</f>
        <v>0.5-0.5"</v>
      </c>
      <c r="E272" s="27" t="str">
        <f>'Landscape Trees '!F130</f>
        <v>3-4'</v>
      </c>
      <c r="F272" s="49">
        <f>'Landscape Trees '!G130</f>
        <v>8</v>
      </c>
      <c r="G272" s="27">
        <f>'Landscape Trees '!H130</f>
        <v>0</v>
      </c>
      <c r="H272" s="30">
        <f>'Landscape Trees '!I130</f>
        <v>45</v>
      </c>
    </row>
    <row r="273">
      <c r="A273" s="27" t="str">
        <f>'Landscape Trees '!A131</f>
        <v>Liquidambar styraciflua</v>
      </c>
      <c r="B273" s="27" t="str">
        <f>'Landscape Trees '!C131</f>
        <v>Sweet Gum</v>
      </c>
      <c r="C273" s="27" t="str">
        <f>'Landscape Trees '!D131</f>
        <v>#15</v>
      </c>
      <c r="D273" s="28" t="str">
        <f>'Landscape Trees '!E131</f>
        <v>0-0"</v>
      </c>
      <c r="E273" s="27" t="str">
        <f>'Landscape Trees '!F131</f>
        <v>0-0'</v>
      </c>
      <c r="F273" s="49">
        <f>'Landscape Trees '!G131</f>
        <v>0</v>
      </c>
      <c r="G273" s="27">
        <f>'Landscape Trees '!H131</f>
        <v>1</v>
      </c>
      <c r="H273" s="30">
        <f>'Landscape Trees '!I131</f>
        <v>105</v>
      </c>
    </row>
    <row r="274">
      <c r="A274" s="27" t="str">
        <f>'Landscape Trees '!A132</f>
        <v>Liquidambar styraciflua 'Rotundaloba'</v>
      </c>
      <c r="B274" s="27" t="str">
        <f>'Landscape Trees '!C132</f>
        <v>Rotundaloba Sweet Gum</v>
      </c>
      <c r="C274" s="27" t="str">
        <f>'Landscape Trees '!D132</f>
        <v>#7</v>
      </c>
      <c r="D274" s="28" t="str">
        <f>'Landscape Trees '!E132</f>
        <v>1-1.25"</v>
      </c>
      <c r="E274" s="27" t="str">
        <f>'Landscape Trees '!F132</f>
        <v>6-8'</v>
      </c>
      <c r="F274" s="49">
        <f>'Landscape Trees '!G132</f>
        <v>16</v>
      </c>
      <c r="G274" s="27">
        <f>'Landscape Trees '!H132</f>
        <v>0</v>
      </c>
      <c r="H274" s="30">
        <f>'Landscape Trees '!I132</f>
        <v>60</v>
      </c>
    </row>
    <row r="275">
      <c r="A275" s="27" t="str">
        <f>'Landscape Trees '!A133</f>
        <v>Liriodendron tulipifera</v>
      </c>
      <c r="B275" s="27" t="str">
        <f>'Landscape Trees '!C133</f>
        <v>Tulip Poplar</v>
      </c>
      <c r="C275" s="27" t="str">
        <f>'Landscape Trees '!D133</f>
        <v>#5</v>
      </c>
      <c r="D275" s="28" t="str">
        <f>'Landscape Trees '!E133</f>
        <v>0.5-1.25"</v>
      </c>
      <c r="E275" s="27" t="str">
        <f>'Landscape Trees '!F133</f>
        <v>5-10'</v>
      </c>
      <c r="F275" s="27">
        <f>'Landscape Trees '!G133</f>
        <v>23</v>
      </c>
      <c r="G275" s="27">
        <f>'Landscape Trees '!H133</f>
        <v>50</v>
      </c>
      <c r="H275" s="30">
        <f>'Landscape Trees '!I133</f>
        <v>40</v>
      </c>
    </row>
    <row r="276">
      <c r="A276" s="27" t="str">
        <f>'Landscape Trees '!A134</f>
        <v>Maackia amurensis</v>
      </c>
      <c r="B276" s="27" t="str">
        <f>'Landscape Trees '!C134</f>
        <v>Amur Maackia</v>
      </c>
      <c r="C276" s="27" t="str">
        <f>'Landscape Trees '!D134</f>
        <v>#5</v>
      </c>
      <c r="D276" s="28" t="str">
        <f>'Landscape Trees '!E134</f>
        <v>0.25-1"</v>
      </c>
      <c r="E276" s="27" t="str">
        <f>'Landscape Trees '!F134</f>
        <v>2-9'</v>
      </c>
      <c r="F276" s="49">
        <f>'Landscape Trees '!G134</f>
        <v>70</v>
      </c>
      <c r="G276" s="27">
        <f>'Landscape Trees '!H134</f>
        <v>0</v>
      </c>
      <c r="H276" s="30">
        <f>'Landscape Trees '!I134</f>
        <v>40</v>
      </c>
    </row>
    <row r="277">
      <c r="A277" s="27" t="str">
        <f>'Landscape Trees '!A135</f>
        <v>Maackia amurensis</v>
      </c>
      <c r="B277" s="27" t="str">
        <f>'Landscape Trees '!C135</f>
        <v>Amur Maackia</v>
      </c>
      <c r="C277" s="27" t="str">
        <f>'Landscape Trees '!D135</f>
        <v>#15</v>
      </c>
      <c r="D277" s="28" t="str">
        <f>'Landscape Trees '!E135</f>
        <v>1.25-1.25"</v>
      </c>
      <c r="E277" s="27" t="str">
        <f>'Landscape Trees '!F135</f>
        <v>11-11'</v>
      </c>
      <c r="F277" s="49">
        <f>'Landscape Trees '!G135</f>
        <v>2</v>
      </c>
      <c r="G277" s="27">
        <f>'Landscape Trees '!H135</f>
        <v>0</v>
      </c>
      <c r="H277" s="30">
        <f>'Landscape Trees '!I135</f>
        <v>115</v>
      </c>
    </row>
    <row r="278">
      <c r="A278" s="27" t="str">
        <f>'Landscape Trees '!A136</f>
        <v>Magnolia 'Black Tulip'</v>
      </c>
      <c r="B278" s="27" t="str">
        <f>'Landscape Trees '!C136</f>
        <v>Black Tulip Magnolia</v>
      </c>
      <c r="C278" s="27" t="str">
        <f>'Landscape Trees '!D136</f>
        <v>#5</v>
      </c>
      <c r="D278" s="28" t="str">
        <f>'Landscape Trees '!E136</f>
        <v>0.5-0.75"</v>
      </c>
      <c r="E278" s="27" t="str">
        <f>'Landscape Trees '!F136</f>
        <v>3-4.5'</v>
      </c>
      <c r="F278" s="49">
        <f>'Landscape Trees '!G136</f>
        <v>4</v>
      </c>
      <c r="G278" s="27">
        <f>'Landscape Trees '!H136</f>
        <v>0</v>
      </c>
      <c r="H278" s="30">
        <f>'Landscape Trees '!I136</f>
        <v>55</v>
      </c>
    </row>
    <row r="279">
      <c r="A279" s="27" t="str">
        <f>'Landscape Trees '!A137</f>
        <v>Magnolia 'Galaxy'</v>
      </c>
      <c r="B279" s="27" t="str">
        <f>'Landscape Trees '!C137</f>
        <v>Galaxy Magnolia</v>
      </c>
      <c r="C279" s="27" t="str">
        <f>'Landscape Trees '!D137</f>
        <v>#5</v>
      </c>
      <c r="D279" s="32" t="str">
        <f>'Landscape Trees '!E137</f>
        <v>Multi</v>
      </c>
      <c r="E279" s="27" t="str">
        <f>'Landscape Trees '!F137</f>
        <v>4-5'</v>
      </c>
      <c r="F279" s="49">
        <f>'Landscape Trees '!G137</f>
        <v>6</v>
      </c>
      <c r="G279" s="27">
        <f>'Landscape Trees '!H137</f>
        <v>20</v>
      </c>
      <c r="H279" s="30">
        <f>'Landscape Trees '!I137</f>
        <v>55</v>
      </c>
    </row>
    <row r="280">
      <c r="A280" s="27" t="str">
        <f>'Landscape Trees '!A138</f>
        <v>Magnolia 'Northern Belle'</v>
      </c>
      <c r="B280" s="27" t="str">
        <f>'Landscape Trees '!C138</f>
        <v>Northern Belle Magnolia</v>
      </c>
      <c r="C280" s="27" t="str">
        <f>'Landscape Trees '!D138</f>
        <v>#5</v>
      </c>
      <c r="D280" s="28" t="str">
        <f>'Landscape Trees '!E138</f>
        <v>0.25-0.5"</v>
      </c>
      <c r="E280" s="27" t="str">
        <f>'Landscape Trees '!F138</f>
        <v>3-4'</v>
      </c>
      <c r="F280" s="49">
        <f>'Landscape Trees '!G138</f>
        <v>10</v>
      </c>
      <c r="G280" s="27">
        <f>'Landscape Trees '!H138</f>
        <v>0</v>
      </c>
      <c r="H280" s="30">
        <f>'Landscape Trees '!I138</f>
        <v>55</v>
      </c>
    </row>
    <row r="281">
      <c r="A281" s="27" t="str">
        <f>'Landscape Trees '!A139</f>
        <v>Magnolia 'Sunsation'</v>
      </c>
      <c r="B281" s="27" t="str">
        <f>'Landscape Trees '!C139</f>
        <v>Sunsation Magnolia</v>
      </c>
      <c r="C281" s="27" t="str">
        <f>'Landscape Trees '!D139</f>
        <v>#5</v>
      </c>
      <c r="D281" s="28" t="str">
        <f>'Landscape Trees '!E139</f>
        <v>Multi</v>
      </c>
      <c r="E281" s="27" t="str">
        <f>'Landscape Trees '!F139</f>
        <v>3-4.5'</v>
      </c>
      <c r="F281" s="49">
        <f>'Landscape Trees '!G139</f>
        <v>5</v>
      </c>
      <c r="G281" s="27">
        <f>'Landscape Trees '!H139</f>
        <v>0</v>
      </c>
      <c r="H281" s="30">
        <f>'Landscape Trees '!I139</f>
        <v>50</v>
      </c>
    </row>
    <row r="282">
      <c r="A282" s="27" t="str">
        <f>'Landscape Trees '!A140</f>
        <v>Magnolia 'Yellow Bird'</v>
      </c>
      <c r="B282" s="27" t="str">
        <f>'Landscape Trees '!C140</f>
        <v>Yellow Bird Magnolia</v>
      </c>
      <c r="C282" s="27" t="str">
        <f>'Landscape Trees '!D140</f>
        <v>#5</v>
      </c>
      <c r="D282" s="32" t="str">
        <f>'Landscape Trees '!E140</f>
        <v>Multi</v>
      </c>
      <c r="E282" s="27" t="str">
        <f>'Landscape Trees '!F140</f>
        <v>4-5'</v>
      </c>
      <c r="F282" s="49">
        <f>'Landscape Trees '!G140</f>
        <v>2</v>
      </c>
      <c r="G282" s="27">
        <f>'Landscape Trees '!H140</f>
        <v>0</v>
      </c>
      <c r="H282" s="30">
        <f>'Landscape Trees '!I140</f>
        <v>55</v>
      </c>
    </row>
    <row r="283">
      <c r="A283" s="27" t="str">
        <f>'Landscape Trees '!A141</f>
        <v>Magnolia ashei</v>
      </c>
      <c r="B283" s="27" t="str">
        <f>'Landscape Trees '!C141</f>
        <v>Ashe's Magnolia</v>
      </c>
      <c r="C283" s="27" t="str">
        <f>'Landscape Trees '!D141</f>
        <v>#5</v>
      </c>
      <c r="D283" s="28" t="str">
        <f>'Landscape Trees '!E141</f>
        <v>0.25-0.5"</v>
      </c>
      <c r="E283" s="27" t="str">
        <f>'Landscape Trees '!F141</f>
        <v>2-3'</v>
      </c>
      <c r="F283" s="49">
        <f>'Landscape Trees '!G141</f>
        <v>108</v>
      </c>
      <c r="G283" s="27">
        <f>'Landscape Trees '!H141</f>
        <v>100</v>
      </c>
      <c r="H283" s="30">
        <f>'Landscape Trees '!I141</f>
        <v>40</v>
      </c>
    </row>
    <row r="284">
      <c r="A284" s="27" t="str">
        <f>'Landscape Trees '!A142</f>
        <v>Magnolia virginiana</v>
      </c>
      <c r="B284" s="27" t="str">
        <f>'Landscape Trees '!C142</f>
        <v>Sweet Bay Magnolia</v>
      </c>
      <c r="C284" s="27" t="str">
        <f>'Landscape Trees '!D142</f>
        <v>#5</v>
      </c>
      <c r="D284" s="28" t="str">
        <f>'Landscape Trees '!E142</f>
        <v>0.25-0.5"</v>
      </c>
      <c r="E284" s="27" t="str">
        <f>'Landscape Trees '!F142</f>
        <v>2-3'</v>
      </c>
      <c r="F284" s="49">
        <f>'Landscape Trees '!G142</f>
        <v>122</v>
      </c>
      <c r="G284" s="27">
        <f>'Landscape Trees '!H142</f>
        <v>200</v>
      </c>
      <c r="H284" s="30">
        <f>'Landscape Trees '!I142</f>
        <v>35</v>
      </c>
    </row>
    <row r="285">
      <c r="A285" s="27" t="str">
        <f>'Landscape Trees '!A143</f>
        <v>Magnolia virginiana</v>
      </c>
      <c r="B285" s="27" t="str">
        <f>'Landscape Trees '!C143</f>
        <v>Sweet Bay Magnolia</v>
      </c>
      <c r="C285" s="27" t="str">
        <f>'Landscape Trees '!D143</f>
        <v>#15</v>
      </c>
      <c r="D285" s="28" t="str">
        <f>'Landscape Trees '!E143</f>
        <v>Multi</v>
      </c>
      <c r="E285" s="27" t="str">
        <f>'Landscape Trees '!F143</f>
        <v>3-7'</v>
      </c>
      <c r="F285" s="49">
        <f>'Landscape Trees '!G143</f>
        <v>2</v>
      </c>
      <c r="G285" s="27">
        <f>'Landscape Trees '!H143</f>
        <v>0</v>
      </c>
      <c r="H285" s="30">
        <f>'Landscape Trees '!I143</f>
        <v>120</v>
      </c>
    </row>
    <row r="286">
      <c r="A286" s="27" t="str">
        <f>'Landscape Trees '!A144</f>
        <v>Magnolia virginiana 'Moonglow'</v>
      </c>
      <c r="B286" s="27" t="str">
        <f>'Landscape Trees '!C144</f>
        <v>Moonglow Magnolia</v>
      </c>
      <c r="C286" s="27" t="str">
        <f>'Landscape Trees '!D144</f>
        <v>#5</v>
      </c>
      <c r="D286" s="28" t="str">
        <f>'Landscape Trees '!E144</f>
        <v>0.25-0.5"</v>
      </c>
      <c r="E286" s="27" t="str">
        <f>'Landscape Trees '!F144</f>
        <v>3-4'</v>
      </c>
      <c r="F286" s="49">
        <f>'Landscape Trees '!G144</f>
        <v>4</v>
      </c>
      <c r="G286" s="27">
        <f>'Landscape Trees '!H144</f>
        <v>100</v>
      </c>
      <c r="H286" s="30">
        <f>'Landscape Trees '!I144</f>
        <v>40</v>
      </c>
    </row>
    <row r="287">
      <c r="A287" s="27" t="str">
        <f>'Landscape Trees '!A145</f>
        <v>Magnolia x 'Ann'</v>
      </c>
      <c r="B287" s="27" t="str">
        <f>'Landscape Trees '!C145</f>
        <v>Ann Magnolia</v>
      </c>
      <c r="C287" s="27" t="str">
        <f>'Landscape Trees '!D145</f>
        <v>#5</v>
      </c>
      <c r="D287" s="32" t="str">
        <f>'Landscape Trees '!E145</f>
        <v>Multi</v>
      </c>
      <c r="E287" s="27" t="str">
        <f>'Landscape Trees '!F145</f>
        <v>2-3'</v>
      </c>
      <c r="F287" s="49">
        <f>'Landscape Trees '!G145</f>
        <v>24</v>
      </c>
      <c r="G287" s="27">
        <f>'Landscape Trees '!H145</f>
        <v>0</v>
      </c>
      <c r="H287" s="30">
        <f>'Landscape Trees '!I145</f>
        <v>45</v>
      </c>
    </row>
    <row r="288">
      <c r="A288" s="27" t="str">
        <f>'Landscape Trees '!A146</f>
        <v>Magnolia x 'Jane'</v>
      </c>
      <c r="B288" s="27" t="str">
        <f>'Landscape Trees '!C146</f>
        <v>Jane Magnolia</v>
      </c>
      <c r="C288" s="27" t="str">
        <f>'Landscape Trees '!D146</f>
        <v>#5</v>
      </c>
      <c r="D288" s="28" t="str">
        <f>'Landscape Trees '!E146</f>
        <v>0.25-0.5"</v>
      </c>
      <c r="E288" s="27" t="str">
        <f>'Landscape Trees '!F146</f>
        <v>2-3.5'</v>
      </c>
      <c r="F288" s="49">
        <f>'Landscape Trees '!G146</f>
        <v>13</v>
      </c>
      <c r="G288" s="27">
        <f>'Landscape Trees '!H146</f>
        <v>0</v>
      </c>
      <c r="H288" s="30">
        <f>'Landscape Trees '!I146</f>
        <v>50</v>
      </c>
    </row>
    <row r="289">
      <c r="A289" s="27" t="str">
        <f>'Landscape Trees '!A147</f>
        <v>Malus 'Prariefire'</v>
      </c>
      <c r="B289" s="27" t="str">
        <f>'Landscape Trees '!C147</f>
        <v>Prairifire Crabapple</v>
      </c>
      <c r="C289" s="27" t="str">
        <f>'Landscape Trees '!D147</f>
        <v>#7</v>
      </c>
      <c r="D289" s="28" t="str">
        <f>'Landscape Trees '!E147</f>
        <v>0.5-0.75"</v>
      </c>
      <c r="E289" s="27" t="str">
        <f>'Landscape Trees '!F147</f>
        <v>5-6'</v>
      </c>
      <c r="F289" s="49">
        <f>'Landscape Trees '!G147</f>
        <v>30</v>
      </c>
      <c r="G289" s="27">
        <f>'Landscape Trees '!H147</f>
        <v>0</v>
      </c>
      <c r="H289" s="30">
        <f>'Landscape Trees '!I147</f>
        <v>60</v>
      </c>
    </row>
    <row r="290">
      <c r="A290" s="27" t="str">
        <f>'Landscape Trees '!A148</f>
        <v>Malus 'Prariefire'</v>
      </c>
      <c r="B290" s="27" t="str">
        <f>'Landscape Trees '!C148</f>
        <v>Prairifire Crabapple</v>
      </c>
      <c r="C290" s="27" t="str">
        <f>'Landscape Trees '!D148</f>
        <v>#15</v>
      </c>
      <c r="D290" s="28" t="str">
        <f>'Landscape Trees '!E148</f>
        <v>0-1"</v>
      </c>
      <c r="E290" s="27" t="str">
        <f>'Landscape Trees '!F148</f>
        <v>0-10'</v>
      </c>
      <c r="F290" s="49">
        <f>'Landscape Trees '!G148</f>
        <v>0</v>
      </c>
      <c r="G290" s="27">
        <f>'Landscape Trees '!H148</f>
        <v>30</v>
      </c>
      <c r="H290" s="30">
        <f>'Landscape Trees '!I148</f>
        <v>115</v>
      </c>
    </row>
    <row r="291">
      <c r="A291" s="27" t="str">
        <f>'Landscape Trees '!A149</f>
        <v>Malus 'Snowdrift'</v>
      </c>
      <c r="B291" s="27" t="str">
        <f>'Landscape Trees '!C149</f>
        <v>Snowdrift Crabapple</v>
      </c>
      <c r="C291" s="27" t="str">
        <f>'Landscape Trees '!D149</f>
        <v>#5</v>
      </c>
      <c r="D291" s="28" t="str">
        <f>'Landscape Trees '!E149</f>
        <v>0.75-1"</v>
      </c>
      <c r="E291" s="27" t="str">
        <f>'Landscape Trees '!F149</f>
        <v>5-6'</v>
      </c>
      <c r="F291" s="49">
        <f>'Landscape Trees '!G149</f>
        <v>4</v>
      </c>
      <c r="G291" s="27">
        <f>'Landscape Trees '!H149</f>
        <v>0</v>
      </c>
      <c r="H291" s="30">
        <f>'Landscape Trees '!I149</f>
        <v>40</v>
      </c>
    </row>
    <row r="292">
      <c r="A292" s="27" t="str">
        <f>'Landscape Trees '!A150</f>
        <v>Malus dolgo</v>
      </c>
      <c r="B292" s="27" t="str">
        <f>'Landscape Trees '!C150</f>
        <v>Dolgo Crabapple</v>
      </c>
      <c r="C292" s="27" t="str">
        <f>'Landscape Trees '!D150</f>
        <v>#5</v>
      </c>
      <c r="D292" s="32" t="str">
        <f>'Landscape Trees '!E150</f>
        <v>Multi</v>
      </c>
      <c r="E292" s="27" t="str">
        <f>'Landscape Trees '!F150</f>
        <v>4-5'</v>
      </c>
      <c r="F292" s="49">
        <f>'Landscape Trees '!G150</f>
        <v>3</v>
      </c>
      <c r="G292" s="27">
        <f>'Landscape Trees '!H150</f>
        <v>0</v>
      </c>
      <c r="H292" s="30">
        <f>'Landscape Trees '!I150</f>
        <v>40</v>
      </c>
    </row>
    <row r="293">
      <c r="A293" s="27" t="str">
        <f>'Landscape Trees '!A151</f>
        <v>Malus domestica</v>
      </c>
      <c r="B293" s="27" t="str">
        <f>'Landscape Trees '!C151</f>
        <v>Common Apple</v>
      </c>
      <c r="C293" s="27" t="str">
        <f>'Landscape Trees '!D151</f>
        <v>#5</v>
      </c>
      <c r="D293" s="28" t="str">
        <f>'Landscape Trees '!E151</f>
        <v>0.75-0.5"</v>
      </c>
      <c r="E293" s="27" t="str">
        <f>'Landscape Trees '!F151</f>
        <v>4-5'</v>
      </c>
      <c r="F293" s="49">
        <f>'Landscape Trees '!G151</f>
        <v>33</v>
      </c>
      <c r="G293" s="27">
        <f>'Landscape Trees '!H151</f>
        <v>0</v>
      </c>
      <c r="H293" s="30">
        <f>'Landscape Trees '!I151</f>
        <v>30</v>
      </c>
    </row>
    <row r="294">
      <c r="A294" s="27" t="str">
        <f>'Landscape Trees '!A152</f>
        <v>Metasequoia glyptostroboides</v>
      </c>
      <c r="B294" s="27" t="str">
        <f>'Landscape Trees '!C152</f>
        <v>Dawn Redwood</v>
      </c>
      <c r="C294" s="27" t="str">
        <f>'Landscape Trees '!D152</f>
        <v>#5</v>
      </c>
      <c r="D294" s="28" t="str">
        <f>'Landscape Trees '!E152</f>
        <v>0.5-1.5"</v>
      </c>
      <c r="E294" s="27" t="str">
        <f>'Landscape Trees '!F152</f>
        <v>4-10'</v>
      </c>
      <c r="F294" s="49">
        <f>'Landscape Trees '!G152</f>
        <v>5</v>
      </c>
      <c r="G294" s="27">
        <f>'Landscape Trees '!H152</f>
        <v>50</v>
      </c>
      <c r="H294" s="30">
        <f>'Landscape Trees '!I152</f>
        <v>40</v>
      </c>
    </row>
    <row r="295">
      <c r="A295" s="27" t="str">
        <f>'Landscape Trees '!A153</f>
        <v>Nandina domestica</v>
      </c>
      <c r="B295" s="27" t="str">
        <f>'Landscape Trees '!C153</f>
        <v>Nandina</v>
      </c>
      <c r="C295" s="27" t="str">
        <f>'Landscape Trees '!D153</f>
        <v>#5</v>
      </c>
      <c r="D295" s="28" t="str">
        <f>'Landscape Trees '!E153</f>
        <v>Multi</v>
      </c>
      <c r="E295" s="27" t="str">
        <f>'Landscape Trees '!F153</f>
        <v>0.25-1'</v>
      </c>
      <c r="F295" s="49">
        <f>'Landscape Trees '!G153</f>
        <v>14</v>
      </c>
      <c r="G295" s="27">
        <f>'Landscape Trees '!H153</f>
        <v>0</v>
      </c>
      <c r="H295" s="30">
        <f>'Landscape Trees '!I153</f>
        <v>30</v>
      </c>
    </row>
    <row r="296">
      <c r="A296" s="27" t="str">
        <f>'Landscape Trees '!A154</f>
        <v>Nyssa sylvatica</v>
      </c>
      <c r="B296" s="27" t="str">
        <f>'Landscape Trees '!C154</f>
        <v>Black Gum</v>
      </c>
      <c r="C296" s="27" t="str">
        <f>'Landscape Trees '!D154</f>
        <v>#5</v>
      </c>
      <c r="D296" s="28" t="str">
        <f>'Landscape Trees '!E154</f>
        <v>0.5-1"</v>
      </c>
      <c r="E296" s="27" t="str">
        <f>'Landscape Trees '!F154</f>
        <v>4-7'</v>
      </c>
      <c r="F296" s="49">
        <f>'Landscape Trees '!G154</f>
        <v>60</v>
      </c>
      <c r="G296" s="27">
        <f>'Landscape Trees '!H154</f>
        <v>300</v>
      </c>
      <c r="H296" s="30">
        <f>'Landscape Trees '!I154</f>
        <v>40</v>
      </c>
    </row>
    <row r="297">
      <c r="A297" s="27" t="str">
        <f>'Landscape Trees '!A155</f>
        <v>Nyssa sylvatica</v>
      </c>
      <c r="B297" s="27" t="str">
        <f>'Landscape Trees '!C155</f>
        <v>Black Gum</v>
      </c>
      <c r="C297" s="27" t="str">
        <f>'Landscape Trees '!D155</f>
        <v>#7</v>
      </c>
      <c r="D297" s="28" t="str">
        <f>'Landscape Trees '!E155</f>
        <v>0.5-0.75"</v>
      </c>
      <c r="E297" s="27" t="str">
        <f>'Landscape Trees '!F155</f>
        <v>4-5'</v>
      </c>
      <c r="F297" s="49">
        <f>'Landscape Trees '!G155</f>
        <v>52</v>
      </c>
      <c r="G297" s="27">
        <f>'Landscape Trees '!H155</f>
        <v>0</v>
      </c>
      <c r="H297" s="30">
        <f>'Landscape Trees '!I155</f>
        <v>45</v>
      </c>
    </row>
    <row r="298">
      <c r="A298" s="27" t="str">
        <f>'Landscape Trees '!A156</f>
        <v>Nyssa sylvatica 'Green Gable'</v>
      </c>
      <c r="B298" s="27" t="str">
        <f>'Landscape Trees '!C156</f>
        <v>Green Gable Black Gum</v>
      </c>
      <c r="C298" s="27" t="str">
        <f>'Landscape Trees '!D156</f>
        <v>#5</v>
      </c>
      <c r="D298" s="28" t="str">
        <f>'Landscape Trees '!E156</f>
        <v>0.5-0.5"</v>
      </c>
      <c r="E298" s="27" t="str">
        <f>'Landscape Trees '!F156</f>
        <v>3-5'</v>
      </c>
      <c r="F298" s="49">
        <f>'Landscape Trees '!G156</f>
        <v>7</v>
      </c>
      <c r="G298" s="27">
        <f>'Landscape Trees '!H156</f>
        <v>10</v>
      </c>
      <c r="H298" s="30">
        <f>'Landscape Trees '!I156</f>
        <v>50</v>
      </c>
    </row>
    <row r="299">
      <c r="A299" s="27" t="str">
        <f>'Landscape Trees '!A157</f>
        <v>Nyssa sylvatica 'Tupelo Tower'</v>
      </c>
      <c r="B299" s="27" t="str">
        <f>'Landscape Trees '!C157</f>
        <v>Tupelo Tower Black Gum</v>
      </c>
      <c r="C299" s="27" t="str">
        <f>'Landscape Trees '!D157</f>
        <v>#5</v>
      </c>
      <c r="D299" s="28" t="str">
        <f>'Landscape Trees '!E157</f>
        <v>0.5-0.5"</v>
      </c>
      <c r="E299" s="27" t="str">
        <f>'Landscape Trees '!F157</f>
        <v>3-5'</v>
      </c>
      <c r="F299" s="49">
        <f>'Landscape Trees '!G157</f>
        <v>5</v>
      </c>
      <c r="G299" s="27">
        <f>'Landscape Trees '!H157</f>
        <v>0</v>
      </c>
      <c r="H299" s="30">
        <f>'Landscape Trees '!I157</f>
        <v>50</v>
      </c>
    </row>
    <row r="300">
      <c r="A300" s="27" t="str">
        <f>'Landscape Trees '!A158</f>
        <v>Nyssa sylvatica 'Wildfire'</v>
      </c>
      <c r="B300" s="27" t="str">
        <f>'Landscape Trees '!C158</f>
        <v>Wildfire Black Gum</v>
      </c>
      <c r="C300" s="27" t="str">
        <f>'Landscape Trees '!D158</f>
        <v>#5</v>
      </c>
      <c r="D300" s="28" t="str">
        <f>'Landscape Trees '!E158</f>
        <v>0.5-0.5"</v>
      </c>
      <c r="E300" s="27" t="str">
        <f>'Landscape Trees '!F158</f>
        <v>4.5-4.5'</v>
      </c>
      <c r="F300" s="49">
        <f>'Landscape Trees '!G158</f>
        <v>1</v>
      </c>
      <c r="G300" s="27">
        <f>'Landscape Trees '!H158</f>
        <v>0</v>
      </c>
      <c r="H300" s="30">
        <f>'Landscape Trees '!I158</f>
        <v>55</v>
      </c>
    </row>
    <row r="301">
      <c r="A301" s="27" t="str">
        <f>'Landscape Trees '!A159</f>
        <v>Ostrya virginiana</v>
      </c>
      <c r="B301" s="27" t="str">
        <f>'Landscape Trees '!C159</f>
        <v>American Hophornbeam</v>
      </c>
      <c r="C301" s="27" t="str">
        <f>'Landscape Trees '!D159</f>
        <v>#5</v>
      </c>
      <c r="D301" s="28" t="str">
        <f>'Landscape Trees '!E159</f>
        <v>0.125-1"</v>
      </c>
      <c r="E301" s="27" t="str">
        <f>'Landscape Trees '!F159</f>
        <v>2-8'</v>
      </c>
      <c r="F301" s="49">
        <f>'Landscape Trees '!G159</f>
        <v>47</v>
      </c>
      <c r="G301" s="27">
        <f>'Landscape Trees '!H159</f>
        <v>100</v>
      </c>
      <c r="H301" s="30">
        <f>'Landscape Trees '!I159</f>
        <v>40</v>
      </c>
    </row>
    <row r="302">
      <c r="A302" s="27" t="str">
        <f>'Landscape Trees '!A160</f>
        <v>Ostrya virginiana</v>
      </c>
      <c r="B302" s="27" t="str">
        <f>'Landscape Trees '!C160</f>
        <v>American Hophornbeam</v>
      </c>
      <c r="C302" s="27" t="str">
        <f>'Landscape Trees '!D160</f>
        <v>#15</v>
      </c>
      <c r="D302" s="28" t="str">
        <f>'Landscape Trees '!E160</f>
        <v>1-1"</v>
      </c>
      <c r="E302" s="27" t="str">
        <f>'Landscape Trees '!F160</f>
        <v>10-12'</v>
      </c>
      <c r="F302" s="49">
        <f>'Landscape Trees '!G160</f>
        <v>1</v>
      </c>
      <c r="G302" s="27">
        <f>'Landscape Trees '!H160</f>
        <v>15</v>
      </c>
      <c r="H302" s="30">
        <f>'Landscape Trees '!I160</f>
        <v>115</v>
      </c>
    </row>
    <row r="303">
      <c r="A303" s="27" t="str">
        <f>'Landscape Trees '!A161</f>
        <v>Oxydendrum arboreum</v>
      </c>
      <c r="B303" s="27" t="str">
        <f>'Landscape Trees '!C161</f>
        <v>Sourwood</v>
      </c>
      <c r="C303" s="27" t="str">
        <f>'Landscape Trees '!D161</f>
        <v>#5</v>
      </c>
      <c r="D303" s="28" t="str">
        <f>'Landscape Trees '!E161</f>
        <v>Multi</v>
      </c>
      <c r="E303" s="27" t="str">
        <f>'Landscape Trees '!F161</f>
        <v>1-3.5'</v>
      </c>
      <c r="F303" s="27">
        <f>'Landscape Trees '!G161</f>
        <v>36</v>
      </c>
      <c r="G303" s="27">
        <f>'Landscape Trees '!H161</f>
        <v>200</v>
      </c>
      <c r="H303" s="30">
        <f>'Landscape Trees '!I161</f>
        <v>40</v>
      </c>
    </row>
    <row r="304">
      <c r="A304" s="27" t="str">
        <f>'Landscape Trees '!A162</f>
        <v>Oxydendrum arboreum</v>
      </c>
      <c r="B304" s="27" t="str">
        <f>'Landscape Trees '!C162</f>
        <v>Sourwood</v>
      </c>
      <c r="C304" s="27" t="str">
        <f>'Landscape Trees '!D162</f>
        <v>#7</v>
      </c>
      <c r="D304" s="28" t="str">
        <f>'Landscape Trees '!E162</f>
        <v>Multi</v>
      </c>
      <c r="E304" s="27" t="str">
        <f>'Landscape Trees '!F162</f>
        <v>1-2'</v>
      </c>
      <c r="F304" s="49">
        <f>'Landscape Trees '!G162</f>
        <v>0</v>
      </c>
      <c r="G304" s="27">
        <f>'Landscape Trees '!H162</f>
        <v>20</v>
      </c>
      <c r="H304" s="30">
        <f>'Landscape Trees '!I162</f>
        <v>50</v>
      </c>
    </row>
    <row r="305">
      <c r="A305" s="27" t="str">
        <f>'Landscape Trees '!A163</f>
        <v>Parrotia persica</v>
      </c>
      <c r="B305" s="27" t="str">
        <f>'Landscape Trees '!C163</f>
        <v>Persian Parrotia</v>
      </c>
      <c r="C305" s="27" t="str">
        <f>'Landscape Trees '!D163</f>
        <v>#5</v>
      </c>
      <c r="D305" s="28" t="str">
        <f>'Landscape Trees '!E163</f>
        <v>0.25-0.5"</v>
      </c>
      <c r="E305" s="27" t="str">
        <f>'Landscape Trees '!F163</f>
        <v>1-4'</v>
      </c>
      <c r="F305" s="49">
        <f>'Landscape Trees '!G163</f>
        <v>29</v>
      </c>
      <c r="G305" s="27">
        <f>'Landscape Trees '!H163</f>
        <v>0</v>
      </c>
      <c r="H305" s="30">
        <f>'Landscape Trees '!I163</f>
        <v>40</v>
      </c>
    </row>
    <row r="306">
      <c r="A306" s="27" t="str">
        <f>'Landscape Trees '!A164</f>
        <v>Parrotia persica</v>
      </c>
      <c r="B306" s="27" t="str">
        <f>'Landscape Trees '!C164</f>
        <v>Persian Parrotia</v>
      </c>
      <c r="C306" s="27" t="str">
        <f>'Landscape Trees '!D164</f>
        <v>#15</v>
      </c>
      <c r="D306" s="28" t="str">
        <f>'Landscape Trees '!E164</f>
        <v>0.75-1"</v>
      </c>
      <c r="E306" s="27" t="str">
        <f>'Landscape Trees '!F164</f>
        <v>5-7'</v>
      </c>
      <c r="F306" s="49">
        <f>'Landscape Trees '!G164</f>
        <v>5</v>
      </c>
      <c r="G306" s="27">
        <f>'Landscape Trees '!H164</f>
        <v>0</v>
      </c>
      <c r="H306" s="30">
        <f>'Landscape Trees '!I164</f>
        <v>115</v>
      </c>
    </row>
    <row r="307">
      <c r="A307" s="27" t="str">
        <f>'Landscape Trees '!A165</f>
        <v>Parrotia persica</v>
      </c>
      <c r="B307" s="27" t="str">
        <f>'Landscape Trees '!C165</f>
        <v>Persian Parrotia</v>
      </c>
      <c r="C307" s="27" t="str">
        <f>'Landscape Trees '!D165</f>
        <v>#25</v>
      </c>
      <c r="D307" s="28" t="str">
        <f>'Landscape Trees '!E165</f>
        <v>0.75-1"</v>
      </c>
      <c r="E307" s="27" t="str">
        <f>'Landscape Trees '!F165</f>
        <v>7-8'</v>
      </c>
      <c r="F307" s="49">
        <f>'Landscape Trees '!G165</f>
        <v>2</v>
      </c>
      <c r="G307" s="27">
        <f>'Landscape Trees '!H165</f>
        <v>0</v>
      </c>
      <c r="H307" s="30">
        <f>'Landscape Trees '!I165</f>
        <v>140</v>
      </c>
    </row>
    <row r="308">
      <c r="A308" s="27" t="str">
        <f>'Landscape Trees '!A166</f>
        <v>Physocarpus opulifolius</v>
      </c>
      <c r="B308" s="27" t="str">
        <f>'Landscape Trees '!C166</f>
        <v>Eastern Ninebark</v>
      </c>
      <c r="C308" s="27" t="str">
        <f>'Landscape Trees '!D166</f>
        <v>#5</v>
      </c>
      <c r="D308" s="32" t="str">
        <f>'Landscape Trees '!E166</f>
        <v>Multi</v>
      </c>
      <c r="E308" s="27" t="str">
        <f>'Landscape Trees '!F166</f>
        <v>4-5'</v>
      </c>
      <c r="F308" s="49">
        <f>'Landscape Trees '!G166</f>
        <v>11</v>
      </c>
      <c r="G308" s="27">
        <f>'Landscape Trees '!H166</f>
        <v>25</v>
      </c>
      <c r="H308" s="30">
        <f>'Landscape Trees '!I166</f>
        <v>30</v>
      </c>
    </row>
    <row r="309">
      <c r="A309" s="27" t="str">
        <f>'Landscape Trees '!A167</f>
        <v>Picea abies</v>
      </c>
      <c r="B309" s="27" t="str">
        <f>'Landscape Trees '!C167</f>
        <v>Norway Spruce</v>
      </c>
      <c r="C309" s="27" t="str">
        <f>'Landscape Trees '!D167</f>
        <v>#5</v>
      </c>
      <c r="D309" s="28" t="str">
        <f>'Landscape Trees '!E167</f>
        <v>0.5-0.75"</v>
      </c>
      <c r="E309" s="27" t="str">
        <f>'Landscape Trees '!F167</f>
        <v>1-3'</v>
      </c>
      <c r="F309" s="49">
        <f>'Landscape Trees '!G167</f>
        <v>50</v>
      </c>
      <c r="G309" s="27">
        <f>'Landscape Trees '!H167</f>
        <v>0</v>
      </c>
      <c r="H309" s="30">
        <f>'Landscape Trees '!I167</f>
        <v>40</v>
      </c>
    </row>
    <row r="310">
      <c r="A310" s="27" t="str">
        <f>'Landscape Trees '!A168</f>
        <v>Picea omorika</v>
      </c>
      <c r="B310" s="27" t="str">
        <f>'Landscape Trees '!C168</f>
        <v>Serbian Spruce</v>
      </c>
      <c r="C310" s="27" t="str">
        <f>'Landscape Trees '!D168</f>
        <v>#5</v>
      </c>
      <c r="D310" s="28" t="str">
        <f>'Landscape Trees '!E168</f>
        <v>0.5-0.75"</v>
      </c>
      <c r="E310" s="27" t="str">
        <f>'Landscape Trees '!F168</f>
        <v>3-4'</v>
      </c>
      <c r="F310" s="49">
        <f>'Landscape Trees '!G168</f>
        <v>11</v>
      </c>
      <c r="G310" s="27">
        <f>'Landscape Trees '!H168</f>
        <v>0</v>
      </c>
      <c r="H310" s="30">
        <f>'Landscape Trees '!I168</f>
        <v>40</v>
      </c>
    </row>
    <row r="311">
      <c r="A311" s="27" t="str">
        <f>'Landscape Trees '!A169</f>
        <v>Pinus virginiana </v>
      </c>
      <c r="B311" s="27" t="str">
        <f>'Landscape Trees '!C169</f>
        <v>Virginia Pine</v>
      </c>
      <c r="C311" s="27" t="str">
        <f>'Landscape Trees '!D169</f>
        <v>#5</v>
      </c>
      <c r="D311" s="28" t="str">
        <f>'Landscape Trees '!E169</f>
        <v>0-0"</v>
      </c>
      <c r="E311" s="27" t="str">
        <f>'Landscape Trees '!F169</f>
        <v>0-0'</v>
      </c>
      <c r="F311" s="27">
        <f>'Landscape Trees '!G169</f>
        <v>28</v>
      </c>
      <c r="G311" s="27">
        <f>'Landscape Trees '!H169</f>
        <v>12.5</v>
      </c>
      <c r="H311" s="30">
        <f>'Landscape Trees '!I169</f>
        <v>40</v>
      </c>
    </row>
    <row r="312">
      <c r="A312" s="27" t="str">
        <f>'Landscape Trees '!A170</f>
        <v>Pinus virginiana </v>
      </c>
      <c r="B312" s="27" t="str">
        <f>'Landscape Trees '!C170</f>
        <v>Virginia Pine</v>
      </c>
      <c r="C312" s="27" t="str">
        <f>'Landscape Trees '!D170</f>
        <v>#5</v>
      </c>
      <c r="D312" s="28" t="str">
        <f>'Landscape Trees '!E170</f>
        <v>0.25-0.5"</v>
      </c>
      <c r="E312" s="27" t="str">
        <f>'Landscape Trees '!F170</f>
        <v>1-2'</v>
      </c>
      <c r="F312" s="49">
        <f>'Landscape Trees '!G170</f>
        <v>0</v>
      </c>
      <c r="G312" s="27">
        <f>'Landscape Trees '!H170</f>
        <v>12.5</v>
      </c>
      <c r="H312" s="30">
        <f>'Landscape Trees '!I170</f>
        <v>40</v>
      </c>
    </row>
    <row r="313">
      <c r="A313" s="27" t="str">
        <f>'Landscape Trees '!A171</f>
        <v>Plantus occidentalis</v>
      </c>
      <c r="B313" s="27" t="str">
        <f>'Landscape Trees '!C171</f>
        <v>American Sycamore</v>
      </c>
      <c r="C313" s="27" t="str">
        <f>'Landscape Trees '!D171</f>
        <v>#15</v>
      </c>
      <c r="D313" s="28" t="str">
        <f>'Landscape Trees '!E171</f>
        <v>0-1.5"</v>
      </c>
      <c r="E313" s="27" t="str">
        <f>'Landscape Trees '!F171</f>
        <v>0-1'</v>
      </c>
      <c r="F313" s="49">
        <f>'Landscape Trees '!G171</f>
        <v>0</v>
      </c>
      <c r="G313" s="27">
        <f>'Landscape Trees '!H171</f>
        <v>3</v>
      </c>
      <c r="H313" s="30">
        <f>'Landscape Trees '!I171</f>
        <v>120</v>
      </c>
    </row>
    <row r="314">
      <c r="A314" s="27" t="str">
        <f>'Landscape Trees '!A172</f>
        <v>Platanus occidentalis</v>
      </c>
      <c r="B314" s="27" t="str">
        <f>'Landscape Trees '!C172</f>
        <v>American Sycamore</v>
      </c>
      <c r="C314" s="27" t="str">
        <f>'Landscape Trees '!D172</f>
        <v>#5</v>
      </c>
      <c r="D314" s="28" t="str">
        <f>'Landscape Trees '!E172</f>
        <v>0-1.25"</v>
      </c>
      <c r="E314" s="27" t="str">
        <f>'Landscape Trees '!F172</f>
        <v>0-9'</v>
      </c>
      <c r="F314" s="49">
        <f>'Landscape Trees '!G172</f>
        <v>0</v>
      </c>
      <c r="G314" s="27">
        <f>'Landscape Trees '!H172</f>
        <v>320</v>
      </c>
      <c r="H314" s="30">
        <f>'Landscape Trees '!I172</f>
        <v>45</v>
      </c>
    </row>
    <row r="315">
      <c r="A315" s="27" t="str">
        <f>'Landscape Trees '!A173</f>
        <v>Platanus occidentalis</v>
      </c>
      <c r="B315" s="27" t="str">
        <f>'Landscape Trees '!C173</f>
        <v>American Sycamore</v>
      </c>
      <c r="C315" s="27" t="str">
        <f>'Landscape Trees '!D173</f>
        <v>#10</v>
      </c>
      <c r="D315" s="28" t="str">
        <f>'Landscape Trees '!E173</f>
        <v>1-1"</v>
      </c>
      <c r="E315" s="27" t="str">
        <f>'Landscape Trees '!F173</f>
        <v>5-6'</v>
      </c>
      <c r="F315" s="49">
        <f>'Landscape Trees '!G173</f>
        <v>0</v>
      </c>
      <c r="G315" s="27">
        <f>'Landscape Trees '!H173</f>
        <v>20</v>
      </c>
      <c r="H315" s="30">
        <f>'Landscape Trees '!I173</f>
        <v>90</v>
      </c>
    </row>
    <row r="316">
      <c r="A316" s="27" t="str">
        <f>'Landscape Trees '!A174</f>
        <v>Platanus occidentalis</v>
      </c>
      <c r="B316" s="27" t="str">
        <f>'Landscape Trees '!C174</f>
        <v>American Sycamore</v>
      </c>
      <c r="C316" s="27" t="str">
        <f>'Landscape Trees '!D174</f>
        <v>#25</v>
      </c>
      <c r="D316" s="28" t="str">
        <f>'Landscape Trees '!E174</f>
        <v>0-1.5"</v>
      </c>
      <c r="E316" s="27" t="str">
        <f>'Landscape Trees '!F174</f>
        <v>0-1'</v>
      </c>
      <c r="F316" s="49">
        <f>'Landscape Trees '!G174</f>
        <v>0</v>
      </c>
      <c r="G316" s="27">
        <f>'Landscape Trees '!H174</f>
        <v>3</v>
      </c>
      <c r="H316" s="30">
        <f>'Landscape Trees '!I174</f>
        <v>120</v>
      </c>
    </row>
    <row r="317">
      <c r="A317" s="27" t="str">
        <f>'Landscape Trees '!A175</f>
        <v>Platanus x acerifolia 'Bloodgood'</v>
      </c>
      <c r="B317" s="27" t="str">
        <f>'Landscape Trees '!C175</f>
        <v>Bloodgood London Plane Tree</v>
      </c>
      <c r="C317" s="27" t="str">
        <f>'Landscape Trees '!D175</f>
        <v>#5</v>
      </c>
      <c r="D317" s="28" t="str">
        <f>'Landscape Trees '!E175</f>
        <v>0.75-1"</v>
      </c>
      <c r="E317" s="27" t="str">
        <f>'Landscape Trees '!F175</f>
        <v>8-10'</v>
      </c>
      <c r="F317" s="49">
        <f>'Landscape Trees '!G175</f>
        <v>74</v>
      </c>
      <c r="G317" s="27">
        <f>'Landscape Trees '!H175</f>
        <v>0</v>
      </c>
      <c r="H317" s="30">
        <f>'Landscape Trees '!I175</f>
        <v>45</v>
      </c>
    </row>
    <row r="318">
      <c r="A318" s="27" t="str">
        <f>'Landscape Trees '!A176</f>
        <v>Platanus x acerifolia 'Exclamation'</v>
      </c>
      <c r="B318" s="27" t="str">
        <f>'Landscape Trees '!C176</f>
        <v>Exclamation London Plane Tree</v>
      </c>
      <c r="C318" s="27" t="str">
        <f>'Landscape Trees '!D176</f>
        <v>#5</v>
      </c>
      <c r="D318" s="28" t="str">
        <f>'Landscape Trees '!E176</f>
        <v>0.25-0.5"</v>
      </c>
      <c r="E318" s="27" t="str">
        <f>'Landscape Trees '!F176</f>
        <v>3-4'</v>
      </c>
      <c r="F318" s="49">
        <f>'Landscape Trees '!G176</f>
        <v>0</v>
      </c>
      <c r="G318" s="27">
        <f>'Landscape Trees '!H176</f>
        <v>45</v>
      </c>
      <c r="H318" s="30">
        <f>'Landscape Trees '!I176</f>
        <v>40</v>
      </c>
    </row>
    <row r="319">
      <c r="A319" s="27" t="str">
        <f>'Landscape Trees '!A177</f>
        <v>Platanus x acerifolia 'Exclamation'</v>
      </c>
      <c r="B319" s="27" t="str">
        <f>'Landscape Trees '!C177</f>
        <v>Exclamation London Plane Tree</v>
      </c>
      <c r="C319" s="27" t="str">
        <f>'Landscape Trees '!D177</f>
        <v>#15</v>
      </c>
      <c r="D319" s="28" t="str">
        <f>'Landscape Trees '!E177</f>
        <v>1-1.25"</v>
      </c>
      <c r="E319" s="27" t="str">
        <f>'Landscape Trees '!F177</f>
        <v>9-12'</v>
      </c>
      <c r="F319" s="49">
        <f>'Landscape Trees '!G177</f>
        <v>2</v>
      </c>
      <c r="G319" s="27">
        <f>'Landscape Trees '!H177</f>
        <v>20</v>
      </c>
      <c r="H319" s="30">
        <f>'Landscape Trees '!I177</f>
        <v>115</v>
      </c>
    </row>
    <row r="320">
      <c r="A320" s="27" t="str">
        <f>'Landscape Trees '!A178</f>
        <v>Populus tremuloides</v>
      </c>
      <c r="B320" s="27" t="str">
        <f>'Landscape Trees '!C178</f>
        <v>Quaking Aspen</v>
      </c>
      <c r="C320" s="27" t="str">
        <f>'Landscape Trees '!D178</f>
        <v>#15</v>
      </c>
      <c r="D320" s="28" t="str">
        <f>'Landscape Trees '!E178</f>
        <v>1-1'</v>
      </c>
      <c r="E320" s="27" t="str">
        <f>'Landscape Trees '!F178</f>
        <v>7-8'</v>
      </c>
      <c r="F320" s="49">
        <f>'Landscape Trees '!G178</f>
        <v>0</v>
      </c>
      <c r="G320" s="27">
        <f>'Landscape Trees '!H178</f>
        <v>10</v>
      </c>
      <c r="H320" s="30">
        <f>'Landscape Trees '!I178</f>
        <v>115</v>
      </c>
    </row>
    <row r="321">
      <c r="A321" s="27" t="str">
        <f>'Landscape Trees '!A179</f>
        <v>Prunus 'Autumnalis'</v>
      </c>
      <c r="B321" s="27" t="str">
        <f>'Landscape Trees '!C179</f>
        <v>Autumnalis cherry</v>
      </c>
      <c r="C321" s="27" t="str">
        <f>'Landscape Trees '!D179</f>
        <v>#5</v>
      </c>
      <c r="D321" s="28" t="str">
        <f>'Landscape Trees '!E179</f>
        <v>1-1.25"</v>
      </c>
      <c r="E321" s="27" t="str">
        <f>'Landscape Trees '!F179</f>
        <v>11-12'</v>
      </c>
      <c r="F321" s="49">
        <f>'Landscape Trees '!G179</f>
        <v>3</v>
      </c>
      <c r="G321" s="27">
        <f>'Landscape Trees '!H179</f>
        <v>0</v>
      </c>
      <c r="H321" s="30">
        <f>'Landscape Trees '!I179</f>
        <v>40</v>
      </c>
    </row>
    <row r="322">
      <c r="A322" s="27" t="str">
        <f>'Landscape Trees '!A180</f>
        <v>Prunus 'Autumnalis'</v>
      </c>
      <c r="B322" s="27" t="str">
        <f>'Landscape Trees '!C180</f>
        <v>Autumnalis Cherry</v>
      </c>
      <c r="C322" s="27" t="str">
        <f>'Landscape Trees '!D180</f>
        <v>#7</v>
      </c>
      <c r="D322" s="28" t="str">
        <f>'Landscape Trees '!E180</f>
        <v>0.75-1"</v>
      </c>
      <c r="E322" s="27" t="str">
        <f>'Landscape Trees '!F180</f>
        <v>5-6'</v>
      </c>
      <c r="F322" s="49">
        <f>'Landscape Trees '!G180</f>
        <v>0</v>
      </c>
      <c r="G322" s="27">
        <f>'Landscape Trees '!H180</f>
        <v>20</v>
      </c>
      <c r="H322" s="30">
        <f>'Landscape Trees '!I180</f>
        <v>60</v>
      </c>
    </row>
    <row r="323">
      <c r="A323" s="27" t="str">
        <f>'Landscape Trees '!A181</f>
        <v>Prunus 'Autumnalis'</v>
      </c>
      <c r="B323" s="27" t="str">
        <f>'Landscape Trees '!C181</f>
        <v>Autumnalis cherry</v>
      </c>
      <c r="C323" s="27" t="str">
        <f>'Landscape Trees '!D181</f>
        <v>#15</v>
      </c>
      <c r="D323" s="28" t="str">
        <f>'Landscape Trees '!E181</f>
        <v>0-1.5"</v>
      </c>
      <c r="E323" s="27" t="str">
        <f>'Landscape Trees '!F181</f>
        <v>0-11'</v>
      </c>
      <c r="F323" s="49">
        <f>'Landscape Trees '!G181</f>
        <v>0</v>
      </c>
      <c r="G323" s="27">
        <f>'Landscape Trees '!H181</f>
        <v>5</v>
      </c>
      <c r="H323" s="30">
        <f>'Landscape Trees '!I181</f>
        <v>115</v>
      </c>
    </row>
    <row r="324">
      <c r="A324" s="27" t="str">
        <f>'Landscape Trees '!A182</f>
        <v>Prunus 'Okame'</v>
      </c>
      <c r="B324" s="27" t="str">
        <f>'Landscape Trees '!C182</f>
        <v>Okame Cherry</v>
      </c>
      <c r="C324" s="27" t="str">
        <f>'Landscape Trees '!D182</f>
        <v>#5</v>
      </c>
      <c r="D324" s="28" t="str">
        <f>'Landscape Trees '!E182</f>
        <v>0.75-1"</v>
      </c>
      <c r="E324" s="27" t="str">
        <f>'Landscape Trees '!F182</f>
        <v>7-9'</v>
      </c>
      <c r="F324" s="49">
        <f>'Landscape Trees '!G182</f>
        <v>1</v>
      </c>
      <c r="G324" s="27">
        <f>'Landscape Trees '!H182</f>
        <v>0</v>
      </c>
      <c r="H324" s="30">
        <f>'Landscape Trees '!I182</f>
        <v>40</v>
      </c>
    </row>
    <row r="325">
      <c r="A325" s="27" t="str">
        <f>'Landscape Trees '!A183</f>
        <v>Prunus 'Okame'</v>
      </c>
      <c r="B325" s="27" t="str">
        <f>'Landscape Trees '!C183</f>
        <v>Okame Cherry</v>
      </c>
      <c r="C325" s="27" t="str">
        <f>'Landscape Trees '!D183</f>
        <v>#7</v>
      </c>
      <c r="D325" s="28" t="str">
        <f>'Landscape Trees '!E183</f>
        <v>0.75-1"</v>
      </c>
      <c r="E325" s="27" t="str">
        <f>'Landscape Trees '!F183</f>
        <v>6-7'</v>
      </c>
      <c r="F325" s="49">
        <f>'Landscape Trees '!G183</f>
        <v>0</v>
      </c>
      <c r="G325" s="27">
        <f>'Landscape Trees '!H183</f>
        <v>30</v>
      </c>
      <c r="H325" s="30">
        <f>'Landscape Trees '!I183</f>
        <v>60</v>
      </c>
    </row>
    <row r="326">
      <c r="A326" s="27" t="str">
        <f>'Landscape Trees '!A184</f>
        <v>Prunus 'Okame'</v>
      </c>
      <c r="B326" s="27" t="str">
        <f>'Landscape Trees '!C184</f>
        <v>Okame Cherry</v>
      </c>
      <c r="C326" s="27" t="str">
        <f>'Landscape Trees '!D184</f>
        <v>#15</v>
      </c>
      <c r="D326" s="28" t="str">
        <f>'Landscape Trees '!E184</f>
        <v>0-1"</v>
      </c>
      <c r="E326" s="27" t="str">
        <f>'Landscape Trees '!F184</f>
        <v>0-11'</v>
      </c>
      <c r="F326" s="49">
        <f>'Landscape Trees '!G184</f>
        <v>0</v>
      </c>
      <c r="G326" s="27">
        <f>'Landscape Trees '!H184</f>
        <v>10</v>
      </c>
      <c r="H326" s="30">
        <f>'Landscape Trees '!I184</f>
        <v>115</v>
      </c>
    </row>
    <row r="327">
      <c r="A327" s="27" t="str">
        <f>'Landscape Trees '!A185</f>
        <v>Prunus × yedoensis</v>
      </c>
      <c r="B327" s="27" t="str">
        <f>'Landscape Trees '!C185</f>
        <v>Yoshino Cherry</v>
      </c>
      <c r="C327" s="27" t="str">
        <f>'Landscape Trees '!D185</f>
        <v>#15</v>
      </c>
      <c r="D327" s="28" t="str">
        <f>'Landscape Trees '!E185</f>
        <v>0-1.25"</v>
      </c>
      <c r="E327" s="27" t="str">
        <f>'Landscape Trees '!F185</f>
        <v>0-10'</v>
      </c>
      <c r="F327" s="49">
        <f>'Landscape Trees '!G185</f>
        <v>0</v>
      </c>
      <c r="G327" s="27">
        <f>'Landscape Trees '!H185</f>
        <v>10</v>
      </c>
      <c r="H327" s="30">
        <f>'Landscape Trees '!I185</f>
        <v>115</v>
      </c>
    </row>
    <row r="328">
      <c r="A328" s="27" t="str">
        <f>'Landscape Trees '!A186</f>
        <v>Prunus americana</v>
      </c>
      <c r="B328" s="27" t="str">
        <f>'Landscape Trees '!C186</f>
        <v>American Plum</v>
      </c>
      <c r="C328" s="27" t="str">
        <f>'Landscape Trees '!D186</f>
        <v>#5</v>
      </c>
      <c r="D328" s="28" t="str">
        <f>'Landscape Trees '!E186</f>
        <v>0.25-0.75"</v>
      </c>
      <c r="E328" s="27" t="str">
        <f>'Landscape Trees '!F186</f>
        <v>4-7'</v>
      </c>
      <c r="F328" s="49">
        <f>'Landscape Trees '!G186</f>
        <v>16</v>
      </c>
      <c r="G328" s="27">
        <f>'Landscape Trees '!H186</f>
        <v>50</v>
      </c>
      <c r="H328" s="30">
        <f>'Landscape Trees '!I186</f>
        <v>40</v>
      </c>
    </row>
    <row r="329">
      <c r="A329" s="27" t="str">
        <f>'Landscape Trees '!A187</f>
        <v>Prunus cerasifera 'Thundercloud'</v>
      </c>
      <c r="B329" s="27" t="str">
        <f>'Landscape Trees '!C187</f>
        <v>Thundercloud Plum</v>
      </c>
      <c r="C329" s="27" t="str">
        <f>'Landscape Trees '!D187</f>
        <v>#15</v>
      </c>
      <c r="D329" s="28" t="str">
        <f>'Landscape Trees '!E187</f>
        <v>0-1.5"</v>
      </c>
      <c r="E329" s="27" t="str">
        <f>'Landscape Trees '!F187</f>
        <v>0-11'</v>
      </c>
      <c r="F329" s="49">
        <f>'Landscape Trees '!G187</f>
        <v>0</v>
      </c>
      <c r="G329" s="27">
        <f>'Landscape Trees '!H187</f>
        <v>10</v>
      </c>
      <c r="H329" s="30">
        <f>'Landscape Trees '!I187</f>
        <v>115</v>
      </c>
    </row>
    <row r="330">
      <c r="A330" s="27" t="str">
        <f>'Landscape Trees '!A188</f>
        <v>Prunus serotina</v>
      </c>
      <c r="B330" s="27" t="str">
        <f>'Landscape Trees '!C188</f>
        <v>Black Cherry</v>
      </c>
      <c r="C330" s="27" t="str">
        <f>'Landscape Trees '!D188</f>
        <v>#5</v>
      </c>
      <c r="D330" s="28" t="str">
        <f>'Landscape Trees '!E188</f>
        <v>0.5-0.5"</v>
      </c>
      <c r="E330" s="27" t="str">
        <f>'Landscape Trees '!F188</f>
        <v>5-7'</v>
      </c>
      <c r="F330" s="27">
        <f>'Landscape Trees '!G188</f>
        <v>2</v>
      </c>
      <c r="G330" s="27">
        <f>'Landscape Trees '!H188</f>
        <v>25</v>
      </c>
      <c r="H330" s="30">
        <f>'Landscape Trees '!I188</f>
        <v>40</v>
      </c>
    </row>
    <row r="331">
      <c r="A331" s="27" t="str">
        <f>'Landscape Trees '!A189</f>
        <v>Prunus serrulata 'Kwanzan'</v>
      </c>
      <c r="B331" s="27" t="str">
        <f>'Landscape Trees '!C189</f>
        <v>Kwanzan Cherry</v>
      </c>
      <c r="C331" s="27" t="str">
        <f>'Landscape Trees '!D189</f>
        <v>#5</v>
      </c>
      <c r="D331" s="28" t="str">
        <f>'Landscape Trees '!E189</f>
        <v>0.5-1"</v>
      </c>
      <c r="E331" s="27" t="str">
        <f>'Landscape Trees '!F189</f>
        <v>5-7'</v>
      </c>
      <c r="F331" s="49">
        <f>'Landscape Trees '!G189</f>
        <v>5</v>
      </c>
      <c r="G331" s="27">
        <f>'Landscape Trees '!H189</f>
        <v>25</v>
      </c>
      <c r="H331" s="30">
        <f>'Landscape Trees '!I189</f>
        <v>40</v>
      </c>
    </row>
    <row r="332">
      <c r="A332" s="27" t="str">
        <f>'Landscape Trees '!A190</f>
        <v>Prunus serrulata 'Kwanzan'</v>
      </c>
      <c r="B332" s="27" t="str">
        <f>'Landscape Trees '!C190</f>
        <v>Kwanzan Cherry</v>
      </c>
      <c r="C332" s="27" t="str">
        <f>'Landscape Trees '!D190</f>
        <v>#10</v>
      </c>
      <c r="D332" s="28" t="str">
        <f>'Landscape Trees '!E190</f>
        <v>0-1.5"</v>
      </c>
      <c r="E332" s="27" t="str">
        <f>'Landscape Trees '!F190</f>
        <v>0-10'</v>
      </c>
      <c r="F332" s="49">
        <f>'Landscape Trees '!G190</f>
        <v>0</v>
      </c>
      <c r="G332" s="27">
        <f>'Landscape Trees '!H190</f>
        <v>30</v>
      </c>
      <c r="H332" s="30">
        <f>'Landscape Trees '!I190</f>
        <v>100</v>
      </c>
    </row>
    <row r="333">
      <c r="A333" s="27" t="str">
        <f>'Landscape Trees '!A191</f>
        <v>Prunus serrulata 'Kwanzan'</v>
      </c>
      <c r="B333" s="27" t="str">
        <f>'Landscape Trees '!C191</f>
        <v>Kwanzan Cherry</v>
      </c>
      <c r="C333" s="27" t="str">
        <f>'Landscape Trees '!D191</f>
        <v>#15</v>
      </c>
      <c r="D333" s="28" t="str">
        <f>'Landscape Trees '!E191</f>
        <v>1-1"</v>
      </c>
      <c r="E333" s="27" t="str">
        <f>'Landscape Trees '!F191</f>
        <v>8-9'</v>
      </c>
      <c r="F333" s="49">
        <f>'Landscape Trees '!G191</f>
        <v>0</v>
      </c>
      <c r="G333" s="27">
        <f>'Landscape Trees '!H191</f>
        <v>20</v>
      </c>
      <c r="H333" s="30">
        <f>'Landscape Trees '!I191</f>
        <v>115</v>
      </c>
    </row>
    <row r="334">
      <c r="A334" s="27" t="str">
        <f>'Landscape Trees '!A192</f>
        <v>Prunus subhirtella 'Snow Fountains'</v>
      </c>
      <c r="B334" s="27" t="str">
        <f>'Landscape Trees '!C192</f>
        <v>Snow Fountains Cherry</v>
      </c>
      <c r="C334" s="27" t="str">
        <f>'Landscape Trees '!D192</f>
        <v>#15</v>
      </c>
      <c r="D334" s="28" t="str">
        <f>'Landscape Trees '!E192</f>
        <v>1.25-1.25"</v>
      </c>
      <c r="E334" s="27" t="str">
        <f>'Landscape Trees '!F192</f>
        <v>6.5-6.5'</v>
      </c>
      <c r="F334" s="49">
        <f>'Landscape Trees '!G192</f>
        <v>2</v>
      </c>
      <c r="G334" s="27">
        <f>'Landscape Trees '!H192</f>
        <v>15</v>
      </c>
      <c r="H334" s="30">
        <f>'Landscape Trees '!I192</f>
        <v>120</v>
      </c>
    </row>
    <row r="335">
      <c r="A335" s="27" t="str">
        <f>'Landscape Trees '!A193</f>
        <v>Prunus subhirtella 'Snow Goose'</v>
      </c>
      <c r="B335" s="27" t="str">
        <f>'Landscape Trees '!C193</f>
        <v>Snow Goose Cherry</v>
      </c>
      <c r="C335" s="27" t="str">
        <f>'Landscape Trees '!D193</f>
        <v>#25</v>
      </c>
      <c r="D335" s="28" t="str">
        <f>'Landscape Trees '!E193</f>
        <v>1.25-1.25"</v>
      </c>
      <c r="E335" s="27" t="str">
        <f>'Landscape Trees '!F193</f>
        <v>9-10'</v>
      </c>
      <c r="F335" s="49">
        <f>'Landscape Trees '!G193</f>
        <v>1</v>
      </c>
      <c r="G335" s="27">
        <f>'Landscape Trees '!H193</f>
        <v>0</v>
      </c>
      <c r="H335" s="30">
        <f>'Landscape Trees '!I193</f>
        <v>140</v>
      </c>
    </row>
    <row r="336">
      <c r="A336" s="27" t="str">
        <f>'Landscape Trees '!A194</f>
        <v>Prunus subhirtella "Pendula plena rosea"</v>
      </c>
      <c r="B336" s="27" t="str">
        <f>'Landscape Trees '!C194</f>
        <v>Double Pink Weeping Cherry</v>
      </c>
      <c r="C336" s="27" t="str">
        <f>'Landscape Trees '!D194</f>
        <v>#15</v>
      </c>
      <c r="D336" s="28" t="str">
        <f>'Landscape Trees '!E194</f>
        <v>0-1.5"</v>
      </c>
      <c r="E336" s="27" t="str">
        <f>'Landscape Trees '!F194</f>
        <v>0-6.5'</v>
      </c>
      <c r="F336" s="49">
        <f>'Landscape Trees '!G194</f>
        <v>0</v>
      </c>
      <c r="G336" s="27">
        <f>'Landscape Trees '!H194</f>
        <v>15</v>
      </c>
      <c r="H336" s="30">
        <f>'Landscape Trees '!I194</f>
        <v>120</v>
      </c>
    </row>
    <row r="337">
      <c r="A337" s="27" t="str">
        <f>'Landscape Trees '!A195</f>
        <v>Prunus virginiana</v>
      </c>
      <c r="B337" s="27" t="str">
        <f>'Landscape Trees '!C195</f>
        <v>Chokecherry</v>
      </c>
      <c r="C337" s="27" t="str">
        <f>'Landscape Trees '!D195</f>
        <v>#5</v>
      </c>
      <c r="D337" s="32" t="str">
        <f>'Landscape Trees '!E195</f>
        <v>Multi</v>
      </c>
      <c r="E337" s="27" t="str">
        <f>'Landscape Trees '!F195</f>
        <v>1-6.5'</v>
      </c>
      <c r="F337" s="49">
        <f>'Landscape Trees '!G195</f>
        <v>11</v>
      </c>
      <c r="G337" s="27">
        <f>'Landscape Trees '!H195</f>
        <v>5</v>
      </c>
      <c r="H337" s="30">
        <f>'Landscape Trees '!I195</f>
        <v>32</v>
      </c>
    </row>
    <row r="338">
      <c r="A338" s="27" t="str">
        <f>'Landscape Trees '!A196</f>
        <v>Prunus x cistena</v>
      </c>
      <c r="B338" s="27" t="str">
        <f>'Landscape Trees '!C196</f>
        <v>Purple Sand Cherry</v>
      </c>
      <c r="C338" s="27" t="str">
        <f>'Landscape Trees '!D196</f>
        <v>#5</v>
      </c>
      <c r="D338" s="32" t="str">
        <f>'Landscape Trees '!E196</f>
        <v>Multi</v>
      </c>
      <c r="E338" s="27" t="str">
        <f>'Landscape Trees '!F196</f>
        <v>4-5'</v>
      </c>
      <c r="F338" s="49">
        <f>'Landscape Trees '!G196</f>
        <v>2</v>
      </c>
      <c r="G338" s="27">
        <f>'Landscape Trees '!H196</f>
        <v>0</v>
      </c>
      <c r="H338" s="30">
        <f>'Landscape Trees '!I196</f>
        <v>40</v>
      </c>
    </row>
    <row r="339">
      <c r="A339" s="27" t="str">
        <f>'Landscape Trees '!A197</f>
        <v>Quercus 'Kindred Spirit'</v>
      </c>
      <c r="B339" s="27" t="str">
        <f>'Landscape Trees '!C197</f>
        <v>Kindred Spirit Oak</v>
      </c>
      <c r="C339" s="27" t="str">
        <f>'Landscape Trees '!D197</f>
        <v>#7</v>
      </c>
      <c r="D339" s="28" t="str">
        <f>'Landscape Trees '!E197</f>
        <v>0.75-0.5"</v>
      </c>
      <c r="E339" s="27" t="str">
        <f>'Landscape Trees '!F197</f>
        <v>4-5'</v>
      </c>
      <c r="F339" s="49">
        <f>'Landscape Trees '!G197</f>
        <v>8</v>
      </c>
      <c r="G339" s="27">
        <f>'Landscape Trees '!H197</f>
        <v>10</v>
      </c>
      <c r="H339" s="30">
        <f>'Landscape Trees '!I197</f>
        <v>50</v>
      </c>
    </row>
    <row r="340">
      <c r="A340" s="27" t="str">
        <f>'Landscape Trees '!A198</f>
        <v>Quercus alba</v>
      </c>
      <c r="B340" s="27" t="str">
        <f>'Landscape Trees '!C198</f>
        <v>White Oak</v>
      </c>
      <c r="C340" s="27" t="str">
        <f>'Landscape Trees '!D198</f>
        <v>#7</v>
      </c>
      <c r="D340" s="28" t="str">
        <f>'Landscape Trees '!E198</f>
        <v>0.5-0.75"</v>
      </c>
      <c r="E340" s="27" t="str">
        <f>'Landscape Trees '!F198</f>
        <v>3-4'</v>
      </c>
      <c r="F340" s="49">
        <f>'Landscape Trees '!G198</f>
        <v>36</v>
      </c>
      <c r="G340" s="27">
        <f>'Landscape Trees '!H198</f>
        <v>150</v>
      </c>
      <c r="H340" s="30">
        <f>'Landscape Trees '!I198</f>
        <v>55</v>
      </c>
    </row>
    <row r="341">
      <c r="A341" s="27" t="str">
        <f>'Landscape Trees '!A199</f>
        <v>Quercus alba</v>
      </c>
      <c r="B341" s="27" t="str">
        <f>'Landscape Trees '!C199</f>
        <v>White Oak</v>
      </c>
      <c r="C341" s="27" t="str">
        <f>'Landscape Trees '!D199</f>
        <v>#10</v>
      </c>
      <c r="D341" s="28" t="str">
        <f>'Landscape Trees '!E199</f>
        <v>0.25-0.75"</v>
      </c>
      <c r="E341" s="27" t="str">
        <f>'Landscape Trees '!F199</f>
        <v>3-4'</v>
      </c>
      <c r="F341" s="49">
        <f>'Landscape Trees '!G199</f>
        <v>0</v>
      </c>
      <c r="G341" s="27">
        <f>'Landscape Trees '!H199</f>
        <v>30</v>
      </c>
      <c r="H341" s="30">
        <f>'Landscape Trees '!I199</f>
        <v>85</v>
      </c>
    </row>
    <row r="342">
      <c r="A342" s="27" t="str">
        <f>'Landscape Trees '!A200</f>
        <v>Quercus alba</v>
      </c>
      <c r="B342" s="27" t="str">
        <f>'Landscape Trees '!C200</f>
        <v>White Oak</v>
      </c>
      <c r="C342" s="27" t="str">
        <f>'Landscape Trees '!D200</f>
        <v>#15</v>
      </c>
      <c r="D342" s="28" t="str">
        <f>'Landscape Trees '!E200</f>
        <v>1-2"</v>
      </c>
      <c r="E342" s="27" t="str">
        <f>'Landscape Trees '!F200</f>
        <v>7-9'</v>
      </c>
      <c r="F342" s="49">
        <f>'Landscape Trees '!G200</f>
        <v>8</v>
      </c>
      <c r="G342" s="27">
        <f>'Landscape Trees '!H200</f>
        <v>15</v>
      </c>
      <c r="H342" s="30">
        <f>'Landscape Trees '!I200</f>
        <v>140</v>
      </c>
    </row>
    <row r="343">
      <c r="A343" s="27" t="str">
        <f>'Landscape Trees '!A201</f>
        <v>Quercus bicolor</v>
      </c>
      <c r="B343" s="27" t="str">
        <f>'Landscape Trees '!C201</f>
        <v>Swamp White Oak</v>
      </c>
      <c r="C343" s="27" t="str">
        <f>'Landscape Trees '!D201</f>
        <v>#5</v>
      </c>
      <c r="D343" s="28" t="str">
        <f>'Landscape Trees '!E201</f>
        <v>0.25-1"</v>
      </c>
      <c r="E343" s="27" t="str">
        <f>'Landscape Trees '!F201</f>
        <v>2-6'</v>
      </c>
      <c r="F343" s="27">
        <f>'Landscape Trees '!G201</f>
        <v>94</v>
      </c>
      <c r="G343" s="27">
        <f>'Landscape Trees '!H201</f>
        <v>200</v>
      </c>
      <c r="H343" s="30">
        <f>'Landscape Trees '!I201</f>
        <v>40</v>
      </c>
    </row>
    <row r="344">
      <c r="A344" s="27" t="str">
        <f>'Landscape Trees '!A202</f>
        <v>Quercus bicolor</v>
      </c>
      <c r="B344" s="27" t="str">
        <f>'Landscape Trees '!C202</f>
        <v>Swamp White Oak</v>
      </c>
      <c r="C344" s="27" t="str">
        <f>'Landscape Trees '!D202</f>
        <v>#15</v>
      </c>
      <c r="D344" s="28" t="str">
        <f>'Landscape Trees '!E202</f>
        <v>0-1.25"</v>
      </c>
      <c r="E344" s="27" t="str">
        <f>'Landscape Trees '!F202</f>
        <v>0-9'</v>
      </c>
      <c r="F344" s="49">
        <f>'Landscape Trees '!G202</f>
        <v>0</v>
      </c>
      <c r="G344" s="27">
        <f>'Landscape Trees '!H202</f>
        <v>20</v>
      </c>
      <c r="H344" s="30">
        <f>'Landscape Trees '!I202</f>
        <v>115</v>
      </c>
    </row>
    <row r="345">
      <c r="A345" s="27" t="str">
        <f>'Landscape Trees '!A203</f>
        <v>Quercus bicolor</v>
      </c>
      <c r="B345" s="27" t="str">
        <f>'Landscape Trees '!C203</f>
        <v>Swamp White Oak</v>
      </c>
      <c r="C345" s="27" t="str">
        <f>'Landscape Trees '!D203</f>
        <v>#15</v>
      </c>
      <c r="D345" s="28" t="str">
        <f>'Landscape Trees '!E203</f>
        <v>1-1"</v>
      </c>
      <c r="E345" s="27" t="str">
        <f>'Landscape Trees '!F203</f>
        <v>8-9'</v>
      </c>
      <c r="F345" s="49">
        <f>'Landscape Trees '!G203</f>
        <v>0</v>
      </c>
      <c r="G345" s="27">
        <f>'Landscape Trees '!H203</f>
        <v>20</v>
      </c>
      <c r="H345" s="30">
        <f>'Landscape Trees '!I203</f>
        <v>115</v>
      </c>
    </row>
    <row r="346">
      <c r="A346" s="27" t="str">
        <f>'Landscape Trees '!A204</f>
        <v>Quercus bicolor</v>
      </c>
      <c r="B346" s="27" t="str">
        <f>'Landscape Trees '!C204</f>
        <v>Swamp White Oak</v>
      </c>
      <c r="C346" s="27" t="str">
        <f>'Landscape Trees '!D204</f>
        <v>#25</v>
      </c>
      <c r="D346" s="28" t="str">
        <f>'Landscape Trees '!E204</f>
        <v>0-1.25"</v>
      </c>
      <c r="E346" s="27" t="str">
        <f>'Landscape Trees '!F204</f>
        <v>0-9'</v>
      </c>
      <c r="F346" s="49">
        <f>'Landscape Trees '!G204</f>
        <v>0</v>
      </c>
      <c r="G346" s="27">
        <f>'Landscape Trees '!H204</f>
        <v>5</v>
      </c>
      <c r="H346" s="30">
        <f>'Landscape Trees '!I204</f>
        <v>140</v>
      </c>
    </row>
    <row r="347">
      <c r="A347" s="27" t="str">
        <f>'Landscape Trees '!A205</f>
        <v>Quercus coccinea</v>
      </c>
      <c r="B347" s="27" t="str">
        <f>'Landscape Trees '!C205</f>
        <v>Scarlet Oak</v>
      </c>
      <c r="C347" s="27" t="str">
        <f>'Landscape Trees '!D205</f>
        <v>#5</v>
      </c>
      <c r="D347" s="28" t="str">
        <f>'Landscape Trees '!E205</f>
        <v>0-0.75"</v>
      </c>
      <c r="E347" s="27" t="str">
        <f>'Landscape Trees '!F205</f>
        <v>0-6'</v>
      </c>
      <c r="F347" s="49">
        <f>'Landscape Trees '!G205</f>
        <v>0</v>
      </c>
      <c r="G347" s="27">
        <f>'Landscape Trees '!H205</f>
        <v>50</v>
      </c>
      <c r="H347" s="30">
        <f>'Landscape Trees '!I205</f>
        <v>40</v>
      </c>
    </row>
    <row r="348">
      <c r="A348" s="27" t="str">
        <f>'Landscape Trees '!A206</f>
        <v>Quercus coccinea</v>
      </c>
      <c r="B348" s="27" t="str">
        <f>'Landscape Trees '!C206</f>
        <v>Scarlet Oak</v>
      </c>
      <c r="C348" s="27" t="str">
        <f>'Landscape Trees '!D206</f>
        <v>#7</v>
      </c>
      <c r="D348" s="28" t="str">
        <f>'Landscape Trees '!E206</f>
        <v>0.5-0.75"</v>
      </c>
      <c r="E348" s="27" t="str">
        <f>'Landscape Trees '!F206</f>
        <v>4-4'</v>
      </c>
      <c r="F348" s="49">
        <f>'Landscape Trees '!G206</f>
        <v>4</v>
      </c>
      <c r="G348" s="27">
        <f>'Landscape Trees '!H206</f>
        <v>0</v>
      </c>
      <c r="H348" s="30">
        <f>'Landscape Trees '!I206</f>
        <v>55</v>
      </c>
    </row>
    <row r="349">
      <c r="A349" s="27" t="str">
        <f>'Landscape Trees '!A207</f>
        <v>Quercus coccinea</v>
      </c>
      <c r="B349" s="27" t="str">
        <f>'Landscape Trees '!C207</f>
        <v>Scarlet Oak</v>
      </c>
      <c r="C349" s="27" t="str">
        <f>'Landscape Trees '!D207</f>
        <v>#15</v>
      </c>
      <c r="D349" s="28" t="str">
        <f>'Landscape Trees '!E207</f>
        <v>1.25-1.25"</v>
      </c>
      <c r="E349" s="27" t="str">
        <f>'Landscape Trees '!F207</f>
        <v>10-12'</v>
      </c>
      <c r="F349" s="49">
        <f>'Landscape Trees '!G207</f>
        <v>1</v>
      </c>
      <c r="G349" s="27">
        <f>'Landscape Trees '!H207</f>
        <v>10</v>
      </c>
      <c r="H349" s="30">
        <f>'Landscape Trees '!I207</f>
        <v>115</v>
      </c>
    </row>
    <row r="350">
      <c r="A350" s="27" t="str">
        <f>'Landscape Trees '!A208</f>
        <v>Quercus imbricaria</v>
      </c>
      <c r="B350" s="27" t="str">
        <f>'Landscape Trees '!C208</f>
        <v>Shingle Oak</v>
      </c>
      <c r="C350" s="27" t="str">
        <f>'Landscape Trees '!D208</f>
        <v>#5</v>
      </c>
      <c r="D350" s="28" t="str">
        <f>'Landscape Trees '!E208</f>
        <v>0.25-0.5"</v>
      </c>
      <c r="E350" s="27" t="str">
        <f>'Landscape Trees '!F208</f>
        <v>2-4'</v>
      </c>
      <c r="F350" s="49">
        <f>'Landscape Trees '!G208</f>
        <v>3</v>
      </c>
      <c r="G350" s="27">
        <f>'Landscape Trees '!H208</f>
        <v>25</v>
      </c>
      <c r="H350" s="30">
        <f>'Landscape Trees '!I208</f>
        <v>40</v>
      </c>
    </row>
    <row r="351">
      <c r="A351" s="27" t="str">
        <f>'Landscape Trees '!A209</f>
        <v>Quercus lyrata</v>
      </c>
      <c r="B351" s="27" t="str">
        <f>'Landscape Trees '!C209</f>
        <v>Overcup Oak</v>
      </c>
      <c r="C351" s="27" t="str">
        <f>'Landscape Trees '!D209</f>
        <v>#5</v>
      </c>
      <c r="D351" s="28" t="str">
        <f>'Landscape Trees '!E209</f>
        <v>0.25-0.5"</v>
      </c>
      <c r="E351" s="27" t="str">
        <f>'Landscape Trees '!F209</f>
        <v>2-4'</v>
      </c>
      <c r="F351" s="49">
        <f>'Landscape Trees '!G209</f>
        <v>17</v>
      </c>
      <c r="G351" s="27">
        <f>'Landscape Trees '!H209</f>
        <v>0</v>
      </c>
      <c r="H351" s="30">
        <f>'Landscape Trees '!I209</f>
        <v>40</v>
      </c>
    </row>
    <row r="352">
      <c r="A352" s="27" t="str">
        <f>'Landscape Trees '!A210</f>
        <v>Quercus macrocarpa</v>
      </c>
      <c r="B352" s="27" t="str">
        <f>'Landscape Trees '!C210</f>
        <v>Bur Oak</v>
      </c>
      <c r="C352" s="27" t="str">
        <f>'Landscape Trees '!D210</f>
        <v>#5</v>
      </c>
      <c r="D352" s="28" t="str">
        <f>'Landscape Trees '!E210</f>
        <v>0.25-0.5"</v>
      </c>
      <c r="E352" s="27" t="str">
        <f>'Landscape Trees '!F210</f>
        <v>2-4'</v>
      </c>
      <c r="F352" s="49">
        <f>'Landscape Trees '!G210</f>
        <v>155</v>
      </c>
      <c r="G352" s="27">
        <f>'Landscape Trees '!H210</f>
        <v>0</v>
      </c>
      <c r="H352" s="30">
        <f>'Landscape Trees '!I210</f>
        <v>35</v>
      </c>
    </row>
    <row r="353">
      <c r="A353" s="27" t="str">
        <f>'Landscape Trees '!A211</f>
        <v>Quercus macrocarpa</v>
      </c>
      <c r="B353" s="27" t="str">
        <f>'Landscape Trees '!C211</f>
        <v>Bur Oak</v>
      </c>
      <c r="C353" s="27" t="str">
        <f>'Landscape Trees '!D211</f>
        <v>#15</v>
      </c>
      <c r="D353" s="28" t="str">
        <f>'Landscape Trees '!E211</f>
        <v>0.75-1"</v>
      </c>
      <c r="E353" s="27" t="str">
        <f>'Landscape Trees '!F211</f>
        <v>8-10'</v>
      </c>
      <c r="F353" s="49">
        <f>'Landscape Trees '!G211</f>
        <v>1</v>
      </c>
      <c r="G353" s="27">
        <f>'Landscape Trees '!H211</f>
        <v>25</v>
      </c>
      <c r="H353" s="30">
        <f>'Landscape Trees '!I211</f>
        <v>115</v>
      </c>
    </row>
    <row r="354">
      <c r="A354" s="27" t="str">
        <f>'Landscape Trees '!A212</f>
        <v>Quercus muehlenbergii</v>
      </c>
      <c r="B354" s="27" t="str">
        <f>'Landscape Trees '!C212</f>
        <v>Chinkapin Oak</v>
      </c>
      <c r="C354" s="27" t="str">
        <f>'Landscape Trees '!D212</f>
        <v>#15</v>
      </c>
      <c r="D354" s="28" t="str">
        <f>'Landscape Trees '!E212</f>
        <v>1-1"</v>
      </c>
      <c r="E354" s="27" t="str">
        <f>'Landscape Trees '!F212</f>
        <v>7-10'</v>
      </c>
      <c r="F354" s="49">
        <f>'Landscape Trees '!G212</f>
        <v>4</v>
      </c>
      <c r="G354" s="27">
        <f>'Landscape Trees '!H212</f>
        <v>0</v>
      </c>
      <c r="H354" s="30">
        <f>'Landscape Trees '!I212</f>
        <v>115</v>
      </c>
    </row>
    <row r="355">
      <c r="A355" s="27" t="str">
        <f>'Landscape Trees '!A213</f>
        <v>Quercus muehlenbergii</v>
      </c>
      <c r="B355" s="27" t="str">
        <f>'Landscape Trees '!C213</f>
        <v>Chinkapin Oak</v>
      </c>
      <c r="C355" s="27" t="str">
        <f>'Landscape Trees '!D213</f>
        <v>#25</v>
      </c>
      <c r="D355" s="28" t="str">
        <f>'Landscape Trees '!E213</f>
        <v>1-1"</v>
      </c>
      <c r="E355" s="27" t="str">
        <f>'Landscape Trees '!F213</f>
        <v>10-10'</v>
      </c>
      <c r="F355" s="49">
        <f>'Landscape Trees '!G213</f>
        <v>1</v>
      </c>
      <c r="G355" s="27">
        <f>'Landscape Trees '!H213</f>
        <v>0</v>
      </c>
      <c r="H355" s="30">
        <f>'Landscape Trees '!I213</f>
        <v>140</v>
      </c>
    </row>
    <row r="356">
      <c r="A356" s="27" t="str">
        <f>'Landscape Trees '!A214</f>
        <v>Quercus palustris</v>
      </c>
      <c r="B356" s="27" t="str">
        <f>'Landscape Trees '!C214</f>
        <v>Pin Oak</v>
      </c>
      <c r="C356" s="27" t="str">
        <f>'Landscape Trees '!D214</f>
        <v>#5</v>
      </c>
      <c r="D356" s="28" t="str">
        <f>'Landscape Trees '!E214</f>
        <v>0-1"</v>
      </c>
      <c r="E356" s="27" t="str">
        <f>'Landscape Trees '!F214</f>
        <v>0-6'</v>
      </c>
      <c r="F356" s="49">
        <f>'Landscape Trees '!G214</f>
        <v>0</v>
      </c>
      <c r="G356" s="27">
        <f>'Landscape Trees '!H214</f>
        <v>50</v>
      </c>
      <c r="H356" s="30">
        <f>'Landscape Trees '!I214</f>
        <v>40</v>
      </c>
    </row>
    <row r="357">
      <c r="A357" s="27" t="str">
        <f>'Landscape Trees '!A215</f>
        <v>Quercus palustris</v>
      </c>
      <c r="B357" s="27" t="str">
        <f>'Landscape Trees '!C215</f>
        <v>Pin Oak</v>
      </c>
      <c r="C357" s="27" t="str">
        <f>'Landscape Trees '!D215</f>
        <v>#15</v>
      </c>
      <c r="D357" s="28" t="str">
        <f>'Landscape Trees '!E215</f>
        <v>1-1"</v>
      </c>
      <c r="E357" s="27" t="str">
        <f>'Landscape Trees '!F215</f>
        <v>8-9'</v>
      </c>
      <c r="F357" s="49">
        <f>'Landscape Trees '!G215</f>
        <v>0</v>
      </c>
      <c r="G357" s="27">
        <f>'Landscape Trees '!H215</f>
        <v>10</v>
      </c>
      <c r="H357" s="30">
        <f>'Landscape Trees '!I215</f>
        <v>115</v>
      </c>
    </row>
    <row r="358">
      <c r="A358" s="27" t="str">
        <f>'Landscape Trees '!A216</f>
        <v>Quercus palustris</v>
      </c>
      <c r="B358" s="27" t="str">
        <f>'Landscape Trees '!C216</f>
        <v>Pin Oak</v>
      </c>
      <c r="C358" s="27" t="str">
        <f>'Landscape Trees '!D216</f>
        <v>#25</v>
      </c>
      <c r="D358" s="28" t="str">
        <f>'Landscape Trees '!E216</f>
        <v>0-1.25"</v>
      </c>
      <c r="E358" s="27" t="str">
        <f>'Landscape Trees '!F216</f>
        <v>0-8'</v>
      </c>
      <c r="F358" s="49">
        <f>'Landscape Trees '!G216</f>
        <v>0</v>
      </c>
      <c r="G358" s="27">
        <f>'Landscape Trees '!H216</f>
        <v>5</v>
      </c>
      <c r="H358" s="30">
        <f>'Landscape Trees '!I216</f>
        <v>140</v>
      </c>
    </row>
    <row r="359">
      <c r="A359" s="27" t="str">
        <f>'Landscape Trees '!A217</f>
        <v>Quercus palustris 'Green Pillar'</v>
      </c>
      <c r="B359" s="27" t="str">
        <f>'Landscape Trees '!C217</f>
        <v>Green Pillar Pin Oak</v>
      </c>
      <c r="C359" s="27" t="str">
        <f>'Landscape Trees '!D217</f>
        <v>#25</v>
      </c>
      <c r="D359" s="28" t="str">
        <f>'Landscape Trees '!E217</f>
        <v>1-1.25"</v>
      </c>
      <c r="E359" s="27" t="str">
        <f>'Landscape Trees '!F217</f>
        <v>7-9'</v>
      </c>
      <c r="F359" s="49">
        <f>'Landscape Trees '!G217</f>
        <v>7</v>
      </c>
      <c r="G359" s="27">
        <f>'Landscape Trees '!H217</f>
        <v>0</v>
      </c>
      <c r="H359" s="30">
        <f>'Landscape Trees '!I217</f>
        <v>140</v>
      </c>
    </row>
    <row r="360">
      <c r="A360" s="27" t="str">
        <f>'Landscape Trees '!A218</f>
        <v>Quercus phellos</v>
      </c>
      <c r="B360" s="27" t="str">
        <f>'Landscape Trees '!C218</f>
        <v>Willow Oak</v>
      </c>
      <c r="C360" s="27" t="str">
        <f>'Landscape Trees '!D218</f>
        <v>#5</v>
      </c>
      <c r="D360" s="28" t="str">
        <f>'Landscape Trees '!E218</f>
        <v>0.5-0.75"</v>
      </c>
      <c r="E360" s="27" t="str">
        <f>'Landscape Trees '!F218</f>
        <v>2-5'</v>
      </c>
      <c r="F360" s="49">
        <f>'Landscape Trees '!G218</f>
        <v>83</v>
      </c>
      <c r="G360" s="27">
        <f>'Landscape Trees '!H218</f>
        <v>100</v>
      </c>
      <c r="H360" s="30">
        <f>'Landscape Trees '!I218</f>
        <v>40</v>
      </c>
    </row>
    <row r="361">
      <c r="A361" s="27" t="str">
        <f>'Landscape Trees '!A219</f>
        <v>Quercus prinus</v>
      </c>
      <c r="B361" s="27" t="str">
        <f>'Landscape Trees '!C219</f>
        <v>Chestnut Oak</v>
      </c>
      <c r="C361" s="27" t="str">
        <f>'Landscape Trees '!D219</f>
        <v>#5</v>
      </c>
      <c r="D361" s="28" t="str">
        <f>'Landscape Trees '!E219</f>
        <v>0.5-1.25"</v>
      </c>
      <c r="E361" s="27" t="str">
        <f>'Landscape Trees '!F219</f>
        <v>3-8'</v>
      </c>
      <c r="F361" s="49">
        <f>'Landscape Trees '!G219</f>
        <v>60</v>
      </c>
      <c r="G361" s="27">
        <f>'Landscape Trees '!H219</f>
        <v>0</v>
      </c>
      <c r="H361" s="30">
        <f>'Landscape Trees '!I219</f>
        <v>40</v>
      </c>
    </row>
    <row r="362">
      <c r="A362" s="27" t="str">
        <f>'Landscape Trees '!A220</f>
        <v>Quercus rubra</v>
      </c>
      <c r="B362" s="27" t="str">
        <f>'Landscape Trees '!C220</f>
        <v>Red Oak</v>
      </c>
      <c r="C362" s="27" t="str">
        <f>'Landscape Trees '!D220</f>
        <v>#5</v>
      </c>
      <c r="D362" s="28" t="str">
        <f>'Landscape Trees '!E220</f>
        <v>0.5-0.75"</v>
      </c>
      <c r="E362" s="27" t="str">
        <f>'Landscape Trees '!F220</f>
        <v>3-6'</v>
      </c>
      <c r="F362" s="49">
        <f>'Landscape Trees '!G220</f>
        <v>91</v>
      </c>
      <c r="G362" s="27">
        <f>'Landscape Trees '!H220</f>
        <v>50</v>
      </c>
      <c r="H362" s="30">
        <f>'Landscape Trees '!I220</f>
        <v>40</v>
      </c>
    </row>
    <row r="363">
      <c r="A363" s="27" t="str">
        <f>'Landscape Trees '!A221</f>
        <v>Quercus rubra</v>
      </c>
      <c r="B363" s="27" t="str">
        <f>'Landscape Trees '!C221</f>
        <v>Red Oak</v>
      </c>
      <c r="C363" s="27" t="str">
        <f>'Landscape Trees '!D221</f>
        <v>#7</v>
      </c>
      <c r="D363" s="28" t="str">
        <f>'Landscape Trees '!E221</f>
        <v>0.5-0.5"</v>
      </c>
      <c r="E363" s="27" t="str">
        <f>'Landscape Trees '!F221</f>
        <v>5-5'</v>
      </c>
      <c r="F363" s="49">
        <f>'Landscape Trees '!G221</f>
        <v>3</v>
      </c>
      <c r="G363" s="27">
        <f>'Landscape Trees '!H221</f>
        <v>20</v>
      </c>
      <c r="H363" s="30">
        <f>'Landscape Trees '!I221</f>
        <v>55</v>
      </c>
    </row>
    <row r="364">
      <c r="A364" s="27" t="str">
        <f>'Landscape Trees '!A222</f>
        <v>Quercus rubra</v>
      </c>
      <c r="B364" s="27" t="str">
        <f>'Landscape Trees '!C222</f>
        <v>Red Oak</v>
      </c>
      <c r="C364" s="27" t="str">
        <f>'Landscape Trees '!D222</f>
        <v>#15</v>
      </c>
      <c r="D364" s="28" t="str">
        <f>'Landscape Trees '!E222</f>
        <v>0-1.25"</v>
      </c>
      <c r="E364" s="27" t="str">
        <f>'Landscape Trees '!F222</f>
        <v>0-11'</v>
      </c>
      <c r="F364" s="49">
        <f>'Landscape Trees '!G222</f>
        <v>0</v>
      </c>
      <c r="G364" s="27">
        <f>'Landscape Trees '!H222</f>
        <v>10</v>
      </c>
      <c r="H364" s="30">
        <f>'Landscape Trees '!I222</f>
        <v>115</v>
      </c>
    </row>
    <row r="365">
      <c r="A365" s="27" t="str">
        <f>'Landscape Trees '!A223</f>
        <v>Quercus shumardii</v>
      </c>
      <c r="B365" s="27" t="str">
        <f>'Landscape Trees '!C223</f>
        <v>Shumard Oak</v>
      </c>
      <c r="C365" s="27" t="str">
        <f>'Landscape Trees '!D223</f>
        <v>#25</v>
      </c>
      <c r="D365" s="28" t="str">
        <f>'Landscape Trees '!E223</f>
        <v>1-1.75"</v>
      </c>
      <c r="E365" s="27" t="str">
        <f>'Landscape Trees '!F223</f>
        <v>10-12'</v>
      </c>
      <c r="F365" s="49">
        <f>'Landscape Trees '!G223</f>
        <v>6</v>
      </c>
      <c r="G365" s="27">
        <f>'Landscape Trees '!H223</f>
        <v>0</v>
      </c>
      <c r="H365" s="30">
        <f>'Landscape Trees '!I223</f>
        <v>140</v>
      </c>
    </row>
    <row r="366">
      <c r="A366" s="27" t="str">
        <f>'Landscape Trees '!A224</f>
        <v>Quercus velutina</v>
      </c>
      <c r="B366" s="27" t="str">
        <f>'Landscape Trees '!C224</f>
        <v>Black Oak</v>
      </c>
      <c r="C366" s="27" t="str">
        <f>'Landscape Trees '!D224</f>
        <v>#5</v>
      </c>
      <c r="D366" s="28" t="str">
        <f>'Landscape Trees '!E224</f>
        <v>0.5-0.75"</v>
      </c>
      <c r="E366" s="27" t="str">
        <f>'Landscape Trees '!F224</f>
        <v>4-5'</v>
      </c>
      <c r="F366" s="49">
        <f>'Landscape Trees '!G224</f>
        <v>5</v>
      </c>
      <c r="G366" s="27">
        <f>'Landscape Trees '!H224</f>
        <v>40</v>
      </c>
      <c r="H366" s="30">
        <f>'Landscape Trees '!I224</f>
        <v>40</v>
      </c>
    </row>
    <row r="367">
      <c r="A367" s="27" t="str">
        <f>'Landscape Trees '!A225</f>
        <v>Quercus velutina</v>
      </c>
      <c r="B367" s="27" t="str">
        <f>'Landscape Trees '!C225</f>
        <v>Black Oak</v>
      </c>
      <c r="C367" s="27" t="str">
        <f>'Landscape Trees '!D225</f>
        <v>#7</v>
      </c>
      <c r="D367" s="28" t="str">
        <f>'Landscape Trees '!E225</f>
        <v>0.5-0.75"</v>
      </c>
      <c r="E367" s="27" t="str">
        <f>'Landscape Trees '!F225</f>
        <v>4-5'</v>
      </c>
      <c r="F367" s="49">
        <f>'Landscape Trees '!G225</f>
        <v>1</v>
      </c>
      <c r="G367" s="27">
        <f>'Landscape Trees '!H225</f>
        <v>0</v>
      </c>
      <c r="H367" s="30">
        <f>'Landscape Trees '!I225</f>
        <v>55</v>
      </c>
    </row>
    <row r="368">
      <c r="A368" s="27" t="str">
        <f>'Landscape Trees '!A226</f>
        <v>Quercus x warei 'Regal Prince'</v>
      </c>
      <c r="B368" s="27" t="str">
        <f>'Landscape Trees '!C226</f>
        <v>Regal Prince Oak</v>
      </c>
      <c r="C368" s="27" t="str">
        <f>'Landscape Trees '!D226</f>
        <v>#5</v>
      </c>
      <c r="D368" s="28" t="str">
        <f>'Landscape Trees '!E226</f>
        <v>0.5-0.75"</v>
      </c>
      <c r="E368" s="27" t="str">
        <f>'Landscape Trees '!F226</f>
        <v>4-5'</v>
      </c>
      <c r="F368" s="49">
        <f>'Landscape Trees '!G226</f>
        <v>27</v>
      </c>
      <c r="G368" s="27">
        <f>'Landscape Trees '!H226</f>
        <v>0</v>
      </c>
      <c r="H368" s="30">
        <f>'Landscape Trees '!I226</f>
        <v>45</v>
      </c>
    </row>
    <row r="369">
      <c r="A369" s="27" t="str">
        <f>'Landscape Trees '!A227</f>
        <v>Quercus x warei 'Regal Prince'</v>
      </c>
      <c r="B369" s="27" t="str">
        <f>'Landscape Trees '!C227</f>
        <v>Regal Prince Oak</v>
      </c>
      <c r="C369" s="27" t="str">
        <f>'Landscape Trees '!D227</f>
        <v>#7</v>
      </c>
      <c r="D369" s="28" t="str">
        <f>'Landscape Trees '!E227</f>
        <v>0.25-0.5"</v>
      </c>
      <c r="E369" s="27" t="str">
        <f>'Landscape Trees '!F227</f>
        <v>2-3'</v>
      </c>
      <c r="F369" s="49">
        <f>'Landscape Trees '!G227</f>
        <v>0</v>
      </c>
      <c r="G369" s="27">
        <f>'Landscape Trees '!H227</f>
        <v>10</v>
      </c>
      <c r="H369" s="30">
        <f>'Landscape Trees '!I227</f>
        <v>55</v>
      </c>
    </row>
    <row r="370">
      <c r="A370" s="27" t="str">
        <f>'Landscape Trees '!A228</f>
        <v>Quercus x warei 'Regal Prince'</v>
      </c>
      <c r="B370" s="27" t="str">
        <f>'Landscape Trees '!C228</f>
        <v>Regal Prince Oak</v>
      </c>
      <c r="C370" s="27" t="str">
        <f>'Landscape Trees '!D228</f>
        <v>#15</v>
      </c>
      <c r="D370" s="28" t="str">
        <f>'Landscape Trees '!E228</f>
        <v>1-1.5"</v>
      </c>
      <c r="E370" s="27" t="str">
        <f>'Landscape Trees '!F228</f>
        <v>8-11'</v>
      </c>
      <c r="F370" s="49">
        <f>'Landscape Trees '!G228</f>
        <v>1</v>
      </c>
      <c r="G370" s="27">
        <f>'Landscape Trees '!H228</f>
        <v>5</v>
      </c>
      <c r="H370" s="30">
        <f>'Landscape Trees '!I228</f>
        <v>115</v>
      </c>
    </row>
    <row r="371">
      <c r="A371" s="27" t="str">
        <f>'Landscape Trees '!A229</f>
        <v>Quercus x warei 'Regal Prince'</v>
      </c>
      <c r="B371" s="27" t="str">
        <f>'Landscape Trees '!C229</f>
        <v>Regal Prince Oak</v>
      </c>
      <c r="C371" s="27" t="str">
        <f>'Landscape Trees '!D229</f>
        <v>#25</v>
      </c>
      <c r="D371" s="28" t="str">
        <f>'Landscape Trees '!E229</f>
        <v>1-1.5"</v>
      </c>
      <c r="E371" s="27" t="str">
        <f>'Landscape Trees '!F229</f>
        <v>8-11'</v>
      </c>
      <c r="F371" s="49">
        <f>'Landscape Trees '!G229</f>
        <v>5</v>
      </c>
      <c r="G371" s="27">
        <f>'Landscape Trees '!H229</f>
        <v>0</v>
      </c>
      <c r="H371" s="30">
        <f>'Landscape Trees '!I229</f>
        <v>140</v>
      </c>
    </row>
    <row r="372">
      <c r="A372" s="27" t="str">
        <f>'Landscape Trees '!A230</f>
        <v>Rhus aromatica</v>
      </c>
      <c r="B372" s="27" t="str">
        <f>'Landscape Trees '!C230</f>
        <v>Fragrant Sumac</v>
      </c>
      <c r="C372" s="27" t="str">
        <f>'Landscape Trees '!D230</f>
        <v>#5</v>
      </c>
      <c r="D372" s="32" t="str">
        <f>'Landscape Trees '!E230</f>
        <v>Multi</v>
      </c>
      <c r="E372" s="27" t="str">
        <f>'Landscape Trees '!F230</f>
        <v>2-5'</v>
      </c>
      <c r="F372" s="49">
        <f>'Landscape Trees '!G230</f>
        <v>6</v>
      </c>
      <c r="G372" s="27">
        <f>'Landscape Trees '!H230</f>
        <v>50</v>
      </c>
      <c r="H372" s="30">
        <f>'Landscape Trees '!I230</f>
        <v>32</v>
      </c>
    </row>
    <row r="373">
      <c r="A373" s="27" t="str">
        <f>'Landscape Trees '!A231</f>
        <v>Rhus glabra</v>
      </c>
      <c r="B373" s="27" t="str">
        <f>'Landscape Trees '!C231</f>
        <v>Smooth Sumac</v>
      </c>
      <c r="C373" s="27" t="str">
        <f>'Landscape Trees '!D231</f>
        <v>#5</v>
      </c>
      <c r="D373" s="28" t="str">
        <f>'Landscape Trees '!E231</f>
        <v>0-1"</v>
      </c>
      <c r="E373" s="27" t="str">
        <f>'Landscape Trees '!F231</f>
        <v>0-8'</v>
      </c>
      <c r="F373" s="49">
        <f>'Landscape Trees '!G231</f>
        <v>0</v>
      </c>
      <c r="G373" s="27">
        <f>'Landscape Trees '!H231</f>
        <v>50</v>
      </c>
      <c r="H373" s="30">
        <f>'Landscape Trees '!I231</f>
        <v>35</v>
      </c>
    </row>
    <row r="374">
      <c r="A374" s="27" t="str">
        <f>'Landscape Trees '!A232</f>
        <v>Rhus typhina</v>
      </c>
      <c r="B374" s="27" t="str">
        <f>'Landscape Trees '!C232</f>
        <v>Staghorn Sumac</v>
      </c>
      <c r="C374" s="27" t="str">
        <f>'Landscape Trees '!D232</f>
        <v>#5</v>
      </c>
      <c r="D374" s="28" t="str">
        <f>'Landscape Trees '!E232</f>
        <v>1-1.25"</v>
      </c>
      <c r="E374" s="27" t="str">
        <f>'Landscape Trees '!F232</f>
        <v>3-4.5'</v>
      </c>
      <c r="F374" s="49">
        <f>'Landscape Trees '!G232</f>
        <v>1</v>
      </c>
      <c r="G374" s="27">
        <f>'Landscape Trees '!H232</f>
        <v>50</v>
      </c>
      <c r="H374" s="30">
        <f>'Landscape Trees '!I232</f>
        <v>35</v>
      </c>
    </row>
    <row r="375">
      <c r="A375" s="27" t="str">
        <f>'Landscape Trees '!A233</f>
        <v>Ribies </v>
      </c>
      <c r="B375" s="27" t="str">
        <f>'Landscape Trees '!C233</f>
        <v>King Edward Flowering Currant</v>
      </c>
      <c r="C375" s="27" t="str">
        <f>'Landscape Trees '!D233</f>
        <v>#5</v>
      </c>
      <c r="D375" s="28" t="str">
        <f>'Landscape Trees '!E233</f>
        <v>Multi</v>
      </c>
      <c r="E375" s="27" t="str">
        <f>'Landscape Trees '!F233</f>
        <v>1-2.5'</v>
      </c>
      <c r="F375" s="49">
        <f>'Landscape Trees '!G233</f>
        <v>17</v>
      </c>
      <c r="G375" s="27">
        <f>'Landscape Trees '!H233</f>
        <v>0</v>
      </c>
      <c r="H375" s="30">
        <f>'Landscape Trees '!I233</f>
        <v>35</v>
      </c>
    </row>
    <row r="376">
      <c r="A376" s="27" t="str">
        <f>'Landscape Trees '!A234</f>
        <v>Robinia pseudoacacia</v>
      </c>
      <c r="B376" s="27" t="str">
        <f>'Landscape Trees '!C234</f>
        <v>Black Locust</v>
      </c>
      <c r="C376" s="27" t="str">
        <f>'Landscape Trees '!D234</f>
        <v>#5</v>
      </c>
      <c r="D376" s="28" t="str">
        <f>'Landscape Trees '!E234</f>
        <v>0.5-1"</v>
      </c>
      <c r="E376" s="27" t="str">
        <f>'Landscape Trees '!F234</f>
        <v>5-8'</v>
      </c>
      <c r="F376" s="49">
        <f>'Landscape Trees '!G234</f>
        <v>12</v>
      </c>
      <c r="G376" s="27">
        <f>'Landscape Trees '!H234</f>
        <v>0</v>
      </c>
      <c r="H376" s="30">
        <f>'Landscape Trees '!I234</f>
        <v>35</v>
      </c>
    </row>
    <row r="377">
      <c r="A377" s="27" t="str">
        <f>'Landscape Trees '!A235</f>
        <v>Salix babylonica</v>
      </c>
      <c r="B377" s="27" t="str">
        <f>'Landscape Trees '!C235</f>
        <v>Weeping Willow</v>
      </c>
      <c r="C377" s="27" t="str">
        <f>'Landscape Trees '!D235</f>
        <v>#5</v>
      </c>
      <c r="D377" s="28" t="str">
        <f>'Landscape Trees '!E235</f>
        <v>0.25-0.5"</v>
      </c>
      <c r="E377" s="27" t="str">
        <f>'Landscape Trees '!F235</f>
        <v>1-2'</v>
      </c>
      <c r="F377" s="49">
        <f>'Landscape Trees '!G235</f>
        <v>0</v>
      </c>
      <c r="G377" s="27">
        <f>'Landscape Trees '!H235</f>
        <v>100</v>
      </c>
      <c r="H377" s="30">
        <f>'Landscape Trees '!I235</f>
        <v>40</v>
      </c>
    </row>
    <row r="378">
      <c r="A378" s="27" t="str">
        <f>'Landscape Trees '!A236</f>
        <v>Salix babylonica</v>
      </c>
      <c r="B378" s="27" t="str">
        <f>'Landscape Trees '!C236</f>
        <v>Weeping Willow</v>
      </c>
      <c r="C378" s="27" t="str">
        <f>'Landscape Trees '!D236</f>
        <v>#7</v>
      </c>
      <c r="D378" s="28" t="str">
        <f>'Landscape Trees '!E236</f>
        <v>0-1"</v>
      </c>
      <c r="E378" s="27" t="str">
        <f>'Landscape Trees '!F236</f>
        <v>0-9'</v>
      </c>
      <c r="F378" s="49">
        <f>'Landscape Trees '!G236</f>
        <v>0</v>
      </c>
      <c r="G378" s="27">
        <f>'Landscape Trees '!H236</f>
        <v>100</v>
      </c>
      <c r="H378" s="30">
        <f>'Landscape Trees '!I236</f>
        <v>55</v>
      </c>
    </row>
    <row r="379">
      <c r="A379" s="27" t="str">
        <f>'Landscape Trees '!A237</f>
        <v>Stewartia pseudocamellia</v>
      </c>
      <c r="B379" s="27" t="str">
        <f>'Landscape Trees '!C237</f>
        <v>Stewartia</v>
      </c>
      <c r="C379" s="27" t="str">
        <f>'Landscape Trees '!D237</f>
        <v>#5</v>
      </c>
      <c r="D379" s="32" t="str">
        <f>'Landscape Trees '!E237</f>
        <v>Multi</v>
      </c>
      <c r="E379" s="27" t="str">
        <f>'Landscape Trees '!F237</f>
        <v>5-7'</v>
      </c>
      <c r="F379" s="49">
        <f>'Landscape Trees '!G237</f>
        <v>18</v>
      </c>
      <c r="G379" s="27">
        <f>'Landscape Trees '!H237</f>
        <v>0</v>
      </c>
      <c r="H379" s="30">
        <f>'Landscape Trees '!I237</f>
        <v>50</v>
      </c>
    </row>
    <row r="380">
      <c r="A380" s="27" t="str">
        <f>'Landscape Trees '!A238</f>
        <v>Styrax japonicus</v>
      </c>
      <c r="B380" s="27" t="str">
        <f>'Landscape Trees '!C238</f>
        <v>Japanese Snowbell</v>
      </c>
      <c r="C380" s="27" t="str">
        <f>'Landscape Trees '!D238</f>
        <v>#5</v>
      </c>
      <c r="D380" s="32" t="str">
        <f>'Landscape Trees '!E238</f>
        <v>Multi</v>
      </c>
      <c r="E380" s="27" t="str">
        <f>'Landscape Trees '!F238</f>
        <v>5-6'</v>
      </c>
      <c r="F380" s="49">
        <f>'Landscape Trees '!G238</f>
        <v>30</v>
      </c>
      <c r="G380" s="27">
        <f>'Landscape Trees '!H238</f>
        <v>0</v>
      </c>
      <c r="H380" s="30">
        <f>'Landscape Trees '!I238</f>
        <v>40</v>
      </c>
    </row>
    <row r="381">
      <c r="A381" s="27" t="str">
        <f>'Landscape Trees '!A239</f>
        <v>Styrax obassia</v>
      </c>
      <c r="B381" s="27" t="str">
        <f>'Landscape Trees '!C239</f>
        <v>Fragrant Snowbell</v>
      </c>
      <c r="C381" s="27" t="str">
        <f>'Landscape Trees '!D239</f>
        <v>#5</v>
      </c>
      <c r="D381" s="28" t="str">
        <f>'Landscape Trees '!E239</f>
        <v>0.375-0.5"</v>
      </c>
      <c r="E381" s="27" t="str">
        <f>'Landscape Trees '!F239</f>
        <v>2-5'</v>
      </c>
      <c r="F381" s="49">
        <f>'Landscape Trees '!G239</f>
        <v>41</v>
      </c>
      <c r="G381" s="27">
        <f>'Landscape Trees '!H239</f>
        <v>0</v>
      </c>
      <c r="H381" s="30">
        <f>'Landscape Trees '!I239</f>
        <v>45</v>
      </c>
    </row>
    <row r="382">
      <c r="A382" s="27" t="str">
        <f>'Landscape Trees '!A240</f>
        <v>Syringa reticulata 'Ivory Silk'</v>
      </c>
      <c r="B382" s="27" t="str">
        <f>'Landscape Trees '!C240</f>
        <v>Ivory Silk Japanese Tree Lilac</v>
      </c>
      <c r="C382" s="27" t="str">
        <f>'Landscape Trees '!D240</f>
        <v>#5</v>
      </c>
      <c r="D382" s="28" t="str">
        <f>'Landscape Trees '!E240</f>
        <v>0.25-0.5"</v>
      </c>
      <c r="E382" s="27" t="str">
        <f>'Landscape Trees '!F240</f>
        <v>2-4'</v>
      </c>
      <c r="F382" s="49">
        <f>'Landscape Trees '!G240</f>
        <v>12</v>
      </c>
      <c r="G382" s="27">
        <f>'Landscape Trees '!H240</f>
        <v>0</v>
      </c>
      <c r="H382" s="30">
        <f>'Landscape Trees '!I240</f>
        <v>40</v>
      </c>
    </row>
    <row r="383">
      <c r="A383" s="27" t="str">
        <f>'Landscape Trees '!A241</f>
        <v>Syringa reticulata 'Ivory Silk'</v>
      </c>
      <c r="B383" s="27" t="str">
        <f>'Landscape Trees '!C241</f>
        <v>Ivory Silk Japanese Tree Lilac</v>
      </c>
      <c r="C383" s="27" t="str">
        <f>'Landscape Trees '!D241</f>
        <v>#10</v>
      </c>
      <c r="D383" s="28" t="str">
        <f>'Landscape Trees '!E241</f>
        <v>1-1"</v>
      </c>
      <c r="E383" s="27" t="str">
        <f>'Landscape Trees '!F241</f>
        <v>10-10'</v>
      </c>
      <c r="F383" s="49">
        <f>'Landscape Trees '!G241</f>
        <v>5</v>
      </c>
      <c r="G383" s="27">
        <f>'Landscape Trees '!H241</f>
        <v>0</v>
      </c>
      <c r="H383" s="30">
        <f>'Landscape Trees '!I241</f>
        <v>85</v>
      </c>
    </row>
    <row r="384">
      <c r="A384" s="27" t="str">
        <f>'Landscape Trees '!A242</f>
        <v>Syringa reticulata 'Ivory Silk'</v>
      </c>
      <c r="B384" s="27" t="str">
        <f>'Landscape Trees '!C242</f>
        <v>Ivory Silk Japanese Tree Lilac</v>
      </c>
      <c r="C384" s="27" t="str">
        <f>'Landscape Trees '!D242</f>
        <v>#15</v>
      </c>
      <c r="D384" s="28" t="str">
        <f>'Landscape Trees '!E242</f>
        <v>1-1.25"</v>
      </c>
      <c r="E384" s="27" t="str">
        <f>'Landscape Trees '!F242</f>
        <v>6-10'</v>
      </c>
      <c r="F384" s="49">
        <f>'Landscape Trees '!G242</f>
        <v>11</v>
      </c>
      <c r="G384" s="27">
        <f>'Landscape Trees '!H242</f>
        <v>10</v>
      </c>
      <c r="H384" s="30">
        <f>'Landscape Trees '!I242</f>
        <v>115</v>
      </c>
    </row>
    <row r="385">
      <c r="A385" s="27" t="str">
        <f>'Landscape Trees '!A243</f>
        <v>Taxodium distichum</v>
      </c>
      <c r="B385" s="27" t="str">
        <f>'Landscape Trees '!C243</f>
        <v>Bald Cypress</v>
      </c>
      <c r="C385" s="27" t="str">
        <f>'Landscape Trees '!D243</f>
        <v>#5</v>
      </c>
      <c r="D385" s="28" t="str">
        <f>'Landscape Trees '!E243</f>
        <v>0.75-1.5"</v>
      </c>
      <c r="E385" s="27" t="str">
        <f>'Landscape Trees '!F243</f>
        <v>4-7'</v>
      </c>
      <c r="F385" s="49">
        <f>'Landscape Trees '!G243</f>
        <v>89</v>
      </c>
      <c r="G385" s="27">
        <f>'Landscape Trees '!H243</f>
        <v>200</v>
      </c>
      <c r="H385" s="30">
        <f>'Landscape Trees '!I243</f>
        <v>40</v>
      </c>
    </row>
    <row r="386">
      <c r="A386" s="27" t="str">
        <f>'Landscape Trees '!A244</f>
        <v>Taxodium distichum</v>
      </c>
      <c r="B386" s="27" t="str">
        <f>'Landscape Trees '!C244</f>
        <v>Bald Cypress</v>
      </c>
      <c r="C386" s="27" t="str">
        <f>'Landscape Trees '!D244</f>
        <v>#15</v>
      </c>
      <c r="D386" s="28" t="str">
        <f>'Landscape Trees '!E244</f>
        <v>1.25-1.5"</v>
      </c>
      <c r="E386" s="27" t="str">
        <f>'Landscape Trees '!F244</f>
        <v>4-6'</v>
      </c>
      <c r="F386" s="49">
        <f>'Landscape Trees '!G244</f>
        <v>1</v>
      </c>
      <c r="G386" s="27">
        <f>'Landscape Trees '!H244</f>
        <v>0</v>
      </c>
      <c r="H386" s="30">
        <f>'Landscape Trees '!I244</f>
        <v>115</v>
      </c>
    </row>
    <row r="387">
      <c r="A387" s="27" t="str">
        <f>'Landscape Trees '!A245</f>
        <v>Taxodium distichum 'Falling Waters'</v>
      </c>
      <c r="B387" s="27" t="str">
        <f>'Landscape Trees '!C245</f>
        <v>Falling Waters Bald Cypress</v>
      </c>
      <c r="C387" s="27" t="str">
        <f>'Landscape Trees '!D245</f>
        <v>#7</v>
      </c>
      <c r="D387" s="28" t="str">
        <f>'Landscape Trees '!E245</f>
        <v>0.75-1"</v>
      </c>
      <c r="E387" s="27" t="str">
        <f>'Landscape Trees '!F245</f>
        <v>4-5'</v>
      </c>
      <c r="F387" s="49">
        <f>'Landscape Trees '!G245</f>
        <v>6</v>
      </c>
      <c r="G387" s="27">
        <f>'Landscape Trees '!H245</f>
        <v>0</v>
      </c>
      <c r="H387" s="30">
        <f>'Landscape Trees '!I245</f>
        <v>65</v>
      </c>
    </row>
    <row r="388">
      <c r="A388" s="27" t="str">
        <f>'Landscape Trees '!A246</f>
        <v>Taxus × media 'Everlow'</v>
      </c>
      <c r="B388" s="27" t="str">
        <f>'Landscape Trees '!C246</f>
        <v>Everlow Yew</v>
      </c>
      <c r="C388" s="27" t="str">
        <f>'Landscape Trees '!D246</f>
        <v>#5</v>
      </c>
      <c r="D388" s="28" t="str">
        <f>'Landscape Trees '!E246</f>
        <v>Multi</v>
      </c>
      <c r="E388" s="27" t="str">
        <f>'Landscape Trees '!F246</f>
        <v>1-2'</v>
      </c>
      <c r="F388" s="49">
        <f>'Landscape Trees '!G246</f>
        <v>8</v>
      </c>
      <c r="G388" s="27">
        <f>'Landscape Trees '!H246</f>
        <v>0</v>
      </c>
      <c r="H388" s="30">
        <f>'Landscape Trees '!I246</f>
        <v>32</v>
      </c>
    </row>
    <row r="389">
      <c r="A389" s="27" t="str">
        <f>'Landscape Trees '!A247</f>
        <v>Thuja plicata x standishii 'Green Giant'</v>
      </c>
      <c r="B389" s="27" t="str">
        <f>'Landscape Trees '!C247</f>
        <v>Green Giant Arborvitae</v>
      </c>
      <c r="C389" s="27" t="str">
        <f>'Landscape Trees '!D247</f>
        <v>#5</v>
      </c>
      <c r="D389" s="32" t="str">
        <f>'Landscape Trees '!E247</f>
        <v>Multi</v>
      </c>
      <c r="E389" s="27" t="str">
        <f>'Landscape Trees '!F247</f>
        <v>2-4'</v>
      </c>
      <c r="F389" s="49">
        <f>'Landscape Trees '!G247</f>
        <v>80</v>
      </c>
      <c r="G389" s="27">
        <f>'Landscape Trees '!H247</f>
        <v>0</v>
      </c>
      <c r="H389" s="30">
        <f>'Landscape Trees '!I247</f>
        <v>25</v>
      </c>
    </row>
    <row r="390">
      <c r="A390" s="27" t="str">
        <f>'Landscape Trees '!A248</f>
        <v>Tilia cordata</v>
      </c>
      <c r="B390" s="27" t="str">
        <f>'Landscape Trees '!C248</f>
        <v>Littleleaf Linden</v>
      </c>
      <c r="C390" s="27" t="str">
        <f>'Landscape Trees '!D248</f>
        <v>#5</v>
      </c>
      <c r="D390" s="28" t="str">
        <f>'Landscape Trees '!E248</f>
        <v>0.125-0.75"</v>
      </c>
      <c r="E390" s="27" t="str">
        <f>'Landscape Trees '!F248</f>
        <v>1-5'</v>
      </c>
      <c r="F390" s="49">
        <f>'Landscape Trees '!G248</f>
        <v>4</v>
      </c>
      <c r="G390" s="27">
        <f>'Landscape Trees '!H248</f>
        <v>25</v>
      </c>
      <c r="H390" s="30">
        <f>'Landscape Trees '!I248</f>
        <v>40</v>
      </c>
    </row>
    <row r="391">
      <c r="A391" s="27" t="str">
        <f>'Landscape Trees '!A249</f>
        <v>Tilia cordata</v>
      </c>
      <c r="B391" s="27" t="str">
        <f>'Landscape Trees '!C249</f>
        <v>Littleleaf Linden</v>
      </c>
      <c r="C391" s="27" t="str">
        <f>'Landscape Trees '!D249</f>
        <v>#15</v>
      </c>
      <c r="D391" s="28" t="str">
        <f>'Landscape Trees '!E249</f>
        <v>1.5-1.75"</v>
      </c>
      <c r="E391" s="27" t="str">
        <f>'Landscape Trees '!F249</f>
        <v>10-12'</v>
      </c>
      <c r="F391" s="49">
        <f>'Landscape Trees '!G249</f>
        <v>2</v>
      </c>
      <c r="G391" s="27">
        <f>'Landscape Trees '!H249</f>
        <v>0</v>
      </c>
      <c r="H391" s="30">
        <f>'Landscape Trees '!I249</f>
        <v>115</v>
      </c>
    </row>
    <row r="392">
      <c r="A392" s="27" t="str">
        <f>'Landscape Trees '!A250</f>
        <v>Tilia tomentosa</v>
      </c>
      <c r="B392" s="27" t="str">
        <f>'Landscape Trees '!C250</f>
        <v>Silver Linden</v>
      </c>
      <c r="C392" s="27" t="str">
        <f>'Landscape Trees '!D250</f>
        <v>#5</v>
      </c>
      <c r="D392" s="28" t="str">
        <f>'Landscape Trees '!E250</f>
        <v>0.25-0.5"</v>
      </c>
      <c r="E392" s="27" t="str">
        <f>'Landscape Trees '!F250</f>
        <v>3-6'</v>
      </c>
      <c r="F392" s="49">
        <f>'Landscape Trees '!G250</f>
        <v>15</v>
      </c>
      <c r="G392" s="27">
        <f>'Landscape Trees '!H250</f>
        <v>0</v>
      </c>
      <c r="H392" s="30">
        <f>'Landscape Trees '!I250</f>
        <v>40</v>
      </c>
    </row>
    <row r="393">
      <c r="A393" s="27" t="str">
        <f>'Landscape Trees '!A251</f>
        <v>Ulmus 'New Horizon'</v>
      </c>
      <c r="B393" s="27" t="str">
        <f>'Landscape Trees '!C251</f>
        <v>New Horizon Elm</v>
      </c>
      <c r="C393" s="27" t="str">
        <f>'Landscape Trees '!D251</f>
        <v>#15</v>
      </c>
      <c r="D393" s="28" t="str">
        <f>'Landscape Trees '!E251</f>
        <v>1.5-1.5"</v>
      </c>
      <c r="E393" s="27" t="str">
        <f>'Landscape Trees '!F251</f>
        <v>12-12'</v>
      </c>
      <c r="F393" s="49">
        <f>'Landscape Trees '!G251</f>
        <v>2</v>
      </c>
      <c r="G393" s="27">
        <f>'Landscape Trees '!H251</f>
        <v>0</v>
      </c>
      <c r="H393" s="30">
        <f>'Landscape Trees '!I251</f>
        <v>115</v>
      </c>
    </row>
    <row r="394">
      <c r="A394" s="27" t="str">
        <f>'Landscape Trees '!A252</f>
        <v>Ulmus americana 'Princeton'</v>
      </c>
      <c r="B394" s="27" t="str">
        <f>'Landscape Trees '!C252</f>
        <v>Princeton Elm</v>
      </c>
      <c r="C394" s="27" t="str">
        <f>'Landscape Trees '!D252</f>
        <v>#5</v>
      </c>
      <c r="D394" s="28" t="str">
        <f>'Landscape Trees '!E252</f>
        <v>1-1"</v>
      </c>
      <c r="E394" s="27" t="str">
        <f>'Landscape Trees '!F252</f>
        <v>7-8'</v>
      </c>
      <c r="F394" s="49">
        <f>'Landscape Trees '!G252</f>
        <v>1</v>
      </c>
      <c r="G394" s="27">
        <f>'Landscape Trees '!H252</f>
        <v>125</v>
      </c>
      <c r="H394" s="30">
        <f>'Landscape Trees '!I252</f>
        <v>40</v>
      </c>
    </row>
    <row r="395">
      <c r="A395" s="27" t="str">
        <f>'Landscape Trees '!A253</f>
        <v>Ulmus americana 'Princeton'</v>
      </c>
      <c r="B395" s="27" t="str">
        <f>'Landscape Trees '!C253</f>
        <v>Princeton Elm</v>
      </c>
      <c r="C395" s="27" t="str">
        <f>'Landscape Trees '!D253</f>
        <v>#15</v>
      </c>
      <c r="D395" s="28" t="str">
        <f>'Landscape Trees '!E253</f>
        <v>1-1.25"</v>
      </c>
      <c r="E395" s="27" t="str">
        <f>'Landscape Trees '!F253</f>
        <v>9-10'</v>
      </c>
      <c r="F395" s="49">
        <f>'Landscape Trees '!G253</f>
        <v>4</v>
      </c>
      <c r="G395" s="27">
        <f>'Landscape Trees '!H253</f>
        <v>10</v>
      </c>
      <c r="H395" s="30">
        <f>'Landscape Trees '!I253</f>
        <v>115</v>
      </c>
    </row>
    <row r="396">
      <c r="A396" s="27" t="str">
        <f>'Landscape Trees '!A254</f>
        <v>Ulmus americana 'Valley Forge'</v>
      </c>
      <c r="B396" s="27" t="str">
        <f>'Landscape Trees '!C254</f>
        <v>Valley Forge Elm</v>
      </c>
      <c r="C396" s="27" t="str">
        <f>'Landscape Trees '!D254</f>
        <v>#15</v>
      </c>
      <c r="D396" s="28" t="str">
        <f>'Landscape Trees '!E254</f>
        <v>1.25-1.25"</v>
      </c>
      <c r="E396" s="27" t="str">
        <f>'Landscape Trees '!F254</f>
        <v>13-15'</v>
      </c>
      <c r="F396" s="49">
        <f>'Landscape Trees '!G254</f>
        <v>1</v>
      </c>
      <c r="G396" s="27">
        <f>'Landscape Trees '!H254</f>
        <v>5</v>
      </c>
      <c r="H396" s="30">
        <f>'Landscape Trees '!I254</f>
        <v>115</v>
      </c>
    </row>
    <row r="397">
      <c r="A397" s="27" t="str">
        <f>'Landscape Trees '!A255</f>
        <v>Ulmus parvifolia</v>
      </c>
      <c r="B397" s="27" t="str">
        <f>'Landscape Trees '!C255</f>
        <v>Chinese Elm</v>
      </c>
      <c r="C397" s="27" t="str">
        <f>'Landscape Trees '!D255</f>
        <v>#5</v>
      </c>
      <c r="D397" s="28" t="str">
        <f>'Landscape Trees '!E255</f>
        <v>1.25-1.5"</v>
      </c>
      <c r="E397" s="27" t="str">
        <f>'Landscape Trees '!F255</f>
        <v>9-10'</v>
      </c>
      <c r="F397" s="49">
        <f>'Landscape Trees '!G255</f>
        <v>5</v>
      </c>
      <c r="G397" s="27">
        <f>'Landscape Trees '!H255</f>
        <v>0</v>
      </c>
      <c r="H397" s="30">
        <f>'Landscape Trees '!I255</f>
        <v>40</v>
      </c>
    </row>
    <row r="398">
      <c r="A398" s="27" t="str">
        <f>'Landscape Trees '!A256</f>
        <v>Ulmus parvifolia 'Frontier'</v>
      </c>
      <c r="B398" s="27" t="str">
        <f>'Landscape Trees '!C256</f>
        <v>Frontier Chinese Elm</v>
      </c>
      <c r="C398" s="27" t="str">
        <f>'Landscape Trees '!D256</f>
        <v>#5</v>
      </c>
      <c r="D398" s="28" t="str">
        <f>'Landscape Trees '!E256</f>
        <v>0.75-1"</v>
      </c>
      <c r="E398" s="27" t="str">
        <f>'Landscape Trees '!F256</f>
        <v>6-8'</v>
      </c>
      <c r="F398" s="49">
        <f>'Landscape Trees '!G256</f>
        <v>6</v>
      </c>
      <c r="G398" s="27">
        <f>'Landscape Trees '!H256</f>
        <v>0</v>
      </c>
      <c r="H398" s="30">
        <f>'Landscape Trees '!I256</f>
        <v>40</v>
      </c>
    </row>
    <row r="399">
      <c r="A399" s="27" t="str">
        <f>'Landscape Trees '!A257</f>
        <v>Ulmus wilsoniana 'Prospector'</v>
      </c>
      <c r="B399" s="27" t="str">
        <f>'Landscape Trees '!C257</f>
        <v>Prospector Elm</v>
      </c>
      <c r="C399" s="27" t="str">
        <f>'Landscape Trees '!D257</f>
        <v>#15</v>
      </c>
      <c r="D399" s="28" t="str">
        <f>'Landscape Trees '!E257</f>
        <v>1-1.5"</v>
      </c>
      <c r="E399" s="27" t="str">
        <f>'Landscape Trees '!F257</f>
        <v>9-12'</v>
      </c>
      <c r="F399" s="49">
        <f>'Landscape Trees '!G257</f>
        <v>1</v>
      </c>
      <c r="G399" s="27">
        <f>'Landscape Trees '!H257</f>
        <v>0</v>
      </c>
      <c r="H399" s="30">
        <f>'Landscape Trees '!I257</f>
        <v>115</v>
      </c>
    </row>
    <row r="400">
      <c r="A400" s="27" t="str">
        <f>'Landscape Trees '!A258</f>
        <v>Ulmus wilsoniana 'Prospector'</v>
      </c>
      <c r="B400" s="27" t="str">
        <f>'Landscape Trees '!C258</f>
        <v>Prospector Elm</v>
      </c>
      <c r="C400" s="27" t="str">
        <f>'Landscape Trees '!D258</f>
        <v>#25p</v>
      </c>
      <c r="D400" s="28" t="str">
        <f>'Landscape Trees '!E258</f>
        <v>1.5-1.5"</v>
      </c>
      <c r="E400" s="27" t="str">
        <f>'Landscape Trees '!F258</f>
        <v>13-14'</v>
      </c>
      <c r="F400" s="49">
        <f>'Landscape Trees '!G258</f>
        <v>2</v>
      </c>
      <c r="G400" s="27">
        <f>'Landscape Trees '!H258</f>
        <v>0</v>
      </c>
      <c r="H400" s="30">
        <f>'Landscape Trees '!I258</f>
        <v>140</v>
      </c>
    </row>
    <row r="401">
      <c r="A401" s="27" t="str">
        <f>'Landscape Trees '!A259</f>
        <v>Viburnum prunifolium</v>
      </c>
      <c r="B401" s="27" t="str">
        <f>'Landscape Trees '!C259</f>
        <v>Blackhaw Vibrunum</v>
      </c>
      <c r="C401" s="27" t="str">
        <f>'Landscape Trees '!D259</f>
        <v>#5</v>
      </c>
      <c r="D401" s="28" t="str">
        <f>'Landscape Trees '!E259</f>
        <v>0.25-0.5"</v>
      </c>
      <c r="E401" s="27" t="str">
        <f>'Landscape Trees '!F259</f>
        <v>2-4'</v>
      </c>
      <c r="F401" s="27">
        <f>'Landscape Trees '!G259</f>
        <v>7</v>
      </c>
      <c r="G401" s="27">
        <f>'Landscape Trees '!H259</f>
        <v>0</v>
      </c>
      <c r="H401" s="30">
        <f>'Landscape Trees '!I259</f>
        <v>40</v>
      </c>
    </row>
    <row r="402">
      <c r="A402" s="27" t="str">
        <f>'Landscape Trees '!A260</f>
        <v>Viburnum trilobum</v>
      </c>
      <c r="B402" s="27" t="str">
        <f>'Landscape Trees '!C260</f>
        <v>Cranberry Viburnum</v>
      </c>
      <c r="C402" s="27" t="str">
        <f>'Landscape Trees '!D260</f>
        <v>#3</v>
      </c>
      <c r="D402" s="28" t="str">
        <f>'Landscape Trees '!E260</f>
        <v>0-0"</v>
      </c>
      <c r="E402" s="27" t="str">
        <f>'Landscape Trees '!F260</f>
        <v>1-2'</v>
      </c>
      <c r="F402" s="27">
        <f>'Landscape Trees '!G260</f>
        <v>5</v>
      </c>
      <c r="G402" s="27">
        <f>'Landscape Trees '!H260</f>
        <v>0</v>
      </c>
      <c r="H402" s="30">
        <f>'Landscape Trees '!I260</f>
        <v>35</v>
      </c>
    </row>
    <row r="403">
      <c r="A403" s="27" t="str">
        <f>'Landscape Trees '!A261</f>
        <v>X Gordlinia grandiflora</v>
      </c>
      <c r="B403" s="27" t="str">
        <f>'Landscape Trees '!C261</f>
        <v>Gordlinia</v>
      </c>
      <c r="C403" s="27" t="str">
        <f>'Landscape Trees '!D261</f>
        <v>#5</v>
      </c>
      <c r="D403" s="28" t="str">
        <f>'Landscape Trees '!E261</f>
        <v>0-1"</v>
      </c>
      <c r="E403" s="27" t="str">
        <f>'Landscape Trees '!F261</f>
        <v>0-7'</v>
      </c>
      <c r="F403" s="49">
        <f>'Landscape Trees '!G261</f>
        <v>0</v>
      </c>
      <c r="G403" s="27">
        <f>'Landscape Trees '!H261</f>
        <v>50</v>
      </c>
      <c r="H403" s="30">
        <f>'Landscape Trees '!I261</f>
        <v>45</v>
      </c>
    </row>
    <row r="404">
      <c r="A404" s="27" t="str">
        <f>'Landscape Trees '!A262</f>
        <v>Zelkova serrata 'Green Vase'</v>
      </c>
      <c r="B404" s="27" t="str">
        <f>'Landscape Trees '!C262</f>
        <v>Green Vase Zelkova</v>
      </c>
      <c r="C404" s="27" t="str">
        <f>'Landscape Trees '!D262</f>
        <v>#15</v>
      </c>
      <c r="D404" s="28" t="str">
        <f>'Landscape Trees '!E262</f>
        <v>0-1.5"</v>
      </c>
      <c r="E404" s="27" t="str">
        <f>'Landscape Trees '!F262</f>
        <v>0-12'</v>
      </c>
      <c r="F404" s="49">
        <f>'Landscape Trees '!G262</f>
        <v>0</v>
      </c>
      <c r="G404" s="27">
        <f>'Landscape Trees '!H262</f>
        <v>13</v>
      </c>
      <c r="H404" s="30">
        <f>'Landscape Trees '!I262</f>
        <v>115</v>
      </c>
    </row>
    <row r="405">
      <c r="A405" s="27" t="str">
        <f>'Landscape Trees '!A263</f>
        <v>Zelkova serrata 'Musashino'</v>
      </c>
      <c r="B405" s="27" t="str">
        <f>'Landscape Trees '!C263</f>
        <v>Musashino Zelkova</v>
      </c>
      <c r="C405" s="27" t="str">
        <f>'Landscape Trees '!D263</f>
        <v>#15</v>
      </c>
      <c r="D405" s="28" t="str">
        <f>'Landscape Trees '!E263</f>
        <v>1.5-1.5"</v>
      </c>
      <c r="E405" s="27" t="str">
        <f>'Landscape Trees '!F263</f>
        <v>10-11'</v>
      </c>
      <c r="F405" s="49">
        <f>'Landscape Trees '!G263</f>
        <v>1</v>
      </c>
      <c r="G405" s="27">
        <f>'Landscape Trees '!H263</f>
        <v>0</v>
      </c>
      <c r="H405" s="30">
        <f>'Landscape Trees '!I263</f>
        <v>115</v>
      </c>
    </row>
    <row r="406">
      <c r="A406" s="27" t="str">
        <f>'Landscape Trees '!A264</f>
        <v/>
      </c>
      <c r="B406" s="27" t="str">
        <f>'Landscape Trees '!C264</f>
        <v/>
      </c>
      <c r="C406" s="27" t="str">
        <f>'Landscape Trees '!D264</f>
        <v/>
      </c>
      <c r="D406" s="27" t="str">
        <f>'Landscape Trees '!E264</f>
        <v/>
      </c>
      <c r="E406" s="27" t="str">
        <f>'Landscape Trees '!F264</f>
        <v/>
      </c>
      <c r="F406" s="27" t="str">
        <f>'Landscape Trees '!G264</f>
        <v/>
      </c>
      <c r="G406" s="27" t="str">
        <f>'Landscape Trees '!H264</f>
        <v/>
      </c>
      <c r="H406" s="27" t="str">
        <f>'Landscape Trees '!I264</f>
        <v/>
      </c>
    </row>
    <row r="407">
      <c r="A407" s="27" t="str">
        <f>'Landscape Trees '!A265</f>
        <v/>
      </c>
      <c r="B407" s="27" t="str">
        <f>'Landscape Trees '!C265</f>
        <v/>
      </c>
      <c r="C407" s="27" t="str">
        <f>'Landscape Trees '!D265</f>
        <v/>
      </c>
      <c r="D407" s="27" t="str">
        <f>'Landscape Trees '!E265</f>
        <v/>
      </c>
      <c r="E407" s="27" t="str">
        <f>'Landscape Trees '!F265</f>
        <v/>
      </c>
      <c r="F407" s="27" t="str">
        <f>'Landscape Trees '!G265</f>
        <v/>
      </c>
      <c r="G407" s="27" t="str">
        <f>'Landscape Trees '!H265</f>
        <v/>
      </c>
      <c r="H407" s="27" t="str">
        <f>'Landscape Trees '!I265</f>
        <v/>
      </c>
    </row>
    <row r="408">
      <c r="A408" s="27" t="str">
        <f>'Landscape Trees '!A266</f>
        <v/>
      </c>
      <c r="B408" s="27" t="str">
        <f>'Landscape Trees '!C266</f>
        <v/>
      </c>
      <c r="C408" s="27" t="str">
        <f>'Landscape Trees '!D266</f>
        <v/>
      </c>
      <c r="D408" s="27" t="str">
        <f>'Landscape Trees '!E266</f>
        <v/>
      </c>
      <c r="E408" s="27" t="str">
        <f>'Landscape Trees '!F266</f>
        <v/>
      </c>
      <c r="F408" s="27" t="str">
        <f>'Landscape Trees '!G266</f>
        <v/>
      </c>
      <c r="G408" s="27" t="str">
        <f>'Landscape Trees '!H266</f>
        <v/>
      </c>
      <c r="H408" s="27" t="str">
        <f>'Landscape Trees '!I266</f>
        <v/>
      </c>
    </row>
    <row r="409">
      <c r="A409" s="27" t="str">
        <f>'Landscape Trees '!A267</f>
        <v/>
      </c>
      <c r="B409" s="27" t="str">
        <f>'Landscape Trees '!C267</f>
        <v/>
      </c>
      <c r="C409" s="27" t="str">
        <f>'Landscape Trees '!D267</f>
        <v/>
      </c>
      <c r="D409" s="27" t="str">
        <f>'Landscape Trees '!E267</f>
        <v/>
      </c>
      <c r="E409" s="27" t="str">
        <f>'Landscape Trees '!F267</f>
        <v/>
      </c>
      <c r="F409" s="27" t="str">
        <f>'Landscape Trees '!G267</f>
        <v/>
      </c>
      <c r="G409" s="27" t="str">
        <f>'Landscape Trees '!H267</f>
        <v/>
      </c>
      <c r="H409" s="27" t="str">
        <f>'Landscape Trees '!I267</f>
        <v/>
      </c>
    </row>
    <row r="410">
      <c r="A410" s="27" t="str">
        <f>'Landscape Trees '!A268</f>
        <v/>
      </c>
      <c r="B410" s="27" t="str">
        <f>'Landscape Trees '!C268</f>
        <v/>
      </c>
      <c r="C410" s="27" t="str">
        <f>'Landscape Trees '!D268</f>
        <v/>
      </c>
      <c r="D410" s="27" t="str">
        <f>'Landscape Trees '!E268</f>
        <v/>
      </c>
      <c r="E410" s="27" t="str">
        <f>'Landscape Trees '!F268</f>
        <v/>
      </c>
      <c r="F410" s="27" t="str">
        <f>'Landscape Trees '!G268</f>
        <v/>
      </c>
      <c r="G410" s="27" t="str">
        <f>'Landscape Trees '!H268</f>
        <v/>
      </c>
      <c r="H410" s="27" t="str">
        <f>'Landscape Trees '!I268</f>
        <v/>
      </c>
    </row>
    <row r="411">
      <c r="A411" s="27" t="str">
        <f>'Landscape Trees '!A269</f>
        <v/>
      </c>
      <c r="B411" s="27" t="str">
        <f>'Landscape Trees '!C269</f>
        <v/>
      </c>
      <c r="C411" s="27" t="str">
        <f>'Landscape Trees '!D269</f>
        <v/>
      </c>
      <c r="D411" s="27" t="str">
        <f>'Landscape Trees '!E269</f>
        <v/>
      </c>
      <c r="E411" s="27" t="str">
        <f>'Landscape Trees '!F269</f>
        <v/>
      </c>
      <c r="F411" s="27" t="str">
        <f>'Landscape Trees '!G269</f>
        <v/>
      </c>
      <c r="G411" s="27" t="str">
        <f>'Landscape Trees '!H269</f>
        <v/>
      </c>
      <c r="H411" s="27" t="str">
        <f>'Landscape Trees '!I269</f>
        <v/>
      </c>
    </row>
    <row r="412">
      <c r="A412" s="27" t="str">
        <f>'Landscape Trees '!A270</f>
        <v/>
      </c>
      <c r="B412" s="27" t="str">
        <f>'Landscape Trees '!C270</f>
        <v/>
      </c>
      <c r="C412" s="27" t="str">
        <f>'Landscape Trees '!D270</f>
        <v/>
      </c>
      <c r="D412" s="27" t="str">
        <f>'Landscape Trees '!E270</f>
        <v/>
      </c>
      <c r="E412" s="27" t="str">
        <f>'Landscape Trees '!F270</f>
        <v/>
      </c>
      <c r="F412" s="27" t="str">
        <f>'Landscape Trees '!G270</f>
        <v/>
      </c>
      <c r="G412" s="27" t="str">
        <f>'Landscape Trees '!H270</f>
        <v/>
      </c>
      <c r="H412" s="27" t="str">
        <f>'Landscape Trees '!I270</f>
        <v/>
      </c>
    </row>
    <row r="413">
      <c r="A413" s="27" t="str">
        <f>'Landscape Trees '!A271</f>
        <v/>
      </c>
      <c r="B413" s="27" t="str">
        <f>'Landscape Trees '!C271</f>
        <v/>
      </c>
      <c r="C413" s="27" t="str">
        <f>'Landscape Trees '!D271</f>
        <v/>
      </c>
      <c r="D413" s="27" t="str">
        <f>'Landscape Trees '!E271</f>
        <v/>
      </c>
      <c r="E413" s="27" t="str">
        <f>'Landscape Trees '!F271</f>
        <v/>
      </c>
      <c r="F413" s="27" t="str">
        <f>'Landscape Trees '!G271</f>
        <v/>
      </c>
      <c r="G413" s="27" t="str">
        <f>'Landscape Trees '!H271</f>
        <v/>
      </c>
      <c r="H413" s="27" t="str">
        <f>'Landscape Trees '!I271</f>
        <v/>
      </c>
    </row>
    <row r="414">
      <c r="A414" s="27" t="str">
        <f>'Landscape Trees '!A272</f>
        <v/>
      </c>
      <c r="B414" s="27" t="str">
        <f>'Landscape Trees '!C272</f>
        <v/>
      </c>
      <c r="C414" s="27" t="str">
        <f>'Landscape Trees '!D272</f>
        <v/>
      </c>
      <c r="D414" s="27" t="str">
        <f>'Landscape Trees '!E272</f>
        <v/>
      </c>
      <c r="E414" s="27" t="str">
        <f>'Landscape Trees '!F272</f>
        <v/>
      </c>
      <c r="F414" s="27" t="str">
        <f>'Landscape Trees '!G272</f>
        <v/>
      </c>
      <c r="G414" s="27" t="str">
        <f>'Landscape Trees '!H272</f>
        <v/>
      </c>
      <c r="H414" s="27" t="str">
        <f>'Landscape Trees '!I272</f>
        <v/>
      </c>
    </row>
    <row r="415">
      <c r="A415" s="27" t="str">
        <f>'Landscape Trees '!A273</f>
        <v/>
      </c>
      <c r="B415" s="27" t="str">
        <f>'Landscape Trees '!C273</f>
        <v/>
      </c>
      <c r="C415" s="27" t="str">
        <f>'Landscape Trees '!D273</f>
        <v/>
      </c>
      <c r="D415" s="27" t="str">
        <f>'Landscape Trees '!E273</f>
        <v/>
      </c>
      <c r="E415" s="27" t="str">
        <f>'Landscape Trees '!F273</f>
        <v/>
      </c>
      <c r="F415" s="27" t="str">
        <f>'Landscape Trees '!G273</f>
        <v/>
      </c>
      <c r="G415" s="27" t="str">
        <f>'Landscape Trees '!H273</f>
        <v/>
      </c>
      <c r="H415" s="27" t="str">
        <f>'Landscape Trees '!I273</f>
        <v/>
      </c>
    </row>
    <row r="416">
      <c r="A416" s="27" t="str">
        <f>'Landscape Trees '!A274</f>
        <v/>
      </c>
      <c r="B416" s="27" t="str">
        <f>'Landscape Trees '!C274</f>
        <v/>
      </c>
      <c r="C416" s="27" t="str">
        <f>'Landscape Trees '!D274</f>
        <v/>
      </c>
      <c r="D416" s="27" t="str">
        <f>'Landscape Trees '!E274</f>
        <v/>
      </c>
      <c r="E416" s="27" t="str">
        <f>'Landscape Trees '!F274</f>
        <v/>
      </c>
      <c r="F416" s="27" t="str">
        <f>'Landscape Trees '!G274</f>
        <v/>
      </c>
      <c r="G416" s="27" t="str">
        <f>'Landscape Trees '!H274</f>
        <v/>
      </c>
      <c r="H416" s="27" t="str">
        <f>'Landscape Trees '!I274</f>
        <v/>
      </c>
    </row>
    <row r="417">
      <c r="A417" s="27" t="str">
        <f>'Landscape Trees '!A275</f>
        <v/>
      </c>
      <c r="B417" s="27" t="str">
        <f>'Landscape Trees '!C275</f>
        <v/>
      </c>
      <c r="C417" s="27" t="str">
        <f>'Landscape Trees '!D275</f>
        <v/>
      </c>
      <c r="D417" s="27" t="str">
        <f>'Landscape Trees '!E275</f>
        <v/>
      </c>
      <c r="E417" s="27" t="str">
        <f>'Landscape Trees '!F275</f>
        <v/>
      </c>
      <c r="F417" s="27" t="str">
        <f>'Landscape Trees '!G275</f>
        <v/>
      </c>
      <c r="G417" s="27" t="str">
        <f>'Landscape Trees '!H275</f>
        <v/>
      </c>
      <c r="H417" s="27" t="str">
        <f>'Landscape Trees '!I275</f>
        <v/>
      </c>
    </row>
    <row r="418">
      <c r="A418" s="27" t="str">
        <f>'Landscape Trees '!A276</f>
        <v/>
      </c>
      <c r="B418" s="27" t="str">
        <f>'Landscape Trees '!C276</f>
        <v/>
      </c>
      <c r="C418" s="27" t="str">
        <f>'Landscape Trees '!D276</f>
        <v/>
      </c>
      <c r="D418" s="27" t="str">
        <f>'Landscape Trees '!E276</f>
        <v/>
      </c>
      <c r="E418" s="27" t="str">
        <f>'Landscape Trees '!F276</f>
        <v/>
      </c>
      <c r="F418" s="27" t="str">
        <f>'Landscape Trees '!G276</f>
        <v/>
      </c>
      <c r="G418" s="27" t="str">
        <f>'Landscape Trees '!H276</f>
        <v/>
      </c>
      <c r="H418" s="27" t="str">
        <f>'Landscape Trees '!I276</f>
        <v/>
      </c>
    </row>
    <row r="419">
      <c r="A419" s="27" t="str">
        <f>'Landscape Trees '!A277</f>
        <v/>
      </c>
      <c r="B419" s="27" t="str">
        <f>'Landscape Trees '!C277</f>
        <v/>
      </c>
      <c r="C419" s="27" t="str">
        <f>'Landscape Trees '!D277</f>
        <v/>
      </c>
      <c r="D419" s="27" t="str">
        <f>'Landscape Trees '!E277</f>
        <v/>
      </c>
      <c r="E419" s="27" t="str">
        <f>'Landscape Trees '!F277</f>
        <v/>
      </c>
      <c r="F419" s="27" t="str">
        <f>'Landscape Trees '!G277</f>
        <v/>
      </c>
      <c r="G419" s="27" t="str">
        <f>'Landscape Trees '!H277</f>
        <v/>
      </c>
      <c r="H419" s="27" t="str">
        <f>'Landscape Trees '!I277</f>
        <v/>
      </c>
    </row>
    <row r="420">
      <c r="A420" s="27" t="str">
        <f>'Landscape Trees '!A278</f>
        <v/>
      </c>
      <c r="B420" s="27" t="str">
        <f>'Landscape Trees '!C278</f>
        <v/>
      </c>
      <c r="C420" s="27" t="str">
        <f>'Landscape Trees '!D278</f>
        <v/>
      </c>
      <c r="D420" s="27" t="str">
        <f>'Landscape Trees '!E278</f>
        <v/>
      </c>
      <c r="E420" s="27" t="str">
        <f>'Landscape Trees '!F278</f>
        <v/>
      </c>
      <c r="F420" s="27" t="str">
        <f>'Landscape Trees '!G278</f>
        <v/>
      </c>
      <c r="G420" s="27" t="str">
        <f>'Landscape Trees '!H278</f>
        <v/>
      </c>
      <c r="H420" s="27" t="str">
        <f>'Landscape Trees '!I278</f>
        <v/>
      </c>
    </row>
    <row r="421">
      <c r="A421" s="27" t="str">
        <f>'Landscape Trees '!A279</f>
        <v/>
      </c>
      <c r="B421" s="27" t="str">
        <f>'Landscape Trees '!C279</f>
        <v/>
      </c>
      <c r="C421" s="27" t="str">
        <f>'Landscape Trees '!D279</f>
        <v/>
      </c>
      <c r="D421" s="27" t="str">
        <f>'Landscape Trees '!E279</f>
        <v/>
      </c>
      <c r="E421" s="27" t="str">
        <f>'Landscape Trees '!F279</f>
        <v/>
      </c>
      <c r="F421" s="27" t="str">
        <f>'Landscape Trees '!G279</f>
        <v/>
      </c>
      <c r="G421" s="27" t="str">
        <f>'Landscape Trees '!H279</f>
        <v/>
      </c>
      <c r="H421" s="27" t="str">
        <f>'Landscape Trees '!I279</f>
        <v/>
      </c>
    </row>
    <row r="422">
      <c r="A422" s="27" t="str">
        <f>'Landscape Trees '!A280</f>
        <v/>
      </c>
      <c r="B422" s="27" t="str">
        <f>'Landscape Trees '!C280</f>
        <v/>
      </c>
      <c r="C422" s="27" t="str">
        <f>'Landscape Trees '!D280</f>
        <v/>
      </c>
      <c r="D422" s="27" t="str">
        <f>'Landscape Trees '!E280</f>
        <v/>
      </c>
      <c r="E422" s="27" t="str">
        <f>'Landscape Trees '!F280</f>
        <v/>
      </c>
      <c r="F422" s="27" t="str">
        <f>'Landscape Trees '!G280</f>
        <v/>
      </c>
      <c r="G422" s="27" t="str">
        <f>'Landscape Trees '!H280</f>
        <v/>
      </c>
      <c r="H422" s="27" t="str">
        <f>'Landscape Trees '!I280</f>
        <v/>
      </c>
    </row>
    <row r="423">
      <c r="A423" s="27" t="str">
        <f>'Landscape Trees '!A281</f>
        <v/>
      </c>
      <c r="B423" s="27" t="str">
        <f>'Landscape Trees '!C281</f>
        <v/>
      </c>
      <c r="C423" s="27" t="str">
        <f>'Landscape Trees '!D281</f>
        <v/>
      </c>
      <c r="D423" s="27" t="str">
        <f>'Landscape Trees '!E281</f>
        <v/>
      </c>
      <c r="E423" s="27" t="str">
        <f>'Landscape Trees '!F281</f>
        <v/>
      </c>
      <c r="F423" s="27" t="str">
        <f>'Landscape Trees '!G281</f>
        <v/>
      </c>
      <c r="G423" s="27" t="str">
        <f>'Landscape Trees '!H281</f>
        <v/>
      </c>
      <c r="H423" s="27" t="str">
        <f>'Landscape Trees '!I281</f>
        <v/>
      </c>
    </row>
    <row r="424">
      <c r="A424" s="27" t="str">
        <f>'Landscape Trees '!A282</f>
        <v/>
      </c>
      <c r="B424" s="27" t="str">
        <f>'Landscape Trees '!C282</f>
        <v/>
      </c>
      <c r="C424" s="27" t="str">
        <f>'Landscape Trees '!D282</f>
        <v/>
      </c>
      <c r="D424" s="27" t="str">
        <f>'Landscape Trees '!E282</f>
        <v/>
      </c>
      <c r="E424" s="27" t="str">
        <f>'Landscape Trees '!F282</f>
        <v/>
      </c>
      <c r="F424" s="27" t="str">
        <f>'Landscape Trees '!G282</f>
        <v/>
      </c>
      <c r="G424" s="27" t="str">
        <f>'Landscape Trees '!H282</f>
        <v/>
      </c>
      <c r="H424" s="27" t="str">
        <f>'Landscape Trees '!I282</f>
        <v/>
      </c>
    </row>
    <row r="425">
      <c r="A425" s="27" t="str">
        <f>'Landscape Trees '!A283</f>
        <v/>
      </c>
      <c r="B425" s="27" t="str">
        <f>'Landscape Trees '!C283</f>
        <v/>
      </c>
      <c r="C425" s="27" t="str">
        <f>'Landscape Trees '!D283</f>
        <v/>
      </c>
      <c r="D425" s="27" t="str">
        <f>'Landscape Trees '!E283</f>
        <v/>
      </c>
      <c r="E425" s="27" t="str">
        <f>'Landscape Trees '!F283</f>
        <v/>
      </c>
      <c r="F425" s="27" t="str">
        <f>'Landscape Trees '!G283</f>
        <v/>
      </c>
      <c r="G425" s="27" t="str">
        <f>'Landscape Trees '!H283</f>
        <v/>
      </c>
      <c r="H425" s="27" t="str">
        <f>'Landscape Trees '!I283</f>
        <v/>
      </c>
    </row>
    <row r="426">
      <c r="A426" s="27" t="str">
        <f>'Landscape Trees '!A284</f>
        <v/>
      </c>
      <c r="B426" s="27" t="str">
        <f>'Landscape Trees '!C284</f>
        <v/>
      </c>
      <c r="C426" s="27" t="str">
        <f>'Landscape Trees '!D284</f>
        <v/>
      </c>
      <c r="D426" s="27" t="str">
        <f>'Landscape Trees '!E284</f>
        <v/>
      </c>
      <c r="E426" s="27" t="str">
        <f>'Landscape Trees '!F284</f>
        <v/>
      </c>
      <c r="F426" s="27" t="str">
        <f>'Landscape Trees '!G284</f>
        <v/>
      </c>
      <c r="G426" s="27" t="str">
        <f>'Landscape Trees '!H284</f>
        <v/>
      </c>
      <c r="H426" s="27" t="str">
        <f>'Landscape Trees '!I284</f>
        <v/>
      </c>
    </row>
    <row r="427">
      <c r="A427" s="27" t="str">
        <f>'Landscape Trees '!A285</f>
        <v/>
      </c>
      <c r="B427" s="27" t="str">
        <f>'Landscape Trees '!C285</f>
        <v/>
      </c>
      <c r="C427" s="27" t="str">
        <f>'Landscape Trees '!D285</f>
        <v/>
      </c>
      <c r="D427" s="27" t="str">
        <f>'Landscape Trees '!E285</f>
        <v/>
      </c>
      <c r="E427" s="27" t="str">
        <f>'Landscape Trees '!F285</f>
        <v/>
      </c>
      <c r="F427" s="27" t="str">
        <f>'Landscape Trees '!G285</f>
        <v/>
      </c>
      <c r="G427" s="27" t="str">
        <f>'Landscape Trees '!H285</f>
        <v/>
      </c>
      <c r="H427" s="27" t="str">
        <f>'Landscape Trees '!I285</f>
        <v/>
      </c>
    </row>
    <row r="428">
      <c r="A428" s="27" t="str">
        <f>'Landscape Trees '!A286</f>
        <v/>
      </c>
      <c r="B428" s="27" t="str">
        <f>'Landscape Trees '!C286</f>
        <v/>
      </c>
      <c r="C428" s="27" t="str">
        <f>'Landscape Trees '!D286</f>
        <v/>
      </c>
      <c r="D428" s="27" t="str">
        <f>'Landscape Trees '!E286</f>
        <v/>
      </c>
      <c r="E428" s="27" t="str">
        <f>'Landscape Trees '!F286</f>
        <v/>
      </c>
      <c r="F428" s="27" t="str">
        <f>'Landscape Trees '!G286</f>
        <v/>
      </c>
      <c r="G428" s="27" t="str">
        <f>'Landscape Trees '!H286</f>
        <v/>
      </c>
      <c r="H428" s="27" t="str">
        <f>'Landscape Trees '!I286</f>
        <v/>
      </c>
    </row>
    <row r="429">
      <c r="A429" s="27" t="str">
        <f>'Landscape Trees '!A287</f>
        <v/>
      </c>
      <c r="B429" s="27" t="str">
        <f>'Landscape Trees '!C287</f>
        <v/>
      </c>
      <c r="C429" s="27" t="str">
        <f>'Landscape Trees '!D287</f>
        <v/>
      </c>
      <c r="D429" s="27" t="str">
        <f>'Landscape Trees '!E287</f>
        <v/>
      </c>
      <c r="E429" s="27" t="str">
        <f>'Landscape Trees '!F287</f>
        <v/>
      </c>
      <c r="F429" s="27" t="str">
        <f>'Landscape Trees '!G287</f>
        <v/>
      </c>
      <c r="G429" s="27" t="str">
        <f>'Landscape Trees '!H287</f>
        <v/>
      </c>
      <c r="H429" s="27" t="str">
        <f>'Landscape Trees '!I287</f>
        <v/>
      </c>
    </row>
    <row r="430">
      <c r="A430" s="27" t="str">
        <f>'Landscape Trees '!A288</f>
        <v/>
      </c>
      <c r="B430" s="27" t="str">
        <f>'Landscape Trees '!C288</f>
        <v/>
      </c>
      <c r="C430" s="27" t="str">
        <f>'Landscape Trees '!D288</f>
        <v/>
      </c>
      <c r="D430" s="27" t="str">
        <f>'Landscape Trees '!E288</f>
        <v/>
      </c>
      <c r="E430" s="27" t="str">
        <f>'Landscape Trees '!F288</f>
        <v/>
      </c>
      <c r="F430" s="27" t="str">
        <f>'Landscape Trees '!G288</f>
        <v/>
      </c>
      <c r="G430" s="27" t="str">
        <f>'Landscape Trees '!H288</f>
        <v/>
      </c>
      <c r="H430" s="27" t="str">
        <f>'Landscape Trees '!I288</f>
        <v/>
      </c>
    </row>
    <row r="431">
      <c r="A431" s="27" t="str">
        <f>'Landscape Trees '!A289</f>
        <v/>
      </c>
      <c r="B431" s="27" t="str">
        <f>'Landscape Trees '!C289</f>
        <v/>
      </c>
      <c r="C431" s="27" t="str">
        <f>'Landscape Trees '!D289</f>
        <v/>
      </c>
      <c r="D431" s="27" t="str">
        <f>'Landscape Trees '!E289</f>
        <v/>
      </c>
      <c r="E431" s="27" t="str">
        <f>'Landscape Trees '!F289</f>
        <v/>
      </c>
      <c r="F431" s="27" t="str">
        <f>'Landscape Trees '!G289</f>
        <v/>
      </c>
      <c r="G431" s="27" t="str">
        <f>'Landscape Trees '!H289</f>
        <v/>
      </c>
      <c r="H431" s="27" t="str">
        <f>'Landscape Trees '!I289</f>
        <v/>
      </c>
    </row>
    <row r="432">
      <c r="A432" s="27" t="str">
        <f>'Landscape Trees '!A290</f>
        <v/>
      </c>
      <c r="B432" s="27" t="str">
        <f>'Landscape Trees '!C290</f>
        <v/>
      </c>
      <c r="C432" s="27" t="str">
        <f>'Landscape Trees '!D290</f>
        <v/>
      </c>
      <c r="D432" s="27" t="str">
        <f>'Landscape Trees '!E290</f>
        <v/>
      </c>
      <c r="E432" s="27" t="str">
        <f>'Landscape Trees '!F290</f>
        <v/>
      </c>
      <c r="F432" s="27" t="str">
        <f>'Landscape Trees '!G290</f>
        <v/>
      </c>
      <c r="G432" s="27" t="str">
        <f>'Landscape Trees '!H290</f>
        <v/>
      </c>
      <c r="H432" s="27" t="str">
        <f>'Landscape Trees '!I290</f>
        <v/>
      </c>
    </row>
    <row r="433">
      <c r="A433" s="27" t="str">
        <f>'Landscape Trees '!A291</f>
        <v/>
      </c>
      <c r="B433" s="27" t="str">
        <f>'Landscape Trees '!C291</f>
        <v/>
      </c>
      <c r="C433" s="27" t="str">
        <f>'Landscape Trees '!D291</f>
        <v/>
      </c>
      <c r="D433" s="27" t="str">
        <f>'Landscape Trees '!E291</f>
        <v/>
      </c>
      <c r="E433" s="27" t="str">
        <f>'Landscape Trees '!F291</f>
        <v/>
      </c>
      <c r="F433" s="27" t="str">
        <f>'Landscape Trees '!G291</f>
        <v/>
      </c>
      <c r="G433" s="27" t="str">
        <f>'Landscape Trees '!H291</f>
        <v/>
      </c>
      <c r="H433" s="27" t="str">
        <f>'Landscape Trees '!I291</f>
        <v/>
      </c>
    </row>
    <row r="434">
      <c r="A434" s="27" t="str">
        <f>'Landscape Trees '!A292</f>
        <v/>
      </c>
      <c r="B434" s="27" t="str">
        <f>'Landscape Trees '!C292</f>
        <v/>
      </c>
      <c r="C434" s="27" t="str">
        <f>'Landscape Trees '!D292</f>
        <v/>
      </c>
      <c r="D434" s="27" t="str">
        <f>'Landscape Trees '!E292</f>
        <v/>
      </c>
      <c r="E434" s="27" t="str">
        <f>'Landscape Trees '!F292</f>
        <v/>
      </c>
      <c r="F434" s="27" t="str">
        <f>'Landscape Trees '!G292</f>
        <v/>
      </c>
      <c r="G434" s="27" t="str">
        <f>'Landscape Trees '!H292</f>
        <v/>
      </c>
      <c r="H434" s="27" t="str">
        <f>'Landscape Trees '!I292</f>
        <v/>
      </c>
    </row>
    <row r="435">
      <c r="A435" s="27" t="str">
        <f>'Landscape Trees '!A293</f>
        <v/>
      </c>
      <c r="B435" s="27" t="str">
        <f>'Landscape Trees '!C293</f>
        <v/>
      </c>
      <c r="C435" s="27" t="str">
        <f>'Landscape Trees '!D293</f>
        <v/>
      </c>
      <c r="D435" s="27" t="str">
        <f>'Landscape Trees '!E293</f>
        <v/>
      </c>
      <c r="E435" s="27" t="str">
        <f>'Landscape Trees '!F293</f>
        <v/>
      </c>
      <c r="F435" s="27" t="str">
        <f>'Landscape Trees '!G293</f>
        <v/>
      </c>
      <c r="G435" s="27" t="str">
        <f>'Landscape Trees '!H293</f>
        <v/>
      </c>
      <c r="H435" s="27" t="str">
        <f>'Landscape Trees '!I293</f>
        <v/>
      </c>
    </row>
    <row r="436">
      <c r="A436" s="27" t="str">
        <f>'Landscape Trees '!A294</f>
        <v/>
      </c>
      <c r="B436" s="27" t="str">
        <f>'Landscape Trees '!C294</f>
        <v/>
      </c>
      <c r="C436" s="27" t="str">
        <f>'Landscape Trees '!D294</f>
        <v/>
      </c>
      <c r="D436" s="27" t="str">
        <f>'Landscape Trees '!E294</f>
        <v/>
      </c>
      <c r="E436" s="27" t="str">
        <f>'Landscape Trees '!F294</f>
        <v/>
      </c>
      <c r="F436" s="27" t="str">
        <f>'Landscape Trees '!G294</f>
        <v/>
      </c>
      <c r="G436" s="27" t="str">
        <f>'Landscape Trees '!H294</f>
        <v/>
      </c>
      <c r="H436" s="27" t="str">
        <f>'Landscape Trees '!I294</f>
        <v/>
      </c>
    </row>
    <row r="437">
      <c r="A437" s="27" t="str">
        <f>'Landscape Trees '!A295</f>
        <v/>
      </c>
      <c r="B437" s="27" t="str">
        <f>'Landscape Trees '!C295</f>
        <v/>
      </c>
      <c r="C437" s="27" t="str">
        <f>'Landscape Trees '!D295</f>
        <v/>
      </c>
      <c r="D437" s="27" t="str">
        <f>'Landscape Trees '!E295</f>
        <v/>
      </c>
      <c r="E437" s="27" t="str">
        <f>'Landscape Trees '!F295</f>
        <v/>
      </c>
      <c r="F437" s="27" t="str">
        <f>'Landscape Trees '!G295</f>
        <v/>
      </c>
      <c r="G437" s="27" t="str">
        <f>'Landscape Trees '!H295</f>
        <v/>
      </c>
      <c r="H437" s="27" t="str">
        <f>'Landscape Trees '!I295</f>
        <v/>
      </c>
    </row>
    <row r="438">
      <c r="A438" s="27" t="str">
        <f>'Landscape Trees '!A296</f>
        <v/>
      </c>
      <c r="B438" s="27" t="str">
        <f>'Landscape Trees '!C296</f>
        <v/>
      </c>
      <c r="C438" s="27" t="str">
        <f>'Landscape Trees '!D296</f>
        <v/>
      </c>
      <c r="D438" s="27" t="str">
        <f>'Landscape Trees '!E296</f>
        <v/>
      </c>
      <c r="E438" s="27" t="str">
        <f>'Landscape Trees '!F296</f>
        <v/>
      </c>
      <c r="F438" s="27" t="str">
        <f>'Landscape Trees '!G296</f>
        <v/>
      </c>
      <c r="G438" s="27" t="str">
        <f>'Landscape Trees '!H296</f>
        <v/>
      </c>
      <c r="H438" s="27" t="str">
        <f>'Landscape Trees '!I296</f>
        <v/>
      </c>
    </row>
    <row r="439">
      <c r="A439" s="27" t="str">
        <f>'Landscape Trees '!A297</f>
        <v/>
      </c>
      <c r="B439" s="27" t="str">
        <f>'Landscape Trees '!C297</f>
        <v/>
      </c>
      <c r="C439" s="27" t="str">
        <f>'Landscape Trees '!D297</f>
        <v/>
      </c>
      <c r="D439" s="27" t="str">
        <f>'Landscape Trees '!E297</f>
        <v/>
      </c>
      <c r="E439" s="27" t="str">
        <f>'Landscape Trees '!F297</f>
        <v/>
      </c>
      <c r="F439" s="27" t="str">
        <f>'Landscape Trees '!G297</f>
        <v/>
      </c>
      <c r="G439" s="27" t="str">
        <f>'Landscape Trees '!H297</f>
        <v/>
      </c>
      <c r="H439" s="27" t="str">
        <f>'Landscape Trees '!I297</f>
        <v/>
      </c>
    </row>
    <row r="440">
      <c r="A440" s="27" t="str">
        <f>'Landscape Trees '!A298</f>
        <v/>
      </c>
      <c r="B440" s="27" t="str">
        <f>'Landscape Trees '!C298</f>
        <v/>
      </c>
      <c r="C440" s="27" t="str">
        <f>'Landscape Trees '!D298</f>
        <v/>
      </c>
      <c r="D440" s="27" t="str">
        <f>'Landscape Trees '!E298</f>
        <v/>
      </c>
      <c r="E440" s="27" t="str">
        <f>'Landscape Trees '!F298</f>
        <v/>
      </c>
      <c r="F440" s="27" t="str">
        <f>'Landscape Trees '!G298</f>
        <v/>
      </c>
      <c r="G440" s="27" t="str">
        <f>'Landscape Trees '!H298</f>
        <v/>
      </c>
      <c r="H440" s="27" t="str">
        <f>'Landscape Trees '!I298</f>
        <v/>
      </c>
    </row>
    <row r="441">
      <c r="A441" s="27" t="str">
        <f>'Landscape Trees '!A299</f>
        <v/>
      </c>
      <c r="B441" s="27" t="str">
        <f>'Landscape Trees '!C299</f>
        <v/>
      </c>
      <c r="C441" s="27" t="str">
        <f>'Landscape Trees '!D299</f>
        <v/>
      </c>
      <c r="D441" s="27" t="str">
        <f>'Landscape Trees '!E299</f>
        <v/>
      </c>
      <c r="E441" s="27" t="str">
        <f>'Landscape Trees '!F299</f>
        <v/>
      </c>
      <c r="F441" s="27" t="str">
        <f>'Landscape Trees '!G299</f>
        <v/>
      </c>
      <c r="G441" s="27" t="str">
        <f>'Landscape Trees '!H299</f>
        <v/>
      </c>
      <c r="H441" s="27" t="str">
        <f>'Landscape Trees '!I299</f>
        <v/>
      </c>
    </row>
    <row r="442">
      <c r="A442" s="27" t="str">
        <f>'Landscape Trees '!A300</f>
        <v/>
      </c>
      <c r="B442" s="27" t="str">
        <f>'Landscape Trees '!C300</f>
        <v/>
      </c>
      <c r="C442" s="27" t="str">
        <f>'Landscape Trees '!D300</f>
        <v/>
      </c>
      <c r="D442" s="27" t="str">
        <f>'Landscape Trees '!E300</f>
        <v/>
      </c>
      <c r="E442" s="27" t="str">
        <f>'Landscape Trees '!F300</f>
        <v/>
      </c>
      <c r="F442" s="27" t="str">
        <f>'Landscape Trees '!G300</f>
        <v/>
      </c>
      <c r="G442" s="27" t="str">
        <f>'Landscape Trees '!H300</f>
        <v/>
      </c>
      <c r="H442" s="27" t="str">
        <f>'Landscape Trees '!I300</f>
        <v/>
      </c>
    </row>
    <row r="443">
      <c r="A443" s="27" t="str">
        <f>'Landscape Trees '!A301</f>
        <v/>
      </c>
      <c r="B443" s="27" t="str">
        <f>'Landscape Trees '!C301</f>
        <v/>
      </c>
      <c r="C443" s="27" t="str">
        <f>'Landscape Trees '!D301</f>
        <v/>
      </c>
      <c r="D443" s="27" t="str">
        <f>'Landscape Trees '!E301</f>
        <v/>
      </c>
      <c r="E443" s="27" t="str">
        <f>'Landscape Trees '!F301</f>
        <v/>
      </c>
      <c r="F443" s="27" t="str">
        <f>'Landscape Trees '!G301</f>
        <v/>
      </c>
      <c r="G443" s="27" t="str">
        <f>'Landscape Trees '!H301</f>
        <v/>
      </c>
      <c r="H443" s="27" t="str">
        <f>'Landscape Trees '!I301</f>
        <v/>
      </c>
    </row>
    <row r="444">
      <c r="A444" s="27" t="str">
        <f>'Landscape Trees '!A302</f>
        <v/>
      </c>
      <c r="B444" s="27" t="str">
        <f>'Landscape Trees '!C302</f>
        <v/>
      </c>
      <c r="C444" s="27" t="str">
        <f>'Landscape Trees '!D302</f>
        <v/>
      </c>
      <c r="D444" s="27" t="str">
        <f>'Landscape Trees '!E302</f>
        <v/>
      </c>
      <c r="E444" s="27" t="str">
        <f>'Landscape Trees '!F302</f>
        <v/>
      </c>
      <c r="F444" s="27" t="str">
        <f>'Landscape Trees '!G302</f>
        <v/>
      </c>
      <c r="G444" s="27" t="str">
        <f>'Landscape Trees '!H302</f>
        <v/>
      </c>
      <c r="H444" s="27" t="str">
        <f>'Landscape Trees '!I302</f>
        <v/>
      </c>
    </row>
    <row r="445">
      <c r="A445" s="27" t="str">
        <f>'Landscape Trees '!A303</f>
        <v/>
      </c>
      <c r="B445" s="27" t="str">
        <f>'Landscape Trees '!C303</f>
        <v/>
      </c>
      <c r="C445" s="27" t="str">
        <f>'Landscape Trees '!D303</f>
        <v/>
      </c>
      <c r="D445" s="27" t="str">
        <f>'Landscape Trees '!E303</f>
        <v/>
      </c>
      <c r="E445" s="27" t="str">
        <f>'Landscape Trees '!F303</f>
        <v/>
      </c>
      <c r="F445" s="27" t="str">
        <f>'Landscape Trees '!G303</f>
        <v/>
      </c>
      <c r="G445" s="27" t="str">
        <f>'Landscape Trees '!H303</f>
        <v/>
      </c>
      <c r="H445" s="27" t="str">
        <f>'Landscape Trees '!I303</f>
        <v/>
      </c>
    </row>
    <row r="446">
      <c r="A446" s="27" t="str">
        <f>'Landscape Trees '!A304</f>
        <v/>
      </c>
      <c r="B446" s="27" t="str">
        <f>'Landscape Trees '!C304</f>
        <v/>
      </c>
      <c r="C446" s="27" t="str">
        <f>'Landscape Trees '!D304</f>
        <v/>
      </c>
      <c r="D446" s="27" t="str">
        <f>'Landscape Trees '!E304</f>
        <v/>
      </c>
      <c r="E446" s="27" t="str">
        <f>'Landscape Trees '!F304</f>
        <v/>
      </c>
      <c r="F446" s="27" t="str">
        <f>'Landscape Trees '!G304</f>
        <v/>
      </c>
      <c r="G446" s="27" t="str">
        <f>'Landscape Trees '!H304</f>
        <v/>
      </c>
      <c r="H446" s="27" t="str">
        <f>'Landscape Trees '!I304</f>
        <v/>
      </c>
    </row>
    <row r="447">
      <c r="A447" s="27" t="str">
        <f>'Landscape Trees '!A305</f>
        <v/>
      </c>
      <c r="B447" s="27" t="str">
        <f>'Landscape Trees '!C305</f>
        <v/>
      </c>
      <c r="C447" s="27" t="str">
        <f>'Landscape Trees '!D305</f>
        <v/>
      </c>
      <c r="D447" s="27" t="str">
        <f>'Landscape Trees '!E305</f>
        <v/>
      </c>
      <c r="E447" s="27" t="str">
        <f>'Landscape Trees '!F305</f>
        <v/>
      </c>
      <c r="F447" s="27" t="str">
        <f>'Landscape Trees '!G305</f>
        <v/>
      </c>
      <c r="G447" s="27" t="str">
        <f>'Landscape Trees '!H305</f>
        <v/>
      </c>
      <c r="H447" s="27" t="str">
        <f>'Landscape Trees '!I305</f>
        <v/>
      </c>
    </row>
    <row r="448">
      <c r="A448" s="27" t="str">
        <f>'Landscape Trees '!A306</f>
        <v/>
      </c>
      <c r="B448" s="27" t="str">
        <f>'Landscape Trees '!C306</f>
        <v/>
      </c>
      <c r="C448" s="27" t="str">
        <f>'Landscape Trees '!D306</f>
        <v/>
      </c>
      <c r="D448" s="27" t="str">
        <f>'Landscape Trees '!E306</f>
        <v/>
      </c>
      <c r="E448" s="27" t="str">
        <f>'Landscape Trees '!F306</f>
        <v/>
      </c>
      <c r="F448" s="27" t="str">
        <f>'Landscape Trees '!G306</f>
        <v/>
      </c>
      <c r="G448" s="27" t="str">
        <f>'Landscape Trees '!H306</f>
        <v/>
      </c>
      <c r="H448" s="27" t="str">
        <f>'Landscape Trees '!I306</f>
        <v/>
      </c>
    </row>
    <row r="449">
      <c r="A449" s="27" t="str">
        <f>'Landscape Trees '!A307</f>
        <v/>
      </c>
      <c r="B449" s="27" t="str">
        <f>'Landscape Trees '!C307</f>
        <v/>
      </c>
      <c r="C449" s="27" t="str">
        <f>'Landscape Trees '!D307</f>
        <v/>
      </c>
      <c r="D449" s="27" t="str">
        <f>'Landscape Trees '!E307</f>
        <v/>
      </c>
      <c r="E449" s="27" t="str">
        <f>'Landscape Trees '!F307</f>
        <v/>
      </c>
      <c r="F449" s="27" t="str">
        <f>'Landscape Trees '!G307</f>
        <v/>
      </c>
      <c r="G449" s="27" t="str">
        <f>'Landscape Trees '!H307</f>
        <v/>
      </c>
      <c r="H449" s="27" t="str">
        <f>'Landscape Trees '!I307</f>
        <v/>
      </c>
    </row>
    <row r="450">
      <c r="A450" s="27" t="str">
        <f>'Landscape Trees '!A308</f>
        <v/>
      </c>
      <c r="B450" s="27" t="str">
        <f>'Landscape Trees '!C308</f>
        <v/>
      </c>
      <c r="C450" s="27" t="str">
        <f>'Landscape Trees '!D308</f>
        <v/>
      </c>
      <c r="D450" s="27" t="str">
        <f>'Landscape Trees '!E308</f>
        <v/>
      </c>
      <c r="E450" s="27" t="str">
        <f>'Landscape Trees '!F308</f>
        <v/>
      </c>
      <c r="F450" s="27" t="str">
        <f>'Landscape Trees '!G308</f>
        <v/>
      </c>
      <c r="G450" s="27" t="str">
        <f>'Landscape Trees '!H308</f>
        <v/>
      </c>
      <c r="H450" s="27" t="str">
        <f>'Landscape Trees '!I308</f>
        <v/>
      </c>
    </row>
    <row r="451">
      <c r="A451" s="27" t="str">
        <f>'Landscape Trees '!A309</f>
        <v/>
      </c>
      <c r="B451" s="27" t="str">
        <f>'Landscape Trees '!C309</f>
        <v/>
      </c>
      <c r="C451" s="27" t="str">
        <f>'Landscape Trees '!D309</f>
        <v/>
      </c>
      <c r="D451" s="27" t="str">
        <f>'Landscape Trees '!E309</f>
        <v/>
      </c>
      <c r="E451" s="27" t="str">
        <f>'Landscape Trees '!F309</f>
        <v/>
      </c>
      <c r="F451" s="27" t="str">
        <f>'Landscape Trees '!G309</f>
        <v/>
      </c>
      <c r="G451" s="27" t="str">
        <f>'Landscape Trees '!H309</f>
        <v/>
      </c>
      <c r="H451" s="27" t="str">
        <f>'Landscape Trees '!I309</f>
        <v/>
      </c>
    </row>
    <row r="452">
      <c r="A452" s="27" t="str">
        <f>'Landscape Trees '!A310</f>
        <v/>
      </c>
      <c r="B452" s="27" t="str">
        <f>'Landscape Trees '!C310</f>
        <v/>
      </c>
      <c r="C452" s="27" t="str">
        <f>'Landscape Trees '!D310</f>
        <v/>
      </c>
      <c r="D452" s="27" t="str">
        <f>'Landscape Trees '!E310</f>
        <v/>
      </c>
      <c r="E452" s="27" t="str">
        <f>'Landscape Trees '!F310</f>
        <v/>
      </c>
      <c r="F452" s="27" t="str">
        <f>'Landscape Trees '!G310</f>
        <v/>
      </c>
      <c r="G452" s="27" t="str">
        <f>'Landscape Trees '!H310</f>
        <v/>
      </c>
      <c r="H452" s="27" t="str">
        <f>'Landscape Trees '!I310</f>
        <v/>
      </c>
    </row>
    <row r="453">
      <c r="A453" s="27" t="str">
        <f>'Landscape Trees '!A311</f>
        <v/>
      </c>
      <c r="B453" s="27" t="str">
        <f>'Landscape Trees '!C311</f>
        <v/>
      </c>
      <c r="C453" s="27" t="str">
        <f>'Landscape Trees '!D311</f>
        <v/>
      </c>
      <c r="D453" s="27" t="str">
        <f>'Landscape Trees '!E311</f>
        <v/>
      </c>
      <c r="E453" s="27" t="str">
        <f>'Landscape Trees '!F311</f>
        <v/>
      </c>
      <c r="F453" s="27" t="str">
        <f>'Landscape Trees '!G311</f>
        <v/>
      </c>
      <c r="G453" s="27" t="str">
        <f>'Landscape Trees '!H311</f>
        <v/>
      </c>
      <c r="H453" s="27" t="str">
        <f>'Landscape Trees '!I311</f>
        <v/>
      </c>
    </row>
    <row r="454">
      <c r="A454" s="27" t="str">
        <f>'Landscape Trees '!A312</f>
        <v/>
      </c>
      <c r="B454" s="27" t="str">
        <f>'Landscape Trees '!C312</f>
        <v/>
      </c>
      <c r="C454" s="27" t="str">
        <f>'Landscape Trees '!D312</f>
        <v/>
      </c>
      <c r="D454" s="27" t="str">
        <f>'Landscape Trees '!E312</f>
        <v/>
      </c>
      <c r="E454" s="27" t="str">
        <f>'Landscape Trees '!F312</f>
        <v/>
      </c>
      <c r="F454" s="27" t="str">
        <f>'Landscape Trees '!G312</f>
        <v/>
      </c>
      <c r="G454" s="27" t="str">
        <f>'Landscape Trees '!H312</f>
        <v/>
      </c>
      <c r="H454" s="27" t="str">
        <f>'Landscape Trees '!I312</f>
        <v/>
      </c>
    </row>
    <row r="455">
      <c r="A455" s="27" t="str">
        <f>'Landscape Trees '!A313</f>
        <v/>
      </c>
      <c r="B455" s="27" t="str">
        <f>'Landscape Trees '!C313</f>
        <v/>
      </c>
      <c r="C455" s="27" t="str">
        <f>'Landscape Trees '!D313</f>
        <v/>
      </c>
      <c r="D455" s="27" t="str">
        <f>'Landscape Trees '!E313</f>
        <v/>
      </c>
      <c r="E455" s="27" t="str">
        <f>'Landscape Trees '!F313</f>
        <v/>
      </c>
      <c r="F455" s="27" t="str">
        <f>'Landscape Trees '!G313</f>
        <v/>
      </c>
      <c r="G455" s="27" t="str">
        <f>'Landscape Trees '!H313</f>
        <v/>
      </c>
      <c r="H455" s="27" t="str">
        <f>'Landscape Trees '!I313</f>
        <v/>
      </c>
    </row>
    <row r="456">
      <c r="A456" s="27" t="str">
        <f>'Landscape Trees '!A314</f>
        <v/>
      </c>
      <c r="B456" s="27" t="str">
        <f>'Landscape Trees '!C314</f>
        <v/>
      </c>
      <c r="C456" s="27" t="str">
        <f>'Landscape Trees '!D314</f>
        <v/>
      </c>
      <c r="D456" s="27" t="str">
        <f>'Landscape Trees '!E314</f>
        <v/>
      </c>
      <c r="E456" s="27" t="str">
        <f>'Landscape Trees '!F314</f>
        <v/>
      </c>
      <c r="F456" s="27" t="str">
        <f>'Landscape Trees '!G314</f>
        <v/>
      </c>
      <c r="G456" s="27" t="str">
        <f>'Landscape Trees '!H314</f>
        <v/>
      </c>
      <c r="H456" s="27" t="str">
        <f>'Landscape Trees '!I314</f>
        <v/>
      </c>
    </row>
    <row r="457">
      <c r="A457" s="27" t="str">
        <f>'Landscape Trees '!A315</f>
        <v/>
      </c>
      <c r="B457" s="27" t="str">
        <f>'Landscape Trees '!C315</f>
        <v/>
      </c>
      <c r="C457" s="27" t="str">
        <f>'Landscape Trees '!D315</f>
        <v/>
      </c>
      <c r="D457" s="27" t="str">
        <f>'Landscape Trees '!E315</f>
        <v/>
      </c>
      <c r="E457" s="27" t="str">
        <f>'Landscape Trees '!F315</f>
        <v/>
      </c>
      <c r="F457" s="27" t="str">
        <f>'Landscape Trees '!G315</f>
        <v/>
      </c>
      <c r="G457" s="27" t="str">
        <f>'Landscape Trees '!H315</f>
        <v/>
      </c>
      <c r="H457" s="27" t="str">
        <f>'Landscape Trees '!I315</f>
        <v/>
      </c>
    </row>
    <row r="458">
      <c r="A458" s="27" t="str">
        <f>'Landscape Trees '!A316</f>
        <v/>
      </c>
      <c r="B458" s="27" t="str">
        <f>'Landscape Trees '!C316</f>
        <v/>
      </c>
      <c r="C458" s="27" t="str">
        <f>'Landscape Trees '!D316</f>
        <v/>
      </c>
      <c r="D458" s="27" t="str">
        <f>'Landscape Trees '!E316</f>
        <v/>
      </c>
      <c r="E458" s="27" t="str">
        <f>'Landscape Trees '!F316</f>
        <v/>
      </c>
      <c r="F458" s="27" t="str">
        <f>'Landscape Trees '!G316</f>
        <v/>
      </c>
      <c r="G458" s="27" t="str">
        <f>'Landscape Trees '!H316</f>
        <v/>
      </c>
      <c r="H458" s="27" t="str">
        <f>'Landscape Trees '!I316</f>
        <v/>
      </c>
    </row>
    <row r="459">
      <c r="A459" s="27" t="str">
        <f>'Landscape Trees '!A317</f>
        <v/>
      </c>
      <c r="B459" s="27" t="str">
        <f>'Landscape Trees '!C317</f>
        <v/>
      </c>
      <c r="C459" s="27" t="str">
        <f>'Landscape Trees '!D317</f>
        <v/>
      </c>
      <c r="D459" s="27" t="str">
        <f>'Landscape Trees '!E317</f>
        <v/>
      </c>
      <c r="E459" s="27" t="str">
        <f>'Landscape Trees '!F317</f>
        <v/>
      </c>
      <c r="F459" s="27" t="str">
        <f>'Landscape Trees '!G317</f>
        <v/>
      </c>
      <c r="G459" s="27" t="str">
        <f>'Landscape Trees '!H317</f>
        <v/>
      </c>
      <c r="H459" s="27" t="str">
        <f>'Landscape Trees '!I317</f>
        <v/>
      </c>
    </row>
    <row r="460">
      <c r="A460" s="27" t="str">
        <f>'Landscape Trees '!A318</f>
        <v/>
      </c>
      <c r="B460" s="27" t="str">
        <f>'Landscape Trees '!C318</f>
        <v/>
      </c>
      <c r="C460" s="27" t="str">
        <f>'Landscape Trees '!D318</f>
        <v/>
      </c>
      <c r="D460" s="27" t="str">
        <f>'Landscape Trees '!E318</f>
        <v/>
      </c>
      <c r="E460" s="27" t="str">
        <f>'Landscape Trees '!F318</f>
        <v/>
      </c>
      <c r="F460" s="27" t="str">
        <f>'Landscape Trees '!G318</f>
        <v/>
      </c>
      <c r="G460" s="27" t="str">
        <f>'Landscape Trees '!H318</f>
        <v/>
      </c>
      <c r="H460" s="27" t="str">
        <f>'Landscape Trees '!I318</f>
        <v/>
      </c>
    </row>
    <row r="461">
      <c r="A461" s="27" t="str">
        <f>'Landscape Trees '!A319</f>
        <v/>
      </c>
      <c r="B461" s="27" t="str">
        <f>'Landscape Trees '!C319</f>
        <v/>
      </c>
      <c r="C461" s="27" t="str">
        <f>'Landscape Trees '!D319</f>
        <v/>
      </c>
      <c r="D461" s="27" t="str">
        <f>'Landscape Trees '!E319</f>
        <v/>
      </c>
      <c r="E461" s="27" t="str">
        <f>'Landscape Trees '!F319</f>
        <v/>
      </c>
      <c r="F461" s="27" t="str">
        <f>'Landscape Trees '!G319</f>
        <v/>
      </c>
      <c r="G461" s="27" t="str">
        <f>'Landscape Trees '!H319</f>
        <v/>
      </c>
      <c r="H461" s="27" t="str">
        <f>'Landscape Trees '!I319</f>
        <v/>
      </c>
    </row>
    <row r="462">
      <c r="A462" s="27" t="str">
        <f>'Landscape Trees '!A320</f>
        <v/>
      </c>
      <c r="B462" s="27" t="str">
        <f>'Landscape Trees '!C320</f>
        <v/>
      </c>
      <c r="C462" s="27" t="str">
        <f>'Landscape Trees '!D320</f>
        <v/>
      </c>
      <c r="D462" s="27" t="str">
        <f>'Landscape Trees '!E320</f>
        <v/>
      </c>
      <c r="E462" s="27" t="str">
        <f>'Landscape Trees '!F320</f>
        <v/>
      </c>
      <c r="F462" s="27" t="str">
        <f>'Landscape Trees '!G320</f>
        <v/>
      </c>
      <c r="G462" s="27" t="str">
        <f>'Landscape Trees '!H320</f>
        <v/>
      </c>
      <c r="H462" s="27" t="str">
        <f>'Landscape Trees '!I320</f>
        <v/>
      </c>
    </row>
    <row r="463">
      <c r="A463" s="27" t="str">
        <f>'Landscape Trees '!A321</f>
        <v/>
      </c>
      <c r="B463" s="27" t="str">
        <f>'Landscape Trees '!C321</f>
        <v/>
      </c>
      <c r="C463" s="27" t="str">
        <f>'Landscape Trees '!D321</f>
        <v/>
      </c>
      <c r="D463" s="27" t="str">
        <f>'Landscape Trees '!E321</f>
        <v/>
      </c>
      <c r="E463" s="27" t="str">
        <f>'Landscape Trees '!F321</f>
        <v/>
      </c>
      <c r="F463" s="27" t="str">
        <f>'Landscape Trees '!G321</f>
        <v/>
      </c>
      <c r="G463" s="27" t="str">
        <f>'Landscape Trees '!H321</f>
        <v/>
      </c>
      <c r="H463" s="27" t="str">
        <f>'Landscape Trees '!I321</f>
        <v/>
      </c>
    </row>
    <row r="464">
      <c r="A464" s="27" t="str">
        <f>'Landscape Trees '!A322</f>
        <v/>
      </c>
      <c r="B464" s="27" t="str">
        <f>'Landscape Trees '!C322</f>
        <v/>
      </c>
      <c r="C464" s="27" t="str">
        <f>'Landscape Trees '!D322</f>
        <v/>
      </c>
      <c r="D464" s="27" t="str">
        <f>'Landscape Trees '!E322</f>
        <v/>
      </c>
      <c r="E464" s="27" t="str">
        <f>'Landscape Trees '!F322</f>
        <v/>
      </c>
      <c r="F464" s="27" t="str">
        <f>'Landscape Trees '!G322</f>
        <v/>
      </c>
      <c r="G464" s="27" t="str">
        <f>'Landscape Trees '!H322</f>
        <v/>
      </c>
      <c r="H464" s="27" t="str">
        <f>'Landscape Trees '!I322</f>
        <v/>
      </c>
    </row>
    <row r="465">
      <c r="A465" s="27" t="str">
        <f>'Landscape Trees '!A323</f>
        <v/>
      </c>
      <c r="B465" s="27" t="str">
        <f>'Landscape Trees '!C323</f>
        <v/>
      </c>
      <c r="C465" s="27" t="str">
        <f>'Landscape Trees '!D323</f>
        <v/>
      </c>
      <c r="D465" s="27" t="str">
        <f>'Landscape Trees '!E323</f>
        <v/>
      </c>
      <c r="E465" s="27" t="str">
        <f>'Landscape Trees '!F323</f>
        <v/>
      </c>
      <c r="F465" s="27" t="str">
        <f>'Landscape Trees '!G323</f>
        <v/>
      </c>
      <c r="G465" s="27" t="str">
        <f>'Landscape Trees '!H323</f>
        <v/>
      </c>
      <c r="H465" s="27" t="str">
        <f>'Landscape Trees '!I323</f>
        <v/>
      </c>
    </row>
    <row r="466">
      <c r="A466" s="27" t="str">
        <f>'Landscape Trees '!A324</f>
        <v/>
      </c>
      <c r="B466" s="27" t="str">
        <f>'Landscape Trees '!C324</f>
        <v/>
      </c>
      <c r="C466" s="27" t="str">
        <f>'Landscape Trees '!D324</f>
        <v/>
      </c>
      <c r="D466" s="27" t="str">
        <f>'Landscape Trees '!E324</f>
        <v/>
      </c>
      <c r="E466" s="27" t="str">
        <f>'Landscape Trees '!F324</f>
        <v/>
      </c>
      <c r="F466" s="27" t="str">
        <f>'Landscape Trees '!G324</f>
        <v/>
      </c>
      <c r="G466" s="27" t="str">
        <f>'Landscape Trees '!H324</f>
        <v/>
      </c>
      <c r="H466" s="27" t="str">
        <f>'Landscape Trees '!I324</f>
        <v/>
      </c>
    </row>
    <row r="467">
      <c r="A467" s="27" t="str">
        <f>'Landscape Trees '!A325</f>
        <v/>
      </c>
      <c r="B467" s="27" t="str">
        <f>'Landscape Trees '!C325</f>
        <v/>
      </c>
      <c r="C467" s="27" t="str">
        <f>'Landscape Trees '!D325</f>
        <v/>
      </c>
      <c r="D467" s="27" t="str">
        <f>'Landscape Trees '!E325</f>
        <v/>
      </c>
      <c r="E467" s="27" t="str">
        <f>'Landscape Trees '!F325</f>
        <v/>
      </c>
      <c r="F467" s="27" t="str">
        <f>'Landscape Trees '!G325</f>
        <v/>
      </c>
      <c r="G467" s="27" t="str">
        <f>'Landscape Trees '!H325</f>
        <v/>
      </c>
      <c r="H467" s="27" t="str">
        <f>'Landscape Trees '!I325</f>
        <v/>
      </c>
    </row>
    <row r="468">
      <c r="A468" s="27" t="str">
        <f>'Landscape Trees '!A326</f>
        <v/>
      </c>
      <c r="B468" s="27" t="str">
        <f>'Landscape Trees '!C326</f>
        <v/>
      </c>
      <c r="C468" s="27" t="str">
        <f>'Landscape Trees '!D326</f>
        <v/>
      </c>
      <c r="D468" s="27" t="str">
        <f>'Landscape Trees '!E326</f>
        <v/>
      </c>
      <c r="E468" s="27" t="str">
        <f>'Landscape Trees '!F326</f>
        <v/>
      </c>
      <c r="F468" s="27" t="str">
        <f>'Landscape Trees '!G326</f>
        <v/>
      </c>
      <c r="G468" s="27" t="str">
        <f>'Landscape Trees '!H326</f>
        <v/>
      </c>
      <c r="H468" s="27" t="str">
        <f>'Landscape Trees '!I326</f>
        <v/>
      </c>
    </row>
    <row r="469">
      <c r="A469" s="27" t="str">
        <f>'Landscape Trees '!A327</f>
        <v/>
      </c>
      <c r="B469" s="27" t="str">
        <f>'Landscape Trees '!C327</f>
        <v/>
      </c>
      <c r="C469" s="27" t="str">
        <f>'Landscape Trees '!D327</f>
        <v/>
      </c>
      <c r="D469" s="27" t="str">
        <f>'Landscape Trees '!E327</f>
        <v/>
      </c>
      <c r="E469" s="27" t="str">
        <f>'Landscape Trees '!F327</f>
        <v/>
      </c>
      <c r="F469" s="27" t="str">
        <f>'Landscape Trees '!G327</f>
        <v/>
      </c>
      <c r="G469" s="27" t="str">
        <f>'Landscape Trees '!H327</f>
        <v/>
      </c>
      <c r="H469" s="27" t="str">
        <f>'Landscape Trees '!I327</f>
        <v/>
      </c>
    </row>
    <row r="470">
      <c r="A470" s="27" t="str">
        <f>'Landscape Trees '!A328</f>
        <v/>
      </c>
      <c r="B470" s="27" t="str">
        <f>'Landscape Trees '!C328</f>
        <v/>
      </c>
      <c r="C470" s="27" t="str">
        <f>'Landscape Trees '!D328</f>
        <v/>
      </c>
      <c r="D470" s="27" t="str">
        <f>'Landscape Trees '!E328</f>
        <v/>
      </c>
      <c r="E470" s="27" t="str">
        <f>'Landscape Trees '!F328</f>
        <v/>
      </c>
      <c r="F470" s="27" t="str">
        <f>'Landscape Trees '!G328</f>
        <v/>
      </c>
      <c r="G470" s="27" t="str">
        <f>'Landscape Trees '!H328</f>
        <v/>
      </c>
      <c r="H470" s="27" t="str">
        <f>'Landscape Trees '!I328</f>
        <v/>
      </c>
    </row>
    <row r="471">
      <c r="A471" s="27" t="str">
        <f>'Landscape Trees '!A329</f>
        <v/>
      </c>
      <c r="B471" s="27" t="str">
        <f>'Landscape Trees '!C329</f>
        <v/>
      </c>
      <c r="C471" s="27" t="str">
        <f>'Landscape Trees '!D329</f>
        <v/>
      </c>
      <c r="D471" s="27" t="str">
        <f>'Landscape Trees '!E329</f>
        <v/>
      </c>
      <c r="E471" s="27" t="str">
        <f>'Landscape Trees '!F329</f>
        <v/>
      </c>
      <c r="F471" s="27" t="str">
        <f>'Landscape Trees '!G329</f>
        <v/>
      </c>
      <c r="G471" s="27" t="str">
        <f>'Landscape Trees '!H329</f>
        <v/>
      </c>
      <c r="H471" s="27" t="str">
        <f>'Landscape Trees '!I329</f>
        <v/>
      </c>
    </row>
    <row r="472">
      <c r="A472" s="27" t="str">
        <f>'Landscape Trees '!A330</f>
        <v/>
      </c>
      <c r="B472" s="27" t="str">
        <f>'Landscape Trees '!C330</f>
        <v/>
      </c>
      <c r="C472" s="27" t="str">
        <f>'Landscape Trees '!D330</f>
        <v/>
      </c>
      <c r="D472" s="27" t="str">
        <f>'Landscape Trees '!E330</f>
        <v/>
      </c>
      <c r="E472" s="27" t="str">
        <f>'Landscape Trees '!F330</f>
        <v/>
      </c>
      <c r="F472" s="27" t="str">
        <f>'Landscape Trees '!G330</f>
        <v/>
      </c>
      <c r="G472" s="27" t="str">
        <f>'Landscape Trees '!H330</f>
        <v/>
      </c>
      <c r="H472" s="27" t="str">
        <f>'Landscape Trees '!I330</f>
        <v/>
      </c>
    </row>
    <row r="473">
      <c r="A473" s="27" t="str">
        <f>'Landscape Trees '!A331</f>
        <v/>
      </c>
      <c r="B473" s="27" t="str">
        <f>'Landscape Trees '!C331</f>
        <v/>
      </c>
      <c r="C473" s="27" t="str">
        <f>'Landscape Trees '!D331</f>
        <v/>
      </c>
      <c r="D473" s="27" t="str">
        <f>'Landscape Trees '!E331</f>
        <v/>
      </c>
      <c r="E473" s="27" t="str">
        <f>'Landscape Trees '!F331</f>
        <v/>
      </c>
      <c r="F473" s="27" t="str">
        <f>'Landscape Trees '!G331</f>
        <v/>
      </c>
      <c r="G473" s="27" t="str">
        <f>'Landscape Trees '!H331</f>
        <v/>
      </c>
      <c r="H473" s="27" t="str">
        <f>'Landscape Trees '!I331</f>
        <v/>
      </c>
    </row>
    <row r="474">
      <c r="A474" s="27" t="str">
        <f>'Landscape Trees '!A332</f>
        <v/>
      </c>
      <c r="B474" s="27" t="str">
        <f>'Landscape Trees '!C332</f>
        <v/>
      </c>
      <c r="C474" s="27" t="str">
        <f>'Landscape Trees '!D332</f>
        <v/>
      </c>
      <c r="D474" s="27" t="str">
        <f>'Landscape Trees '!E332</f>
        <v/>
      </c>
      <c r="E474" s="27" t="str">
        <f>'Landscape Trees '!F332</f>
        <v/>
      </c>
      <c r="F474" s="27" t="str">
        <f>'Landscape Trees '!G332</f>
        <v/>
      </c>
      <c r="G474" s="27" t="str">
        <f>'Landscape Trees '!H332</f>
        <v/>
      </c>
      <c r="H474" s="27" t="str">
        <f>'Landscape Trees '!I332</f>
        <v/>
      </c>
    </row>
    <row r="475">
      <c r="A475" s="27" t="str">
        <f>'Landscape Trees '!A333</f>
        <v/>
      </c>
      <c r="B475" s="27" t="str">
        <f>'Landscape Trees '!C333</f>
        <v/>
      </c>
      <c r="C475" s="27" t="str">
        <f>'Landscape Trees '!D333</f>
        <v/>
      </c>
      <c r="D475" s="27" t="str">
        <f>'Landscape Trees '!E333</f>
        <v/>
      </c>
      <c r="E475" s="27" t="str">
        <f>'Landscape Trees '!F333</f>
        <v/>
      </c>
      <c r="F475" s="27" t="str">
        <f>'Landscape Trees '!G333</f>
        <v/>
      </c>
      <c r="G475" s="27" t="str">
        <f>'Landscape Trees '!H333</f>
        <v/>
      </c>
      <c r="H475" s="27" t="str">
        <f>'Landscape Trees '!I333</f>
        <v/>
      </c>
    </row>
    <row r="476">
      <c r="A476" s="27" t="str">
        <f>'Landscape Trees '!A334</f>
        <v/>
      </c>
      <c r="B476" s="27" t="str">
        <f>'Landscape Trees '!C334</f>
        <v/>
      </c>
      <c r="C476" s="27" t="str">
        <f>'Landscape Trees '!D334</f>
        <v/>
      </c>
      <c r="D476" s="27" t="str">
        <f>'Landscape Trees '!E334</f>
        <v/>
      </c>
      <c r="E476" s="27" t="str">
        <f>'Landscape Trees '!F334</f>
        <v/>
      </c>
      <c r="F476" s="27" t="str">
        <f>'Landscape Trees '!G334</f>
        <v/>
      </c>
      <c r="G476" s="27" t="str">
        <f>'Landscape Trees '!H334</f>
        <v/>
      </c>
      <c r="H476" s="27" t="str">
        <f>'Landscape Trees '!I334</f>
        <v/>
      </c>
    </row>
    <row r="477">
      <c r="A477" s="27" t="str">
        <f>'Landscape Trees '!A335</f>
        <v/>
      </c>
      <c r="B477" s="27" t="str">
        <f>'Landscape Trees '!C335</f>
        <v/>
      </c>
      <c r="C477" s="27" t="str">
        <f>'Landscape Trees '!D335</f>
        <v/>
      </c>
      <c r="D477" s="27" t="str">
        <f>'Landscape Trees '!E335</f>
        <v/>
      </c>
      <c r="E477" s="27" t="str">
        <f>'Landscape Trees '!F335</f>
        <v/>
      </c>
      <c r="F477" s="27" t="str">
        <f>'Landscape Trees '!G335</f>
        <v/>
      </c>
      <c r="G477" s="27" t="str">
        <f>'Landscape Trees '!H335</f>
        <v/>
      </c>
      <c r="H477" s="27" t="str">
        <f>'Landscape Trees '!I335</f>
        <v/>
      </c>
    </row>
    <row r="478">
      <c r="A478" s="27" t="str">
        <f>'Landscape Trees '!A336</f>
        <v/>
      </c>
      <c r="B478" s="27" t="str">
        <f>'Landscape Trees '!C336</f>
        <v/>
      </c>
      <c r="C478" s="27" t="str">
        <f>'Landscape Trees '!D336</f>
        <v/>
      </c>
      <c r="D478" s="27" t="str">
        <f>'Landscape Trees '!E336</f>
        <v/>
      </c>
      <c r="E478" s="27" t="str">
        <f>'Landscape Trees '!F336</f>
        <v/>
      </c>
      <c r="F478" s="27" t="str">
        <f>'Landscape Trees '!G336</f>
        <v/>
      </c>
      <c r="G478" s="27" t="str">
        <f>'Landscape Trees '!H336</f>
        <v/>
      </c>
      <c r="H478" s="27" t="str">
        <f>'Landscape Trees '!I336</f>
        <v/>
      </c>
    </row>
    <row r="479">
      <c r="A479" s="27" t="str">
        <f>'Landscape Trees '!A337</f>
        <v/>
      </c>
      <c r="B479" s="27" t="str">
        <f>'Landscape Trees '!C337</f>
        <v/>
      </c>
      <c r="C479" s="27" t="str">
        <f>'Landscape Trees '!D337</f>
        <v/>
      </c>
      <c r="D479" s="27" t="str">
        <f>'Landscape Trees '!E337</f>
        <v/>
      </c>
      <c r="E479" s="27" t="str">
        <f>'Landscape Trees '!F337</f>
        <v/>
      </c>
      <c r="F479" s="27" t="str">
        <f>'Landscape Trees '!G337</f>
        <v/>
      </c>
      <c r="G479" s="27" t="str">
        <f>'Landscape Trees '!H337</f>
        <v/>
      </c>
      <c r="H479" s="27" t="str">
        <f>'Landscape Trees '!I337</f>
        <v/>
      </c>
    </row>
    <row r="480">
      <c r="A480" s="27" t="str">
        <f>'Landscape Trees '!A338</f>
        <v/>
      </c>
      <c r="B480" s="27" t="str">
        <f>'Landscape Trees '!C338</f>
        <v/>
      </c>
      <c r="C480" s="27" t="str">
        <f>'Landscape Trees '!D338</f>
        <v/>
      </c>
      <c r="D480" s="27" t="str">
        <f>'Landscape Trees '!E338</f>
        <v/>
      </c>
      <c r="E480" s="27" t="str">
        <f>'Landscape Trees '!F338</f>
        <v/>
      </c>
      <c r="F480" s="27" t="str">
        <f>'Landscape Trees '!G338</f>
        <v/>
      </c>
      <c r="G480" s="27" t="str">
        <f>'Landscape Trees '!H338</f>
        <v/>
      </c>
      <c r="H480" s="27" t="str">
        <f>'Landscape Trees '!I338</f>
        <v/>
      </c>
    </row>
    <row r="481">
      <c r="A481" s="27" t="str">
        <f>'Landscape Trees '!A339</f>
        <v/>
      </c>
      <c r="B481" s="27" t="str">
        <f>'Landscape Trees '!C339</f>
        <v/>
      </c>
      <c r="C481" s="27" t="str">
        <f>'Landscape Trees '!D339</f>
        <v/>
      </c>
      <c r="D481" s="27" t="str">
        <f>'Landscape Trees '!E339</f>
        <v/>
      </c>
      <c r="E481" s="27" t="str">
        <f>'Landscape Trees '!F339</f>
        <v/>
      </c>
      <c r="F481" s="27" t="str">
        <f>'Landscape Trees '!G339</f>
        <v/>
      </c>
      <c r="G481" s="27" t="str">
        <f>'Landscape Trees '!H339</f>
        <v/>
      </c>
      <c r="H481" s="27" t="str">
        <f>'Landscape Trees '!I339</f>
        <v/>
      </c>
    </row>
    <row r="482">
      <c r="A482" s="27" t="str">
        <f>'Landscape Trees '!A340</f>
        <v/>
      </c>
      <c r="B482" s="27" t="str">
        <f>'Landscape Trees '!C340</f>
        <v/>
      </c>
      <c r="C482" s="27" t="str">
        <f>'Landscape Trees '!D340</f>
        <v/>
      </c>
      <c r="D482" s="27" t="str">
        <f>'Landscape Trees '!E340</f>
        <v/>
      </c>
      <c r="E482" s="27" t="str">
        <f>'Landscape Trees '!F340</f>
        <v/>
      </c>
      <c r="F482" s="27" t="str">
        <f>'Landscape Trees '!G340</f>
        <v/>
      </c>
      <c r="G482" s="27" t="str">
        <f>'Landscape Trees '!H340</f>
        <v/>
      </c>
      <c r="H482" s="27" t="str">
        <f>'Landscape Trees '!I340</f>
        <v/>
      </c>
    </row>
    <row r="483">
      <c r="A483" s="27" t="str">
        <f>'Landscape Trees '!A341</f>
        <v/>
      </c>
      <c r="B483" s="27" t="str">
        <f>'Landscape Trees '!C341</f>
        <v/>
      </c>
      <c r="C483" s="27" t="str">
        <f>'Landscape Trees '!D341</f>
        <v/>
      </c>
      <c r="D483" s="27" t="str">
        <f>'Landscape Trees '!E341</f>
        <v/>
      </c>
      <c r="E483" s="27" t="str">
        <f>'Landscape Trees '!F341</f>
        <v/>
      </c>
      <c r="F483" s="27" t="str">
        <f>'Landscape Trees '!G341</f>
        <v/>
      </c>
      <c r="G483" s="27" t="str">
        <f>'Landscape Trees '!H341</f>
        <v/>
      </c>
      <c r="H483" s="27" t="str">
        <f>'Landscape Trees '!I341</f>
        <v/>
      </c>
    </row>
    <row r="484">
      <c r="A484" s="27" t="str">
        <f>'Landscape Trees '!A342</f>
        <v/>
      </c>
      <c r="B484" s="27" t="str">
        <f>'Landscape Trees '!C342</f>
        <v/>
      </c>
      <c r="C484" s="27" t="str">
        <f>'Landscape Trees '!D342</f>
        <v/>
      </c>
      <c r="D484" s="27" t="str">
        <f>'Landscape Trees '!E342</f>
        <v/>
      </c>
      <c r="E484" s="27" t="str">
        <f>'Landscape Trees '!F342</f>
        <v/>
      </c>
      <c r="F484" s="27" t="str">
        <f>'Landscape Trees '!G342</f>
        <v/>
      </c>
      <c r="G484" s="27" t="str">
        <f>'Landscape Trees '!H342</f>
        <v/>
      </c>
      <c r="H484" s="27" t="str">
        <f>'Landscape Trees '!I342</f>
        <v/>
      </c>
    </row>
    <row r="485">
      <c r="A485" s="27" t="str">
        <f>'Landscape Trees '!A343</f>
        <v/>
      </c>
      <c r="B485" s="27" t="str">
        <f>'Landscape Trees '!C343</f>
        <v/>
      </c>
      <c r="C485" s="27" t="str">
        <f>'Landscape Trees '!D343</f>
        <v/>
      </c>
      <c r="D485" s="27" t="str">
        <f>'Landscape Trees '!E343</f>
        <v/>
      </c>
      <c r="E485" s="27" t="str">
        <f>'Landscape Trees '!F343</f>
        <v/>
      </c>
      <c r="F485" s="27" t="str">
        <f>'Landscape Trees '!G343</f>
        <v/>
      </c>
      <c r="G485" s="27" t="str">
        <f>'Landscape Trees '!H343</f>
        <v/>
      </c>
      <c r="H485" s="27" t="str">
        <f>'Landscape Trees '!I343</f>
        <v/>
      </c>
    </row>
    <row r="486">
      <c r="A486" s="27" t="str">
        <f>'Landscape Trees '!A344</f>
        <v/>
      </c>
      <c r="B486" s="27" t="str">
        <f>'Landscape Trees '!C344</f>
        <v/>
      </c>
      <c r="C486" s="27" t="str">
        <f>'Landscape Trees '!D344</f>
        <v/>
      </c>
      <c r="D486" s="27" t="str">
        <f>'Landscape Trees '!E344</f>
        <v/>
      </c>
      <c r="E486" s="27" t="str">
        <f>'Landscape Trees '!F344</f>
        <v/>
      </c>
      <c r="F486" s="27" t="str">
        <f>'Landscape Trees '!G344</f>
        <v/>
      </c>
      <c r="G486" s="27" t="str">
        <f>'Landscape Trees '!H344</f>
        <v/>
      </c>
      <c r="H486" s="27" t="str">
        <f>'Landscape Trees '!I344</f>
        <v/>
      </c>
    </row>
    <row r="487">
      <c r="A487" s="27" t="str">
        <f>'Landscape Trees '!A345</f>
        <v/>
      </c>
      <c r="B487" s="27" t="str">
        <f>'Landscape Trees '!C345</f>
        <v/>
      </c>
      <c r="C487" s="27" t="str">
        <f>'Landscape Trees '!D345</f>
        <v/>
      </c>
      <c r="D487" s="27" t="str">
        <f>'Landscape Trees '!E345</f>
        <v/>
      </c>
      <c r="E487" s="27" t="str">
        <f>'Landscape Trees '!F345</f>
        <v/>
      </c>
      <c r="F487" s="27" t="str">
        <f>'Landscape Trees '!G345</f>
        <v/>
      </c>
      <c r="G487" s="27" t="str">
        <f>'Landscape Trees '!H345</f>
        <v/>
      </c>
      <c r="H487" s="27" t="str">
        <f>'Landscape Trees '!I345</f>
        <v/>
      </c>
    </row>
    <row r="488">
      <c r="A488" s="27" t="str">
        <f>'Landscape Trees '!A346</f>
        <v/>
      </c>
      <c r="B488" s="27" t="str">
        <f>'Landscape Trees '!C346</f>
        <v/>
      </c>
      <c r="C488" s="27" t="str">
        <f>'Landscape Trees '!D346</f>
        <v/>
      </c>
      <c r="D488" s="27" t="str">
        <f>'Landscape Trees '!E346</f>
        <v/>
      </c>
      <c r="E488" s="27" t="str">
        <f>'Landscape Trees '!F346</f>
        <v/>
      </c>
      <c r="F488" s="27" t="str">
        <f>'Landscape Trees '!G346</f>
        <v/>
      </c>
      <c r="G488" s="27" t="str">
        <f>'Landscape Trees '!H346</f>
        <v/>
      </c>
      <c r="H488" s="27" t="str">
        <f>'Landscape Trees '!I346</f>
        <v/>
      </c>
    </row>
    <row r="489">
      <c r="A489" s="27" t="str">
        <f>'Landscape Trees '!A347</f>
        <v/>
      </c>
      <c r="B489" s="27" t="str">
        <f>'Landscape Trees '!C347</f>
        <v/>
      </c>
      <c r="C489" s="27" t="str">
        <f>'Landscape Trees '!D347</f>
        <v/>
      </c>
      <c r="D489" s="27" t="str">
        <f>'Landscape Trees '!E347</f>
        <v/>
      </c>
      <c r="E489" s="27" t="str">
        <f>'Landscape Trees '!F347</f>
        <v/>
      </c>
      <c r="F489" s="27" t="str">
        <f>'Landscape Trees '!G347</f>
        <v/>
      </c>
      <c r="G489" s="27" t="str">
        <f>'Landscape Trees '!H347</f>
        <v/>
      </c>
      <c r="H489" s="27" t="str">
        <f>'Landscape Trees '!I347</f>
        <v/>
      </c>
    </row>
    <row r="490">
      <c r="A490" s="27" t="str">
        <f>'Landscape Trees '!A348</f>
        <v/>
      </c>
      <c r="B490" s="27" t="str">
        <f>'Landscape Trees '!C348</f>
        <v/>
      </c>
      <c r="C490" s="27" t="str">
        <f>'Landscape Trees '!D348</f>
        <v/>
      </c>
      <c r="D490" s="27" t="str">
        <f>'Landscape Trees '!E348</f>
        <v/>
      </c>
      <c r="E490" s="27" t="str">
        <f>'Landscape Trees '!F348</f>
        <v/>
      </c>
      <c r="F490" s="27" t="str">
        <f>'Landscape Trees '!G348</f>
        <v/>
      </c>
      <c r="G490" s="27" t="str">
        <f>'Landscape Trees '!H348</f>
        <v/>
      </c>
      <c r="H490" s="27" t="str">
        <f>'Landscape Trees '!I348</f>
        <v/>
      </c>
    </row>
    <row r="491">
      <c r="A491" s="27" t="str">
        <f>'Landscape Trees '!A349</f>
        <v/>
      </c>
      <c r="B491" s="27" t="str">
        <f>'Landscape Trees '!C349</f>
        <v/>
      </c>
      <c r="C491" s="27" t="str">
        <f>'Landscape Trees '!D349</f>
        <v/>
      </c>
      <c r="D491" s="27" t="str">
        <f>'Landscape Trees '!E349</f>
        <v/>
      </c>
      <c r="E491" s="27" t="str">
        <f>'Landscape Trees '!F349</f>
        <v/>
      </c>
      <c r="F491" s="27" t="str">
        <f>'Landscape Trees '!G349</f>
        <v/>
      </c>
      <c r="G491" s="27" t="str">
        <f>'Landscape Trees '!H349</f>
        <v/>
      </c>
      <c r="H491" s="27" t="str">
        <f>'Landscape Trees '!I349</f>
        <v/>
      </c>
    </row>
    <row r="492">
      <c r="A492" s="27" t="str">
        <f>'Landscape Trees '!A350</f>
        <v/>
      </c>
      <c r="B492" s="27" t="str">
        <f>'Landscape Trees '!C350</f>
        <v/>
      </c>
      <c r="C492" s="27" t="str">
        <f>'Landscape Trees '!D350</f>
        <v/>
      </c>
      <c r="D492" s="27" t="str">
        <f>'Landscape Trees '!E350</f>
        <v/>
      </c>
      <c r="E492" s="27" t="str">
        <f>'Landscape Trees '!F350</f>
        <v/>
      </c>
      <c r="F492" s="27" t="str">
        <f>'Landscape Trees '!G350</f>
        <v/>
      </c>
      <c r="G492" s="27" t="str">
        <f>'Landscape Trees '!H350</f>
        <v/>
      </c>
      <c r="H492" s="27" t="str">
        <f>'Landscape Trees '!I350</f>
        <v/>
      </c>
    </row>
    <row r="493">
      <c r="A493" s="27" t="str">
        <f>'Landscape Trees '!A351</f>
        <v/>
      </c>
      <c r="B493" s="27" t="str">
        <f>'Landscape Trees '!C351</f>
        <v/>
      </c>
      <c r="C493" s="27" t="str">
        <f>'Landscape Trees '!D351</f>
        <v/>
      </c>
      <c r="D493" s="27" t="str">
        <f>'Landscape Trees '!E351</f>
        <v/>
      </c>
      <c r="E493" s="27" t="str">
        <f>'Landscape Trees '!F351</f>
        <v/>
      </c>
      <c r="F493" s="27" t="str">
        <f>'Landscape Trees '!G351</f>
        <v/>
      </c>
      <c r="G493" s="27" t="str">
        <f>'Landscape Trees '!H351</f>
        <v/>
      </c>
      <c r="H493" s="27" t="str">
        <f>'Landscape Trees '!I351</f>
        <v/>
      </c>
    </row>
    <row r="494">
      <c r="A494" s="27" t="str">
        <f>'Landscape Trees '!A352</f>
        <v/>
      </c>
      <c r="B494" s="27" t="str">
        <f>'Landscape Trees '!C352</f>
        <v/>
      </c>
      <c r="C494" s="27" t="str">
        <f>'Landscape Trees '!D352</f>
        <v/>
      </c>
      <c r="D494" s="27" t="str">
        <f>'Landscape Trees '!E352</f>
        <v/>
      </c>
      <c r="E494" s="27" t="str">
        <f>'Landscape Trees '!F352</f>
        <v/>
      </c>
      <c r="F494" s="27" t="str">
        <f>'Landscape Trees '!G352</f>
        <v/>
      </c>
      <c r="G494" s="27" t="str">
        <f>'Landscape Trees '!H352</f>
        <v/>
      </c>
      <c r="H494" s="27" t="str">
        <f>'Landscape Trees '!I352</f>
        <v/>
      </c>
    </row>
    <row r="495">
      <c r="A495" s="27" t="str">
        <f>'Landscape Trees '!A353</f>
        <v/>
      </c>
      <c r="B495" s="27" t="str">
        <f>'Landscape Trees '!C353</f>
        <v/>
      </c>
      <c r="C495" s="27" t="str">
        <f>'Landscape Trees '!D353</f>
        <v/>
      </c>
      <c r="D495" s="27" t="str">
        <f>'Landscape Trees '!E353</f>
        <v/>
      </c>
      <c r="E495" s="27" t="str">
        <f>'Landscape Trees '!F353</f>
        <v/>
      </c>
      <c r="F495" s="27" t="str">
        <f>'Landscape Trees '!G353</f>
        <v/>
      </c>
      <c r="G495" s="27" t="str">
        <f>'Landscape Trees '!H353</f>
        <v/>
      </c>
      <c r="H495" s="27" t="str">
        <f>'Landscape Trees '!I353</f>
        <v/>
      </c>
    </row>
    <row r="496">
      <c r="A496" s="27" t="str">
        <f>'Landscape Trees '!A354</f>
        <v/>
      </c>
      <c r="B496" s="27" t="str">
        <f>'Landscape Trees '!C354</f>
        <v/>
      </c>
      <c r="C496" s="27" t="str">
        <f>'Landscape Trees '!D354</f>
        <v/>
      </c>
      <c r="D496" s="27" t="str">
        <f>'Landscape Trees '!E354</f>
        <v/>
      </c>
      <c r="E496" s="27" t="str">
        <f>'Landscape Trees '!F354</f>
        <v/>
      </c>
      <c r="F496" s="27" t="str">
        <f>'Landscape Trees '!G354</f>
        <v/>
      </c>
      <c r="G496" s="27" t="str">
        <f>'Landscape Trees '!H354</f>
        <v/>
      </c>
      <c r="H496" s="27" t="str">
        <f>'Landscape Trees '!I354</f>
        <v/>
      </c>
    </row>
    <row r="497">
      <c r="A497" s="27" t="str">
        <f>'Landscape Trees '!A355</f>
        <v/>
      </c>
      <c r="B497" s="27" t="str">
        <f>'Landscape Trees '!C355</f>
        <v/>
      </c>
      <c r="C497" s="27" t="str">
        <f>'Landscape Trees '!D355</f>
        <v/>
      </c>
      <c r="D497" s="27" t="str">
        <f>'Landscape Trees '!E355</f>
        <v/>
      </c>
      <c r="E497" s="27" t="str">
        <f>'Landscape Trees '!F355</f>
        <v/>
      </c>
      <c r="F497" s="27" t="str">
        <f>'Landscape Trees '!G355</f>
        <v/>
      </c>
      <c r="G497" s="27" t="str">
        <f>'Landscape Trees '!H355</f>
        <v/>
      </c>
      <c r="H497" s="27" t="str">
        <f>'Landscape Trees '!I355</f>
        <v/>
      </c>
    </row>
    <row r="498">
      <c r="A498" s="27" t="str">
        <f>'Landscape Trees '!A356</f>
        <v/>
      </c>
      <c r="B498" s="27" t="str">
        <f>'Landscape Trees '!C356</f>
        <v/>
      </c>
      <c r="C498" s="27" t="str">
        <f>'Landscape Trees '!D356</f>
        <v/>
      </c>
      <c r="D498" s="27" t="str">
        <f>'Landscape Trees '!E356</f>
        <v/>
      </c>
      <c r="E498" s="27" t="str">
        <f>'Landscape Trees '!F356</f>
        <v/>
      </c>
      <c r="F498" s="27" t="str">
        <f>'Landscape Trees '!G356</f>
        <v/>
      </c>
      <c r="G498" s="27" t="str">
        <f>'Landscape Trees '!H356</f>
        <v/>
      </c>
      <c r="H498" s="27" t="str">
        <f>'Landscape Trees '!I356</f>
        <v/>
      </c>
    </row>
    <row r="499">
      <c r="A499" s="27" t="str">
        <f>'Landscape Trees '!A357</f>
        <v/>
      </c>
      <c r="B499" s="27" t="str">
        <f>'Landscape Trees '!C357</f>
        <v/>
      </c>
      <c r="C499" s="27" t="str">
        <f>'Landscape Trees '!D357</f>
        <v/>
      </c>
      <c r="D499" s="27" t="str">
        <f>'Landscape Trees '!E357</f>
        <v/>
      </c>
      <c r="E499" s="27" t="str">
        <f>'Landscape Trees '!F357</f>
        <v/>
      </c>
      <c r="F499" s="27" t="str">
        <f>'Landscape Trees '!G357</f>
        <v/>
      </c>
      <c r="G499" s="27" t="str">
        <f>'Landscape Trees '!H357</f>
        <v/>
      </c>
      <c r="H499" s="27" t="str">
        <f>'Landscape Trees '!I357</f>
        <v/>
      </c>
    </row>
    <row r="500">
      <c r="A500" s="27" t="str">
        <f>'Landscape Trees '!A358</f>
        <v/>
      </c>
      <c r="B500" s="27" t="str">
        <f>'Landscape Trees '!C358</f>
        <v/>
      </c>
      <c r="C500" s="27" t="str">
        <f>'Landscape Trees '!D358</f>
        <v/>
      </c>
      <c r="D500" s="27" t="str">
        <f>'Landscape Trees '!E358</f>
        <v/>
      </c>
      <c r="E500" s="27" t="str">
        <f>'Landscape Trees '!F358</f>
        <v/>
      </c>
      <c r="F500" s="27" t="str">
        <f>'Landscape Trees '!G358</f>
        <v/>
      </c>
      <c r="G500" s="27" t="str">
        <f>'Landscape Trees '!H358</f>
        <v/>
      </c>
      <c r="H500" s="27" t="str">
        <f>'Landscape Trees '!I358</f>
        <v/>
      </c>
    </row>
    <row r="501">
      <c r="A501" s="27" t="str">
        <f>'Landscape Trees '!A359</f>
        <v/>
      </c>
      <c r="B501" s="27" t="str">
        <f>'Landscape Trees '!C359</f>
        <v/>
      </c>
      <c r="C501" s="27" t="str">
        <f>'Landscape Trees '!D359</f>
        <v/>
      </c>
      <c r="D501" s="27" t="str">
        <f>'Landscape Trees '!E359</f>
        <v/>
      </c>
      <c r="E501" s="27" t="str">
        <f>'Landscape Trees '!F359</f>
        <v/>
      </c>
      <c r="F501" s="27" t="str">
        <f>'Landscape Trees '!G359</f>
        <v/>
      </c>
      <c r="G501" s="27" t="str">
        <f>'Landscape Trees '!H359</f>
        <v/>
      </c>
      <c r="H501" s="27" t="str">
        <f>'Landscape Trees '!I359</f>
        <v/>
      </c>
    </row>
    <row r="502">
      <c r="A502" s="27" t="str">
        <f>'Landscape Trees '!A360</f>
        <v/>
      </c>
      <c r="B502" s="27" t="str">
        <f>'Landscape Trees '!C360</f>
        <v/>
      </c>
      <c r="C502" s="27" t="str">
        <f>'Landscape Trees '!D360</f>
        <v/>
      </c>
      <c r="D502" s="27" t="str">
        <f>'Landscape Trees '!E360</f>
        <v/>
      </c>
      <c r="E502" s="27" t="str">
        <f>'Landscape Trees '!F360</f>
        <v/>
      </c>
      <c r="F502" s="27" t="str">
        <f>'Landscape Trees '!G360</f>
        <v/>
      </c>
      <c r="G502" s="27" t="str">
        <f>'Landscape Trees '!H360</f>
        <v/>
      </c>
      <c r="H502" s="27" t="str">
        <f>'Landscape Trees '!I360</f>
        <v/>
      </c>
    </row>
    <row r="503">
      <c r="A503" s="27" t="str">
        <f>'Landscape Trees '!A361</f>
        <v/>
      </c>
      <c r="B503" s="27" t="str">
        <f>'Landscape Trees '!C361</f>
        <v/>
      </c>
      <c r="C503" s="27" t="str">
        <f>'Landscape Trees '!D361</f>
        <v/>
      </c>
      <c r="D503" s="27" t="str">
        <f>'Landscape Trees '!E361</f>
        <v/>
      </c>
      <c r="E503" s="27" t="str">
        <f>'Landscape Trees '!F361</f>
        <v/>
      </c>
      <c r="F503" s="27" t="str">
        <f>'Landscape Trees '!G361</f>
        <v/>
      </c>
      <c r="G503" s="27" t="str">
        <f>'Landscape Trees '!H361</f>
        <v/>
      </c>
      <c r="H503" s="27" t="str">
        <f>'Landscape Trees '!I361</f>
        <v/>
      </c>
    </row>
    <row r="504">
      <c r="A504" s="27" t="str">
        <f>'Landscape Trees '!A362</f>
        <v/>
      </c>
      <c r="B504" s="27" t="str">
        <f>'Landscape Trees '!C362</f>
        <v/>
      </c>
      <c r="C504" s="27" t="str">
        <f>'Landscape Trees '!D362</f>
        <v/>
      </c>
      <c r="D504" s="27" t="str">
        <f>'Landscape Trees '!E362</f>
        <v/>
      </c>
      <c r="E504" s="27" t="str">
        <f>'Landscape Trees '!F362</f>
        <v/>
      </c>
      <c r="F504" s="27" t="str">
        <f>'Landscape Trees '!G362</f>
        <v/>
      </c>
      <c r="G504" s="27" t="str">
        <f>'Landscape Trees '!H362</f>
        <v/>
      </c>
      <c r="H504" s="27" t="str">
        <f>'Landscape Trees '!I362</f>
        <v/>
      </c>
    </row>
    <row r="505">
      <c r="A505" s="27" t="str">
        <f>'Landscape Trees '!A363</f>
        <v/>
      </c>
      <c r="B505" s="27" t="str">
        <f>'Landscape Trees '!C363</f>
        <v/>
      </c>
      <c r="C505" s="27" t="str">
        <f>'Landscape Trees '!D363</f>
        <v/>
      </c>
      <c r="D505" s="27" t="str">
        <f>'Landscape Trees '!E363</f>
        <v/>
      </c>
      <c r="E505" s="27" t="str">
        <f>'Landscape Trees '!F363</f>
        <v/>
      </c>
      <c r="F505" s="27" t="str">
        <f>'Landscape Trees '!G363</f>
        <v/>
      </c>
      <c r="G505" s="27" t="str">
        <f>'Landscape Trees '!H363</f>
        <v/>
      </c>
      <c r="H505" s="27" t="str">
        <f>'Landscape Trees '!I363</f>
        <v/>
      </c>
    </row>
    <row r="506">
      <c r="A506" s="27" t="str">
        <f>'Landscape Trees '!A364</f>
        <v/>
      </c>
      <c r="B506" s="27" t="str">
        <f>'Landscape Trees '!C364</f>
        <v/>
      </c>
      <c r="C506" s="27" t="str">
        <f>'Landscape Trees '!D364</f>
        <v/>
      </c>
      <c r="D506" s="27" t="str">
        <f>'Landscape Trees '!E364</f>
        <v/>
      </c>
      <c r="E506" s="27" t="str">
        <f>'Landscape Trees '!F364</f>
        <v/>
      </c>
      <c r="F506" s="27" t="str">
        <f>'Landscape Trees '!G364</f>
        <v/>
      </c>
      <c r="G506" s="27" t="str">
        <f>'Landscape Trees '!H364</f>
        <v/>
      </c>
      <c r="H506" s="27" t="str">
        <f>'Landscape Trees '!I364</f>
        <v/>
      </c>
    </row>
    <row r="507">
      <c r="A507" s="27" t="str">
        <f>'Landscape Trees '!A365</f>
        <v/>
      </c>
      <c r="B507" s="27" t="str">
        <f>'Landscape Trees '!C365</f>
        <v/>
      </c>
      <c r="C507" s="27" t="str">
        <f>'Landscape Trees '!D365</f>
        <v/>
      </c>
      <c r="D507" s="27" t="str">
        <f>'Landscape Trees '!E365</f>
        <v/>
      </c>
      <c r="E507" s="27" t="str">
        <f>'Landscape Trees '!F365</f>
        <v/>
      </c>
      <c r="F507" s="27" t="str">
        <f>'Landscape Trees '!G365</f>
        <v/>
      </c>
      <c r="G507" s="27" t="str">
        <f>'Landscape Trees '!H365</f>
        <v/>
      </c>
      <c r="H507" s="27" t="str">
        <f>'Landscape Trees '!I365</f>
        <v/>
      </c>
    </row>
    <row r="508">
      <c r="A508" s="27" t="str">
        <f>'Landscape Trees '!A366</f>
        <v/>
      </c>
      <c r="B508" s="27" t="str">
        <f>'Landscape Trees '!C366</f>
        <v/>
      </c>
      <c r="C508" s="27" t="str">
        <f>'Landscape Trees '!D366</f>
        <v/>
      </c>
      <c r="D508" s="27" t="str">
        <f>'Landscape Trees '!E366</f>
        <v/>
      </c>
      <c r="E508" s="27" t="str">
        <f>'Landscape Trees '!F366</f>
        <v/>
      </c>
      <c r="F508" s="27" t="str">
        <f>'Landscape Trees '!G366</f>
        <v/>
      </c>
      <c r="G508" s="27" t="str">
        <f>'Landscape Trees '!H366</f>
        <v/>
      </c>
      <c r="H508" s="27" t="str">
        <f>'Landscape Trees '!I366</f>
        <v/>
      </c>
    </row>
    <row r="509">
      <c r="A509" s="27" t="str">
        <f>'Landscape Trees '!A367</f>
        <v/>
      </c>
      <c r="B509" s="27" t="str">
        <f>'Landscape Trees '!C367</f>
        <v/>
      </c>
      <c r="C509" s="27" t="str">
        <f>'Landscape Trees '!D367</f>
        <v/>
      </c>
      <c r="D509" s="27" t="str">
        <f>'Landscape Trees '!E367</f>
        <v/>
      </c>
      <c r="E509" s="27" t="str">
        <f>'Landscape Trees '!F367</f>
        <v/>
      </c>
      <c r="F509" s="27" t="str">
        <f>'Landscape Trees '!G367</f>
        <v/>
      </c>
      <c r="G509" s="27" t="str">
        <f>'Landscape Trees '!H367</f>
        <v/>
      </c>
      <c r="H509" s="27" t="str">
        <f>'Landscape Trees '!I367</f>
        <v/>
      </c>
    </row>
    <row r="510">
      <c r="A510" s="27" t="str">
        <f>'Landscape Trees '!A368</f>
        <v/>
      </c>
      <c r="B510" s="27" t="str">
        <f>'Landscape Trees '!C368</f>
        <v/>
      </c>
      <c r="C510" s="27" t="str">
        <f>'Landscape Trees '!D368</f>
        <v/>
      </c>
      <c r="D510" s="27" t="str">
        <f>'Landscape Trees '!E368</f>
        <v/>
      </c>
      <c r="E510" s="27" t="str">
        <f>'Landscape Trees '!F368</f>
        <v/>
      </c>
      <c r="F510" s="27" t="str">
        <f>'Landscape Trees '!G368</f>
        <v/>
      </c>
      <c r="G510" s="27" t="str">
        <f>'Landscape Trees '!H368</f>
        <v/>
      </c>
      <c r="H510" s="27" t="str">
        <f>'Landscape Trees '!I368</f>
        <v/>
      </c>
    </row>
    <row r="511">
      <c r="A511" s="27" t="str">
        <f>'Landscape Trees '!A369</f>
        <v/>
      </c>
      <c r="B511" s="27" t="str">
        <f>'Landscape Trees '!C369</f>
        <v/>
      </c>
      <c r="C511" s="27" t="str">
        <f>'Landscape Trees '!D369</f>
        <v/>
      </c>
      <c r="D511" s="27" t="str">
        <f>'Landscape Trees '!E369</f>
        <v/>
      </c>
      <c r="E511" s="27" t="str">
        <f>'Landscape Trees '!F369</f>
        <v/>
      </c>
      <c r="F511" s="27" t="str">
        <f>'Landscape Trees '!G369</f>
        <v/>
      </c>
      <c r="G511" s="27" t="str">
        <f>'Landscape Trees '!H369</f>
        <v/>
      </c>
      <c r="H511" s="27" t="str">
        <f>'Landscape Trees '!I369</f>
        <v/>
      </c>
    </row>
    <row r="512">
      <c r="A512" s="27" t="str">
        <f>'Landscape Trees '!A370</f>
        <v/>
      </c>
      <c r="B512" s="27" t="str">
        <f>'Landscape Trees '!C370</f>
        <v/>
      </c>
      <c r="C512" s="27" t="str">
        <f>'Landscape Trees '!D370</f>
        <v/>
      </c>
      <c r="D512" s="27" t="str">
        <f>'Landscape Trees '!E370</f>
        <v/>
      </c>
      <c r="E512" s="27" t="str">
        <f>'Landscape Trees '!F370</f>
        <v/>
      </c>
      <c r="F512" s="27" t="str">
        <f>'Landscape Trees '!G370</f>
        <v/>
      </c>
      <c r="G512" s="27" t="str">
        <f>'Landscape Trees '!H370</f>
        <v/>
      </c>
      <c r="H512" s="27" t="str">
        <f>'Landscape Trees '!I370</f>
        <v/>
      </c>
    </row>
    <row r="513">
      <c r="A513" s="27" t="str">
        <f>'Landscape Trees '!A371</f>
        <v/>
      </c>
      <c r="B513" s="27" t="str">
        <f>'Landscape Trees '!C371</f>
        <v/>
      </c>
      <c r="C513" s="27" t="str">
        <f>'Landscape Trees '!D371</f>
        <v/>
      </c>
      <c r="D513" s="27" t="str">
        <f>'Landscape Trees '!E371</f>
        <v/>
      </c>
      <c r="E513" s="27" t="str">
        <f>'Landscape Trees '!F371</f>
        <v/>
      </c>
      <c r="F513" s="27" t="str">
        <f>'Landscape Trees '!G371</f>
        <v/>
      </c>
      <c r="G513" s="27" t="str">
        <f>'Landscape Trees '!H371</f>
        <v/>
      </c>
      <c r="H513" s="27" t="str">
        <f>'Landscape Trees '!I371</f>
        <v/>
      </c>
    </row>
    <row r="514">
      <c r="A514" s="27" t="str">
        <f>'Landscape Trees '!A372</f>
        <v/>
      </c>
      <c r="B514" s="27" t="str">
        <f>'Landscape Trees '!C372</f>
        <v/>
      </c>
      <c r="C514" s="27" t="str">
        <f>'Landscape Trees '!D372</f>
        <v/>
      </c>
      <c r="D514" s="27" t="str">
        <f>'Landscape Trees '!E372</f>
        <v/>
      </c>
      <c r="E514" s="27" t="str">
        <f>'Landscape Trees '!F372</f>
        <v/>
      </c>
      <c r="F514" s="27" t="str">
        <f>'Landscape Trees '!G372</f>
        <v/>
      </c>
      <c r="G514" s="27" t="str">
        <f>'Landscape Trees '!H372</f>
        <v/>
      </c>
      <c r="H514" s="27" t="str">
        <f>'Landscape Trees '!I372</f>
        <v/>
      </c>
    </row>
    <row r="515">
      <c r="A515" s="27" t="str">
        <f>'Landscape Trees '!A373</f>
        <v/>
      </c>
      <c r="B515" s="27" t="str">
        <f>'Landscape Trees '!C373</f>
        <v/>
      </c>
      <c r="C515" s="27" t="str">
        <f>'Landscape Trees '!D373</f>
        <v/>
      </c>
      <c r="D515" s="27" t="str">
        <f>'Landscape Trees '!E373</f>
        <v/>
      </c>
      <c r="E515" s="27" t="str">
        <f>'Landscape Trees '!F373</f>
        <v/>
      </c>
      <c r="F515" s="27" t="str">
        <f>'Landscape Trees '!G373</f>
        <v/>
      </c>
      <c r="G515" s="27" t="str">
        <f>'Landscape Trees '!H373</f>
        <v/>
      </c>
      <c r="H515" s="27" t="str">
        <f>'Landscape Trees '!I373</f>
        <v/>
      </c>
    </row>
    <row r="516">
      <c r="A516" s="27" t="str">
        <f>'Landscape Trees '!A374</f>
        <v/>
      </c>
      <c r="B516" s="27" t="str">
        <f>'Landscape Trees '!C374</f>
        <v/>
      </c>
      <c r="C516" s="27" t="str">
        <f>'Landscape Trees '!D374</f>
        <v/>
      </c>
      <c r="D516" s="27" t="str">
        <f>'Landscape Trees '!E374</f>
        <v/>
      </c>
      <c r="E516" s="27" t="str">
        <f>'Landscape Trees '!F374</f>
        <v/>
      </c>
      <c r="F516" s="27" t="str">
        <f>'Landscape Trees '!G374</f>
        <v/>
      </c>
      <c r="G516" s="27" t="str">
        <f>'Landscape Trees '!H374</f>
        <v/>
      </c>
      <c r="H516" s="27" t="str">
        <f>'Landscape Trees '!I374</f>
        <v/>
      </c>
    </row>
    <row r="517">
      <c r="A517" s="27" t="str">
        <f>'Landscape Trees '!A375</f>
        <v/>
      </c>
      <c r="B517" s="27" t="str">
        <f>'Landscape Trees '!C375</f>
        <v/>
      </c>
      <c r="C517" s="27" t="str">
        <f>'Landscape Trees '!D375</f>
        <v/>
      </c>
      <c r="D517" s="27" t="str">
        <f>'Landscape Trees '!E375</f>
        <v/>
      </c>
      <c r="E517" s="27" t="str">
        <f>'Landscape Trees '!F375</f>
        <v/>
      </c>
      <c r="F517" s="27" t="str">
        <f>'Landscape Trees '!G375</f>
        <v/>
      </c>
      <c r="G517" s="27" t="str">
        <f>'Landscape Trees '!H375</f>
        <v/>
      </c>
      <c r="H517" s="27" t="str">
        <f>'Landscape Trees '!I375</f>
        <v/>
      </c>
    </row>
    <row r="518">
      <c r="A518" s="27" t="str">
        <f>'Landscape Trees '!A376</f>
        <v/>
      </c>
      <c r="B518" s="27" t="str">
        <f>'Landscape Trees '!C376</f>
        <v/>
      </c>
      <c r="C518" s="27" t="str">
        <f>'Landscape Trees '!D376</f>
        <v/>
      </c>
      <c r="D518" s="27" t="str">
        <f>'Landscape Trees '!E376</f>
        <v/>
      </c>
      <c r="E518" s="27" t="str">
        <f>'Landscape Trees '!F376</f>
        <v/>
      </c>
      <c r="F518" s="27" t="str">
        <f>'Landscape Trees '!G376</f>
        <v/>
      </c>
      <c r="G518" s="27" t="str">
        <f>'Landscape Trees '!H376</f>
        <v/>
      </c>
      <c r="H518" s="27" t="str">
        <f>'Landscape Trees '!I376</f>
        <v/>
      </c>
    </row>
    <row r="519">
      <c r="A519" s="27" t="str">
        <f>'Landscape Trees '!A377</f>
        <v/>
      </c>
      <c r="B519" s="27" t="str">
        <f>'Landscape Trees '!C377</f>
        <v/>
      </c>
      <c r="C519" s="27" t="str">
        <f>'Landscape Trees '!D377</f>
        <v/>
      </c>
      <c r="D519" s="27" t="str">
        <f>'Landscape Trees '!E377</f>
        <v/>
      </c>
      <c r="E519" s="27" t="str">
        <f>'Landscape Trees '!F377</f>
        <v/>
      </c>
      <c r="F519" s="27" t="str">
        <f>'Landscape Trees '!G377</f>
        <v/>
      </c>
      <c r="G519" s="27" t="str">
        <f>'Landscape Trees '!H377</f>
        <v/>
      </c>
      <c r="H519" s="27" t="str">
        <f>'Landscape Trees '!I377</f>
        <v/>
      </c>
    </row>
    <row r="520">
      <c r="A520" s="27" t="str">
        <f>'Landscape Trees '!A378</f>
        <v/>
      </c>
      <c r="B520" s="27" t="str">
        <f>'Landscape Trees '!C378</f>
        <v/>
      </c>
      <c r="C520" s="27" t="str">
        <f>'Landscape Trees '!D378</f>
        <v/>
      </c>
      <c r="D520" s="27" t="str">
        <f>'Landscape Trees '!E378</f>
        <v/>
      </c>
      <c r="E520" s="27" t="str">
        <f>'Landscape Trees '!F378</f>
        <v/>
      </c>
      <c r="F520" s="27" t="str">
        <f>'Landscape Trees '!G378</f>
        <v/>
      </c>
      <c r="G520" s="27" t="str">
        <f>'Landscape Trees '!H378</f>
        <v/>
      </c>
      <c r="H520" s="27" t="str">
        <f>'Landscape Trees '!I378</f>
        <v/>
      </c>
    </row>
    <row r="521">
      <c r="A521" s="27" t="str">
        <f>'Landscape Trees '!A379</f>
        <v/>
      </c>
      <c r="B521" s="27" t="str">
        <f>'Landscape Trees '!C379</f>
        <v/>
      </c>
      <c r="C521" s="27" t="str">
        <f>'Landscape Trees '!D379</f>
        <v/>
      </c>
      <c r="D521" s="27" t="str">
        <f>'Landscape Trees '!E379</f>
        <v/>
      </c>
      <c r="E521" s="27" t="str">
        <f>'Landscape Trees '!F379</f>
        <v/>
      </c>
      <c r="F521" s="27" t="str">
        <f>'Landscape Trees '!G379</f>
        <v/>
      </c>
      <c r="G521" s="27" t="str">
        <f>'Landscape Trees '!H379</f>
        <v/>
      </c>
      <c r="H521" s="27" t="str">
        <f>'Landscape Trees '!I379</f>
        <v/>
      </c>
    </row>
    <row r="522">
      <c r="A522" s="27" t="str">
        <f>'Landscape Trees '!A380</f>
        <v/>
      </c>
      <c r="B522" s="27" t="str">
        <f>'Landscape Trees '!C380</f>
        <v/>
      </c>
      <c r="C522" s="27" t="str">
        <f>'Landscape Trees '!D380</f>
        <v/>
      </c>
      <c r="D522" s="27" t="str">
        <f>'Landscape Trees '!E380</f>
        <v/>
      </c>
      <c r="E522" s="27" t="str">
        <f>'Landscape Trees '!F380</f>
        <v/>
      </c>
      <c r="F522" s="27" t="str">
        <f>'Landscape Trees '!G380</f>
        <v/>
      </c>
      <c r="G522" s="27" t="str">
        <f>'Landscape Trees '!H380</f>
        <v/>
      </c>
      <c r="H522" s="27" t="str">
        <f>'Landscape Trees '!I380</f>
        <v/>
      </c>
    </row>
    <row r="523">
      <c r="A523" s="27" t="str">
        <f>'Landscape Trees '!A381</f>
        <v/>
      </c>
      <c r="B523" s="27" t="str">
        <f>'Landscape Trees '!C381</f>
        <v/>
      </c>
      <c r="C523" s="27" t="str">
        <f>'Landscape Trees '!D381</f>
        <v/>
      </c>
      <c r="D523" s="27" t="str">
        <f>'Landscape Trees '!E381</f>
        <v/>
      </c>
      <c r="E523" s="27" t="str">
        <f>'Landscape Trees '!F381</f>
        <v/>
      </c>
      <c r="F523" s="27" t="str">
        <f>'Landscape Trees '!G381</f>
        <v/>
      </c>
      <c r="G523" s="27" t="str">
        <f>'Landscape Trees '!H381</f>
        <v/>
      </c>
      <c r="H523" s="27" t="str">
        <f>'Landscape Trees '!I381</f>
        <v/>
      </c>
    </row>
    <row r="524">
      <c r="A524" s="27" t="str">
        <f>'Landscape Trees '!A382</f>
        <v/>
      </c>
      <c r="B524" s="27" t="str">
        <f>'Landscape Trees '!C382</f>
        <v/>
      </c>
      <c r="C524" s="27" t="str">
        <f>'Landscape Trees '!D382</f>
        <v/>
      </c>
      <c r="D524" s="27" t="str">
        <f>'Landscape Trees '!E382</f>
        <v/>
      </c>
      <c r="E524" s="27" t="str">
        <f>'Landscape Trees '!F382</f>
        <v/>
      </c>
      <c r="F524" s="27" t="str">
        <f>'Landscape Trees '!G382</f>
        <v/>
      </c>
      <c r="G524" s="27" t="str">
        <f>'Landscape Trees '!H382</f>
        <v/>
      </c>
      <c r="H524" s="27" t="str">
        <f>'Landscape Trees '!I382</f>
        <v/>
      </c>
    </row>
    <row r="525">
      <c r="A525" s="27" t="str">
        <f>'Landscape Trees '!A383</f>
        <v/>
      </c>
      <c r="B525" s="27" t="str">
        <f>'Landscape Trees '!C383</f>
        <v/>
      </c>
      <c r="C525" s="27" t="str">
        <f>'Landscape Trees '!D383</f>
        <v/>
      </c>
      <c r="D525" s="27" t="str">
        <f>'Landscape Trees '!E383</f>
        <v/>
      </c>
      <c r="E525" s="27" t="str">
        <f>'Landscape Trees '!F383</f>
        <v/>
      </c>
      <c r="F525" s="27" t="str">
        <f>'Landscape Trees '!G383</f>
        <v/>
      </c>
      <c r="G525" s="27" t="str">
        <f>'Landscape Trees '!H383</f>
        <v/>
      </c>
      <c r="H525" s="27" t="str">
        <f>'Landscape Trees '!I383</f>
        <v/>
      </c>
    </row>
    <row r="526">
      <c r="A526" s="27" t="str">
        <f>'Landscape Trees '!A384</f>
        <v/>
      </c>
      <c r="B526" s="27" t="str">
        <f>'Landscape Trees '!C384</f>
        <v/>
      </c>
      <c r="C526" s="27" t="str">
        <f>'Landscape Trees '!D384</f>
        <v/>
      </c>
      <c r="D526" s="27" t="str">
        <f>'Landscape Trees '!E384</f>
        <v/>
      </c>
      <c r="E526" s="27" t="str">
        <f>'Landscape Trees '!F384</f>
        <v/>
      </c>
      <c r="F526" s="27" t="str">
        <f>'Landscape Trees '!G384</f>
        <v/>
      </c>
      <c r="G526" s="27" t="str">
        <f>'Landscape Trees '!H384</f>
        <v/>
      </c>
      <c r="H526" s="27" t="str">
        <f>'Landscape Trees '!I384</f>
        <v/>
      </c>
    </row>
    <row r="527">
      <c r="A527" s="27" t="str">
        <f>'Landscape Trees '!A385</f>
        <v/>
      </c>
      <c r="B527" s="27" t="str">
        <f>'Landscape Trees '!C385</f>
        <v/>
      </c>
      <c r="C527" s="27" t="str">
        <f>'Landscape Trees '!D385</f>
        <v/>
      </c>
      <c r="D527" s="27" t="str">
        <f>'Landscape Trees '!E385</f>
        <v/>
      </c>
      <c r="E527" s="27" t="str">
        <f>'Landscape Trees '!F385</f>
        <v/>
      </c>
      <c r="F527" s="27" t="str">
        <f>'Landscape Trees '!G385</f>
        <v/>
      </c>
      <c r="G527" s="27" t="str">
        <f>'Landscape Trees '!H385</f>
        <v/>
      </c>
      <c r="H527" s="27" t="str">
        <f>'Landscape Trees '!I385</f>
        <v/>
      </c>
    </row>
    <row r="528">
      <c r="A528" s="27" t="str">
        <f>'Landscape Trees '!A386</f>
        <v/>
      </c>
      <c r="B528" s="27" t="str">
        <f>'Landscape Trees '!C386</f>
        <v/>
      </c>
      <c r="C528" s="27" t="str">
        <f>'Landscape Trees '!D386</f>
        <v/>
      </c>
      <c r="D528" s="27" t="str">
        <f>'Landscape Trees '!E386</f>
        <v/>
      </c>
      <c r="E528" s="27" t="str">
        <f>'Landscape Trees '!F386</f>
        <v/>
      </c>
      <c r="F528" s="27" t="str">
        <f>'Landscape Trees '!G386</f>
        <v/>
      </c>
      <c r="G528" s="27" t="str">
        <f>'Landscape Trees '!H386</f>
        <v/>
      </c>
      <c r="H528" s="27" t="str">
        <f>'Landscape Trees '!I386</f>
        <v/>
      </c>
    </row>
    <row r="529">
      <c r="A529" s="27" t="str">
        <f>'Landscape Trees '!A387</f>
        <v/>
      </c>
      <c r="B529" s="27" t="str">
        <f>'Landscape Trees '!C387</f>
        <v/>
      </c>
      <c r="C529" s="27" t="str">
        <f>'Landscape Trees '!D387</f>
        <v/>
      </c>
      <c r="D529" s="27" t="str">
        <f>'Landscape Trees '!E387</f>
        <v/>
      </c>
      <c r="E529" s="27" t="str">
        <f>'Landscape Trees '!F387</f>
        <v/>
      </c>
      <c r="F529" s="27" t="str">
        <f>'Landscape Trees '!G387</f>
        <v/>
      </c>
      <c r="G529" s="27" t="str">
        <f>'Landscape Trees '!H387</f>
        <v/>
      </c>
      <c r="H529" s="27" t="str">
        <f>'Landscape Trees '!I387</f>
        <v/>
      </c>
    </row>
    <row r="530">
      <c r="A530" s="27" t="str">
        <f>'Landscape Trees '!A388</f>
        <v/>
      </c>
      <c r="B530" s="27" t="str">
        <f>'Landscape Trees '!C388</f>
        <v/>
      </c>
      <c r="C530" s="27" t="str">
        <f>'Landscape Trees '!D388</f>
        <v/>
      </c>
      <c r="D530" s="27" t="str">
        <f>'Landscape Trees '!E388</f>
        <v/>
      </c>
      <c r="E530" s="27" t="str">
        <f>'Landscape Trees '!F388</f>
        <v/>
      </c>
      <c r="F530" s="27" t="str">
        <f>'Landscape Trees '!G388</f>
        <v/>
      </c>
      <c r="G530" s="27" t="str">
        <f>'Landscape Trees '!H388</f>
        <v/>
      </c>
      <c r="H530" s="27" t="str">
        <f>'Landscape Trees '!I388</f>
        <v/>
      </c>
    </row>
    <row r="531">
      <c r="A531" s="27" t="str">
        <f>'Landscape Trees '!A389</f>
        <v/>
      </c>
      <c r="B531" s="27" t="str">
        <f>'Landscape Trees '!C389</f>
        <v/>
      </c>
      <c r="C531" s="27" t="str">
        <f>'Landscape Trees '!D389</f>
        <v/>
      </c>
      <c r="D531" s="27" t="str">
        <f>'Landscape Trees '!E389</f>
        <v/>
      </c>
      <c r="E531" s="27" t="str">
        <f>'Landscape Trees '!F389</f>
        <v/>
      </c>
      <c r="F531" s="27" t="str">
        <f>'Landscape Trees '!G389</f>
        <v/>
      </c>
      <c r="G531" s="27" t="str">
        <f>'Landscape Trees '!H389</f>
        <v/>
      </c>
      <c r="H531" s="27" t="str">
        <f>'Landscape Trees '!I389</f>
        <v/>
      </c>
    </row>
    <row r="532">
      <c r="A532" s="27" t="str">
        <f>'Landscape Trees '!A390</f>
        <v/>
      </c>
      <c r="B532" s="27" t="str">
        <f>'Landscape Trees '!C390</f>
        <v/>
      </c>
      <c r="C532" s="27" t="str">
        <f>'Landscape Trees '!D390</f>
        <v/>
      </c>
      <c r="D532" s="27" t="str">
        <f>'Landscape Trees '!E390</f>
        <v/>
      </c>
      <c r="E532" s="27" t="str">
        <f>'Landscape Trees '!F390</f>
        <v/>
      </c>
      <c r="F532" s="27" t="str">
        <f>'Landscape Trees '!G390</f>
        <v/>
      </c>
      <c r="G532" s="27" t="str">
        <f>'Landscape Trees '!H390</f>
        <v/>
      </c>
      <c r="H532" s="27" t="str">
        <f>'Landscape Trees '!I390</f>
        <v/>
      </c>
    </row>
    <row r="533">
      <c r="A533" s="27" t="str">
        <f>'Landscape Trees '!A391</f>
        <v/>
      </c>
      <c r="B533" s="27" t="str">
        <f>'Landscape Trees '!C391</f>
        <v/>
      </c>
      <c r="C533" s="27" t="str">
        <f>'Landscape Trees '!D391</f>
        <v/>
      </c>
      <c r="D533" s="27" t="str">
        <f>'Landscape Trees '!E391</f>
        <v/>
      </c>
      <c r="E533" s="27" t="str">
        <f>'Landscape Trees '!F391</f>
        <v/>
      </c>
      <c r="F533" s="27" t="str">
        <f>'Landscape Trees '!G391</f>
        <v/>
      </c>
      <c r="G533" s="27" t="str">
        <f>'Landscape Trees '!H391</f>
        <v/>
      </c>
      <c r="H533" s="27" t="str">
        <f>'Landscape Trees '!I391</f>
        <v/>
      </c>
    </row>
    <row r="534">
      <c r="A534" s="27" t="str">
        <f>'Landscape Trees '!A392</f>
        <v/>
      </c>
      <c r="B534" s="27" t="str">
        <f>'Landscape Trees '!C392</f>
        <v/>
      </c>
      <c r="C534" s="27" t="str">
        <f>'Landscape Trees '!D392</f>
        <v/>
      </c>
      <c r="D534" s="27" t="str">
        <f>'Landscape Trees '!E392</f>
        <v/>
      </c>
      <c r="E534" s="27" t="str">
        <f>'Landscape Trees '!F392</f>
        <v/>
      </c>
      <c r="F534" s="27" t="str">
        <f>'Landscape Trees '!G392</f>
        <v/>
      </c>
      <c r="G534" s="27" t="str">
        <f>'Landscape Trees '!H392</f>
        <v/>
      </c>
      <c r="H534" s="27" t="str">
        <f>'Landscape Trees '!I392</f>
        <v/>
      </c>
    </row>
    <row r="535">
      <c r="A535" s="27" t="str">
        <f>'Landscape Trees '!A393</f>
        <v/>
      </c>
      <c r="B535" s="27" t="str">
        <f>'Landscape Trees '!C393</f>
        <v/>
      </c>
      <c r="C535" s="27" t="str">
        <f>'Landscape Trees '!D393</f>
        <v/>
      </c>
      <c r="D535" s="27" t="str">
        <f>'Landscape Trees '!E393</f>
        <v/>
      </c>
      <c r="E535" s="27" t="str">
        <f>'Landscape Trees '!F393</f>
        <v/>
      </c>
      <c r="F535" s="27" t="str">
        <f>'Landscape Trees '!G393</f>
        <v/>
      </c>
      <c r="G535" s="27" t="str">
        <f>'Landscape Trees '!H393</f>
        <v/>
      </c>
      <c r="H535" s="27" t="str">
        <f>'Landscape Trees '!I393</f>
        <v/>
      </c>
    </row>
    <row r="536">
      <c r="A536" s="27" t="str">
        <f>'Landscape Trees '!A394</f>
        <v/>
      </c>
      <c r="B536" s="27" t="str">
        <f>'Landscape Trees '!C394</f>
        <v/>
      </c>
      <c r="C536" s="27" t="str">
        <f>'Landscape Trees '!D394</f>
        <v/>
      </c>
      <c r="D536" s="27" t="str">
        <f>'Landscape Trees '!E394</f>
        <v/>
      </c>
      <c r="E536" s="27" t="str">
        <f>'Landscape Trees '!F394</f>
        <v/>
      </c>
      <c r="F536" s="27" t="str">
        <f>'Landscape Trees '!G394</f>
        <v/>
      </c>
      <c r="G536" s="27" t="str">
        <f>'Landscape Trees '!H394</f>
        <v/>
      </c>
      <c r="H536" s="27" t="str">
        <f>'Landscape Trees '!I394</f>
        <v/>
      </c>
    </row>
    <row r="537">
      <c r="A537" s="27" t="str">
        <f>'Landscape Trees '!A395</f>
        <v/>
      </c>
      <c r="B537" s="27" t="str">
        <f>'Landscape Trees '!C395</f>
        <v/>
      </c>
      <c r="C537" s="27" t="str">
        <f>'Landscape Trees '!D395</f>
        <v/>
      </c>
      <c r="D537" s="27" t="str">
        <f>'Landscape Trees '!E395</f>
        <v/>
      </c>
      <c r="E537" s="27" t="str">
        <f>'Landscape Trees '!F395</f>
        <v/>
      </c>
      <c r="F537" s="27" t="str">
        <f>'Landscape Trees '!G395</f>
        <v/>
      </c>
      <c r="G537" s="27" t="str">
        <f>'Landscape Trees '!H395</f>
        <v/>
      </c>
      <c r="H537" s="27" t="str">
        <f>'Landscape Trees '!I395</f>
        <v/>
      </c>
    </row>
    <row r="538">
      <c r="A538" s="27" t="str">
        <f>'Landscape Trees '!A396</f>
        <v/>
      </c>
      <c r="B538" s="27" t="str">
        <f>'Landscape Trees '!C396</f>
        <v/>
      </c>
      <c r="C538" s="27" t="str">
        <f>'Landscape Trees '!D396</f>
        <v/>
      </c>
      <c r="D538" s="27" t="str">
        <f>'Landscape Trees '!E396</f>
        <v/>
      </c>
      <c r="E538" s="27" t="str">
        <f>'Landscape Trees '!F396</f>
        <v/>
      </c>
      <c r="F538" s="27" t="str">
        <f>'Landscape Trees '!G396</f>
        <v/>
      </c>
      <c r="G538" s="27" t="str">
        <f>'Landscape Trees '!H396</f>
        <v/>
      </c>
      <c r="H538" s="27" t="str">
        <f>'Landscape Trees '!I396</f>
        <v/>
      </c>
    </row>
    <row r="539">
      <c r="A539" s="27" t="str">
        <f>'Landscape Trees '!A397</f>
        <v/>
      </c>
      <c r="B539" s="27" t="str">
        <f>'Landscape Trees '!C397</f>
        <v/>
      </c>
      <c r="C539" s="27" t="str">
        <f>'Landscape Trees '!D397</f>
        <v/>
      </c>
      <c r="D539" s="27" t="str">
        <f>'Landscape Trees '!E397</f>
        <v/>
      </c>
      <c r="E539" s="27" t="str">
        <f>'Landscape Trees '!F397</f>
        <v/>
      </c>
      <c r="F539" s="27" t="str">
        <f>'Landscape Trees '!G397</f>
        <v/>
      </c>
      <c r="G539" s="27" t="str">
        <f>'Landscape Trees '!H397</f>
        <v/>
      </c>
      <c r="H539" s="27" t="str">
        <f>'Landscape Trees '!I397</f>
        <v/>
      </c>
    </row>
    <row r="540">
      <c r="A540" s="27" t="str">
        <f>'Landscape Trees '!A398</f>
        <v/>
      </c>
      <c r="B540" s="27" t="str">
        <f>'Landscape Trees '!C398</f>
        <v/>
      </c>
      <c r="C540" s="27" t="str">
        <f>'Landscape Trees '!D398</f>
        <v/>
      </c>
      <c r="D540" s="27" t="str">
        <f>'Landscape Trees '!E398</f>
        <v/>
      </c>
      <c r="E540" s="27" t="str">
        <f>'Landscape Trees '!F398</f>
        <v/>
      </c>
      <c r="F540" s="27" t="str">
        <f>'Landscape Trees '!G398</f>
        <v/>
      </c>
      <c r="G540" s="27" t="str">
        <f>'Landscape Trees '!H398</f>
        <v/>
      </c>
      <c r="H540" s="27" t="str">
        <f>'Landscape Trees '!I398</f>
        <v/>
      </c>
    </row>
    <row r="541">
      <c r="A541" s="27" t="str">
        <f>'Landscape Trees '!A399</f>
        <v/>
      </c>
      <c r="B541" s="27" t="str">
        <f>'Landscape Trees '!C399</f>
        <v/>
      </c>
      <c r="C541" s="27" t="str">
        <f>'Landscape Trees '!D399</f>
        <v/>
      </c>
      <c r="D541" s="27" t="str">
        <f>'Landscape Trees '!E399</f>
        <v/>
      </c>
      <c r="E541" s="27" t="str">
        <f>'Landscape Trees '!F399</f>
        <v/>
      </c>
      <c r="F541" s="27" t="str">
        <f>'Landscape Trees '!G399</f>
        <v/>
      </c>
      <c r="G541" s="27" t="str">
        <f>'Landscape Trees '!H399</f>
        <v/>
      </c>
      <c r="H541" s="27" t="str">
        <f>'Landscape Trees '!I399</f>
        <v/>
      </c>
    </row>
    <row r="542">
      <c r="A542" s="27" t="str">
        <f>'Landscape Trees '!A400</f>
        <v/>
      </c>
      <c r="B542" s="27" t="str">
        <f>'Landscape Trees '!C400</f>
        <v/>
      </c>
      <c r="C542" s="27" t="str">
        <f>'Landscape Trees '!D400</f>
        <v/>
      </c>
      <c r="D542" s="27" t="str">
        <f>'Landscape Trees '!E400</f>
        <v/>
      </c>
      <c r="E542" s="27" t="str">
        <f>'Landscape Trees '!F400</f>
        <v/>
      </c>
      <c r="F542" s="27" t="str">
        <f>'Landscape Trees '!G400</f>
        <v/>
      </c>
      <c r="G542" s="27" t="str">
        <f>'Landscape Trees '!H400</f>
        <v/>
      </c>
      <c r="H542" s="27" t="str">
        <f>'Landscape Trees '!I400</f>
        <v/>
      </c>
    </row>
    <row r="543">
      <c r="A543" s="27" t="str">
        <f>'Landscape Trees '!A401</f>
        <v/>
      </c>
      <c r="B543" s="27" t="str">
        <f>'Landscape Trees '!C401</f>
        <v/>
      </c>
      <c r="C543" s="27" t="str">
        <f>'Landscape Trees '!D401</f>
        <v/>
      </c>
      <c r="D543" s="27" t="str">
        <f>'Landscape Trees '!E401</f>
        <v/>
      </c>
      <c r="E543" s="27" t="str">
        <f>'Landscape Trees '!F401</f>
        <v/>
      </c>
      <c r="F543" s="27" t="str">
        <f>'Landscape Trees '!G401</f>
        <v/>
      </c>
      <c r="G543" s="27" t="str">
        <f>'Landscape Trees '!H401</f>
        <v/>
      </c>
      <c r="H543" s="27" t="str">
        <f>'Landscape Trees '!I401</f>
        <v/>
      </c>
    </row>
    <row r="544">
      <c r="A544" s="27" t="str">
        <f>'Landscape Trees '!A402</f>
        <v/>
      </c>
      <c r="B544" s="27" t="str">
        <f>'Landscape Trees '!C402</f>
        <v/>
      </c>
      <c r="C544" s="27" t="str">
        <f>'Landscape Trees '!D402</f>
        <v/>
      </c>
      <c r="D544" s="27" t="str">
        <f>'Landscape Trees '!E402</f>
        <v/>
      </c>
      <c r="E544" s="27" t="str">
        <f>'Landscape Trees '!F402</f>
        <v/>
      </c>
      <c r="F544" s="27" t="str">
        <f>'Landscape Trees '!G402</f>
        <v/>
      </c>
      <c r="G544" s="27" t="str">
        <f>'Landscape Trees '!H402</f>
        <v/>
      </c>
      <c r="H544" s="27" t="str">
        <f>'Landscape Trees '!I402</f>
        <v/>
      </c>
    </row>
    <row r="545">
      <c r="A545" s="27" t="str">
        <f>'Landscape Trees '!A403</f>
        <v/>
      </c>
      <c r="B545" s="27" t="str">
        <f>'Landscape Trees '!C403</f>
        <v/>
      </c>
      <c r="C545" s="27" t="str">
        <f>'Landscape Trees '!D403</f>
        <v/>
      </c>
      <c r="D545" s="27" t="str">
        <f>'Landscape Trees '!E403</f>
        <v/>
      </c>
      <c r="E545" s="27" t="str">
        <f>'Landscape Trees '!F403</f>
        <v/>
      </c>
      <c r="F545" s="27" t="str">
        <f>'Landscape Trees '!G403</f>
        <v/>
      </c>
      <c r="G545" s="27" t="str">
        <f>'Landscape Trees '!H403</f>
        <v/>
      </c>
      <c r="H545" s="27" t="str">
        <f>'Landscape Trees '!I403</f>
        <v/>
      </c>
    </row>
    <row r="546">
      <c r="A546" s="27" t="str">
        <f>'Landscape Trees '!A404</f>
        <v/>
      </c>
      <c r="B546" s="27" t="str">
        <f>'Landscape Trees '!C404</f>
        <v/>
      </c>
      <c r="C546" s="27" t="str">
        <f>'Landscape Trees '!D404</f>
        <v/>
      </c>
      <c r="D546" s="27" t="str">
        <f>'Landscape Trees '!E404</f>
        <v/>
      </c>
      <c r="E546" s="27" t="str">
        <f>'Landscape Trees '!F404</f>
        <v/>
      </c>
      <c r="F546" s="27" t="str">
        <f>'Landscape Trees '!G404</f>
        <v/>
      </c>
      <c r="G546" s="27" t="str">
        <f>'Landscape Trees '!H404</f>
        <v/>
      </c>
      <c r="H546" s="27" t="str">
        <f>'Landscape Trees '!I404</f>
        <v/>
      </c>
    </row>
    <row r="547">
      <c r="A547" s="27" t="str">
        <f>'Landscape Trees '!A405</f>
        <v/>
      </c>
      <c r="B547" s="27" t="str">
        <f>'Landscape Trees '!C405</f>
        <v/>
      </c>
      <c r="C547" s="27" t="str">
        <f>'Landscape Trees '!D405</f>
        <v/>
      </c>
      <c r="D547" s="27" t="str">
        <f>'Landscape Trees '!E405</f>
        <v/>
      </c>
      <c r="E547" s="27" t="str">
        <f>'Landscape Trees '!F405</f>
        <v/>
      </c>
      <c r="F547" s="27" t="str">
        <f>'Landscape Trees '!G405</f>
        <v/>
      </c>
      <c r="G547" s="27" t="str">
        <f>'Landscape Trees '!H405</f>
        <v/>
      </c>
      <c r="H547" s="27" t="str">
        <f>'Landscape Trees '!I405</f>
        <v/>
      </c>
    </row>
    <row r="548">
      <c r="A548" s="27" t="str">
        <f>'Landscape Trees '!A406</f>
        <v/>
      </c>
      <c r="B548" s="27" t="str">
        <f>'Landscape Trees '!C406</f>
        <v/>
      </c>
      <c r="C548" s="27" t="str">
        <f>'Landscape Trees '!D406</f>
        <v/>
      </c>
      <c r="D548" s="27" t="str">
        <f>'Landscape Trees '!E406</f>
        <v/>
      </c>
      <c r="E548" s="27" t="str">
        <f>'Landscape Trees '!F406</f>
        <v/>
      </c>
      <c r="F548" s="27" t="str">
        <f>'Landscape Trees '!G406</f>
        <v/>
      </c>
      <c r="G548" s="27" t="str">
        <f>'Landscape Trees '!H406</f>
        <v/>
      </c>
      <c r="H548" s="27" t="str">
        <f>'Landscape Trees '!I406</f>
        <v/>
      </c>
    </row>
    <row r="549">
      <c r="A549" s="27" t="str">
        <f>'Landscape Trees '!A407</f>
        <v/>
      </c>
      <c r="B549" s="27" t="str">
        <f>'Landscape Trees '!C407</f>
        <v/>
      </c>
      <c r="C549" s="27" t="str">
        <f>'Landscape Trees '!D407</f>
        <v/>
      </c>
      <c r="D549" s="27" t="str">
        <f>'Landscape Trees '!E407</f>
        <v/>
      </c>
      <c r="E549" s="27" t="str">
        <f>'Landscape Trees '!F407</f>
        <v/>
      </c>
      <c r="F549" s="27" t="str">
        <f>'Landscape Trees '!G407</f>
        <v/>
      </c>
      <c r="G549" s="27" t="str">
        <f>'Landscape Trees '!H407</f>
        <v/>
      </c>
      <c r="H549" s="27" t="str">
        <f>'Landscape Trees '!I407</f>
        <v/>
      </c>
    </row>
    <row r="550">
      <c r="A550" s="27" t="str">
        <f>'Landscape Trees '!A408</f>
        <v/>
      </c>
      <c r="B550" s="27" t="str">
        <f>'Landscape Trees '!C408</f>
        <v/>
      </c>
      <c r="C550" s="27" t="str">
        <f>'Landscape Trees '!D408</f>
        <v/>
      </c>
      <c r="D550" s="27" t="str">
        <f>'Landscape Trees '!E408</f>
        <v/>
      </c>
      <c r="E550" s="27" t="str">
        <f>'Landscape Trees '!F408</f>
        <v/>
      </c>
      <c r="F550" s="27" t="str">
        <f>'Landscape Trees '!G408</f>
        <v/>
      </c>
      <c r="G550" s="27" t="str">
        <f>'Landscape Trees '!H408</f>
        <v/>
      </c>
      <c r="H550" s="27" t="str">
        <f>'Landscape Trees '!I408</f>
        <v/>
      </c>
    </row>
    <row r="551">
      <c r="A551" s="27" t="str">
        <f>'Landscape Trees '!A409</f>
        <v/>
      </c>
      <c r="B551" s="27" t="str">
        <f>'Landscape Trees '!C409</f>
        <v/>
      </c>
      <c r="C551" s="27" t="str">
        <f>'Landscape Trees '!D409</f>
        <v/>
      </c>
      <c r="D551" s="27" t="str">
        <f>'Landscape Trees '!E409</f>
        <v/>
      </c>
      <c r="E551" s="27" t="str">
        <f>'Landscape Trees '!F409</f>
        <v/>
      </c>
      <c r="F551" s="27" t="str">
        <f>'Landscape Trees '!G409</f>
        <v/>
      </c>
      <c r="G551" s="27" t="str">
        <f>'Landscape Trees '!H409</f>
        <v/>
      </c>
      <c r="H551" s="27" t="str">
        <f>'Landscape Trees '!I409</f>
        <v/>
      </c>
    </row>
    <row r="552">
      <c r="A552" s="27" t="str">
        <f>'Landscape Trees '!A410</f>
        <v/>
      </c>
      <c r="B552" s="27" t="str">
        <f>'Landscape Trees '!C410</f>
        <v/>
      </c>
      <c r="C552" s="27" t="str">
        <f>'Landscape Trees '!D410</f>
        <v/>
      </c>
      <c r="D552" s="27" t="str">
        <f>'Landscape Trees '!E410</f>
        <v/>
      </c>
      <c r="E552" s="27" t="str">
        <f>'Landscape Trees '!F410</f>
        <v/>
      </c>
      <c r="F552" s="27" t="str">
        <f>'Landscape Trees '!G410</f>
        <v/>
      </c>
      <c r="G552" s="27" t="str">
        <f>'Landscape Trees '!H410</f>
        <v/>
      </c>
      <c r="H552" s="27" t="str">
        <f>'Landscape Trees '!I410</f>
        <v/>
      </c>
    </row>
    <row r="553">
      <c r="A553" s="27" t="str">
        <f>'Landscape Trees '!A411</f>
        <v/>
      </c>
      <c r="B553" s="27" t="str">
        <f>'Landscape Trees '!C411</f>
        <v/>
      </c>
      <c r="C553" s="27" t="str">
        <f>'Landscape Trees '!D411</f>
        <v/>
      </c>
      <c r="D553" s="27" t="str">
        <f>'Landscape Trees '!E411</f>
        <v/>
      </c>
      <c r="E553" s="27" t="str">
        <f>'Landscape Trees '!F411</f>
        <v/>
      </c>
      <c r="F553" s="27" t="str">
        <f>'Landscape Trees '!G411</f>
        <v/>
      </c>
      <c r="G553" s="27" t="str">
        <f>'Landscape Trees '!H411</f>
        <v/>
      </c>
      <c r="H553" s="27" t="str">
        <f>'Landscape Trees '!I411</f>
        <v/>
      </c>
    </row>
    <row r="554">
      <c r="A554" s="27" t="str">
        <f>'Landscape Trees '!A412</f>
        <v/>
      </c>
      <c r="B554" s="27" t="str">
        <f>'Landscape Trees '!C412</f>
        <v/>
      </c>
      <c r="C554" s="27" t="str">
        <f>'Landscape Trees '!D412</f>
        <v/>
      </c>
      <c r="D554" s="27" t="str">
        <f>'Landscape Trees '!E412</f>
        <v/>
      </c>
      <c r="E554" s="27" t="str">
        <f>'Landscape Trees '!F412</f>
        <v/>
      </c>
      <c r="F554" s="27" t="str">
        <f>'Landscape Trees '!G412</f>
        <v/>
      </c>
      <c r="G554" s="27" t="str">
        <f>'Landscape Trees '!H412</f>
        <v/>
      </c>
      <c r="H554" s="27" t="str">
        <f>'Landscape Trees '!I412</f>
        <v/>
      </c>
    </row>
    <row r="555">
      <c r="A555" s="27" t="str">
        <f>'Landscape Trees '!A413</f>
        <v/>
      </c>
      <c r="B555" s="27" t="str">
        <f>'Landscape Trees '!C413</f>
        <v/>
      </c>
      <c r="C555" s="27" t="str">
        <f>'Landscape Trees '!D413</f>
        <v/>
      </c>
      <c r="D555" s="27" t="str">
        <f>'Landscape Trees '!E413</f>
        <v/>
      </c>
      <c r="E555" s="27" t="str">
        <f>'Landscape Trees '!F413</f>
        <v/>
      </c>
      <c r="F555" s="27" t="str">
        <f>'Landscape Trees '!G413</f>
        <v/>
      </c>
      <c r="G555" s="27" t="str">
        <f>'Landscape Trees '!H413</f>
        <v/>
      </c>
      <c r="H555" s="27" t="str">
        <f>'Landscape Trees '!I413</f>
        <v/>
      </c>
    </row>
    <row r="556">
      <c r="A556" s="27" t="str">
        <f>'Landscape Trees '!A414</f>
        <v/>
      </c>
      <c r="B556" s="27" t="str">
        <f>'Landscape Trees '!C414</f>
        <v/>
      </c>
      <c r="C556" s="27" t="str">
        <f>'Landscape Trees '!D414</f>
        <v/>
      </c>
      <c r="D556" s="27" t="str">
        <f>'Landscape Trees '!E414</f>
        <v/>
      </c>
      <c r="E556" s="27" t="str">
        <f>'Landscape Trees '!F414</f>
        <v/>
      </c>
      <c r="F556" s="27" t="str">
        <f>'Landscape Trees '!G414</f>
        <v/>
      </c>
      <c r="G556" s="27" t="str">
        <f>'Landscape Trees '!H414</f>
        <v/>
      </c>
      <c r="H556" s="27" t="str">
        <f>'Landscape Trees '!I414</f>
        <v/>
      </c>
    </row>
    <row r="557">
      <c r="A557" s="27" t="str">
        <f>'Landscape Trees '!A415</f>
        <v/>
      </c>
      <c r="B557" s="27" t="str">
        <f>'Landscape Trees '!C415</f>
        <v/>
      </c>
      <c r="C557" s="27" t="str">
        <f>'Landscape Trees '!D415</f>
        <v/>
      </c>
      <c r="D557" s="27" t="str">
        <f>'Landscape Trees '!E415</f>
        <v/>
      </c>
      <c r="E557" s="27" t="str">
        <f>'Landscape Trees '!F415</f>
        <v/>
      </c>
      <c r="F557" s="27" t="str">
        <f>'Landscape Trees '!G415</f>
        <v/>
      </c>
      <c r="G557" s="27" t="str">
        <f>'Landscape Trees '!H415</f>
        <v/>
      </c>
      <c r="H557" s="27" t="str">
        <f>'Landscape Trees '!I415</f>
        <v/>
      </c>
    </row>
    <row r="558">
      <c r="A558" s="27" t="str">
        <f>'Landscape Trees '!A416</f>
        <v/>
      </c>
      <c r="B558" s="27" t="str">
        <f>'Landscape Trees '!C416</f>
        <v/>
      </c>
      <c r="C558" s="27" t="str">
        <f>'Landscape Trees '!D416</f>
        <v/>
      </c>
      <c r="D558" s="27" t="str">
        <f>'Landscape Trees '!E416</f>
        <v/>
      </c>
      <c r="E558" s="27" t="str">
        <f>'Landscape Trees '!F416</f>
        <v/>
      </c>
      <c r="F558" s="27" t="str">
        <f>'Landscape Trees '!G416</f>
        <v/>
      </c>
      <c r="G558" s="27" t="str">
        <f>'Landscape Trees '!H416</f>
        <v/>
      </c>
      <c r="H558" s="27" t="str">
        <f>'Landscape Trees '!I416</f>
        <v/>
      </c>
    </row>
    <row r="559">
      <c r="A559" s="27" t="str">
        <f>'Landscape Trees '!A417</f>
        <v/>
      </c>
      <c r="B559" s="27" t="str">
        <f>'Landscape Trees '!C417</f>
        <v/>
      </c>
      <c r="C559" s="27" t="str">
        <f>'Landscape Trees '!D417</f>
        <v/>
      </c>
      <c r="D559" s="27" t="str">
        <f>'Landscape Trees '!E417</f>
        <v/>
      </c>
      <c r="E559" s="27" t="str">
        <f>'Landscape Trees '!F417</f>
        <v/>
      </c>
      <c r="F559" s="27" t="str">
        <f>'Landscape Trees '!G417</f>
        <v/>
      </c>
      <c r="G559" s="27" t="str">
        <f>'Landscape Trees '!H417</f>
        <v/>
      </c>
      <c r="H559" s="27" t="str">
        <f>'Landscape Trees '!I417</f>
        <v/>
      </c>
    </row>
    <row r="560">
      <c r="A560" s="27" t="str">
        <f>'Landscape Trees '!A418</f>
        <v/>
      </c>
      <c r="B560" s="27" t="str">
        <f>'Landscape Trees '!C418</f>
        <v/>
      </c>
      <c r="C560" s="27" t="str">
        <f>'Landscape Trees '!D418</f>
        <v/>
      </c>
      <c r="D560" s="27" t="str">
        <f>'Landscape Trees '!E418</f>
        <v/>
      </c>
      <c r="E560" s="27" t="str">
        <f>'Landscape Trees '!F418</f>
        <v/>
      </c>
      <c r="F560" s="27" t="str">
        <f>'Landscape Trees '!G418</f>
        <v/>
      </c>
      <c r="G560" s="27" t="str">
        <f>'Landscape Trees '!H418</f>
        <v/>
      </c>
      <c r="H560" s="27" t="str">
        <f>'Landscape Trees '!I418</f>
        <v/>
      </c>
    </row>
    <row r="561">
      <c r="A561" s="27" t="str">
        <f>'Landscape Trees '!A419</f>
        <v/>
      </c>
      <c r="B561" s="27" t="str">
        <f>'Landscape Trees '!C419</f>
        <v/>
      </c>
      <c r="C561" s="27" t="str">
        <f>'Landscape Trees '!D419</f>
        <v/>
      </c>
      <c r="D561" s="27" t="str">
        <f>'Landscape Trees '!E419</f>
        <v/>
      </c>
      <c r="E561" s="27" t="str">
        <f>'Landscape Trees '!F419</f>
        <v/>
      </c>
      <c r="F561" s="27" t="str">
        <f>'Landscape Trees '!G419</f>
        <v/>
      </c>
      <c r="G561" s="27" t="str">
        <f>'Landscape Trees '!H419</f>
        <v/>
      </c>
      <c r="H561" s="27" t="str">
        <f>'Landscape Trees '!I419</f>
        <v/>
      </c>
    </row>
    <row r="562">
      <c r="A562" s="27" t="str">
        <f>'Landscape Trees '!A420</f>
        <v/>
      </c>
      <c r="B562" s="27" t="str">
        <f>'Landscape Trees '!C420</f>
        <v/>
      </c>
      <c r="C562" s="27" t="str">
        <f>'Landscape Trees '!D420</f>
        <v/>
      </c>
      <c r="D562" s="27" t="str">
        <f>'Landscape Trees '!E420</f>
        <v/>
      </c>
      <c r="E562" s="27" t="str">
        <f>'Landscape Trees '!F420</f>
        <v/>
      </c>
      <c r="F562" s="27" t="str">
        <f>'Landscape Trees '!G420</f>
        <v/>
      </c>
      <c r="G562" s="27" t="str">
        <f>'Landscape Trees '!H420</f>
        <v/>
      </c>
      <c r="H562" s="27" t="str">
        <f>'Landscape Trees '!I420</f>
        <v/>
      </c>
    </row>
    <row r="563">
      <c r="A563" s="27" t="str">
        <f>'Landscape Trees '!A421</f>
        <v/>
      </c>
      <c r="B563" s="27" t="str">
        <f>'Landscape Trees '!C421</f>
        <v/>
      </c>
      <c r="C563" s="27" t="str">
        <f>'Landscape Trees '!D421</f>
        <v/>
      </c>
      <c r="D563" s="27" t="str">
        <f>'Landscape Trees '!E421</f>
        <v/>
      </c>
      <c r="E563" s="27" t="str">
        <f>'Landscape Trees '!F421</f>
        <v/>
      </c>
      <c r="F563" s="27" t="str">
        <f>'Landscape Trees '!G421</f>
        <v/>
      </c>
      <c r="G563" s="27" t="str">
        <f>'Landscape Trees '!H421</f>
        <v/>
      </c>
      <c r="H563" s="27" t="str">
        <f>'Landscape Trees '!I421</f>
        <v/>
      </c>
    </row>
    <row r="564">
      <c r="A564" s="27" t="str">
        <f>'Landscape Trees '!A422</f>
        <v/>
      </c>
      <c r="B564" s="27" t="str">
        <f>'Landscape Trees '!C422</f>
        <v/>
      </c>
      <c r="C564" s="27" t="str">
        <f>'Landscape Trees '!D422</f>
        <v/>
      </c>
      <c r="D564" s="27" t="str">
        <f>'Landscape Trees '!E422</f>
        <v/>
      </c>
      <c r="E564" s="27" t="str">
        <f>'Landscape Trees '!F422</f>
        <v/>
      </c>
      <c r="F564" s="27" t="str">
        <f>'Landscape Trees '!G422</f>
        <v/>
      </c>
      <c r="G564" s="27" t="str">
        <f>'Landscape Trees '!H422</f>
        <v/>
      </c>
      <c r="H564" s="27" t="str">
        <f>'Landscape Trees '!I422</f>
        <v/>
      </c>
    </row>
    <row r="565">
      <c r="A565" s="27" t="str">
        <f>'Landscape Trees '!A423</f>
        <v/>
      </c>
      <c r="B565" s="27" t="str">
        <f>'Landscape Trees '!C423</f>
        <v/>
      </c>
      <c r="C565" s="27" t="str">
        <f>'Landscape Trees '!D423</f>
        <v/>
      </c>
      <c r="D565" s="27" t="str">
        <f>'Landscape Trees '!E423</f>
        <v/>
      </c>
      <c r="E565" s="27" t="str">
        <f>'Landscape Trees '!F423</f>
        <v/>
      </c>
      <c r="F565" s="27" t="str">
        <f>'Landscape Trees '!G423</f>
        <v/>
      </c>
      <c r="G565" s="27" t="str">
        <f>'Landscape Trees '!H423</f>
        <v/>
      </c>
      <c r="H565" s="27" t="str">
        <f>'Landscape Trees '!I423</f>
        <v/>
      </c>
    </row>
    <row r="566">
      <c r="A566" s="27" t="str">
        <f>'Landscape Trees '!A424</f>
        <v/>
      </c>
      <c r="B566" s="27" t="str">
        <f>'Landscape Trees '!C424</f>
        <v/>
      </c>
      <c r="C566" s="27" t="str">
        <f>'Landscape Trees '!D424</f>
        <v/>
      </c>
      <c r="D566" s="27" t="str">
        <f>'Landscape Trees '!E424</f>
        <v/>
      </c>
      <c r="E566" s="27" t="str">
        <f>'Landscape Trees '!F424</f>
        <v/>
      </c>
      <c r="F566" s="27" t="str">
        <f>'Landscape Trees '!G424</f>
        <v/>
      </c>
      <c r="G566" s="27" t="str">
        <f>'Landscape Trees '!H424</f>
        <v/>
      </c>
      <c r="H566" s="27" t="str">
        <f>'Landscape Trees '!I424</f>
        <v/>
      </c>
    </row>
    <row r="567">
      <c r="A567" s="27" t="str">
        <f>'Landscape Trees '!A425</f>
        <v/>
      </c>
      <c r="B567" s="27" t="str">
        <f>'Landscape Trees '!C425</f>
        <v/>
      </c>
      <c r="C567" s="27" t="str">
        <f>'Landscape Trees '!D425</f>
        <v/>
      </c>
      <c r="D567" s="27" t="str">
        <f>'Landscape Trees '!E425</f>
        <v/>
      </c>
      <c r="E567" s="27" t="str">
        <f>'Landscape Trees '!F425</f>
        <v/>
      </c>
      <c r="F567" s="27" t="str">
        <f>'Landscape Trees '!G425</f>
        <v/>
      </c>
      <c r="G567" s="27" t="str">
        <f>'Landscape Trees '!H425</f>
        <v/>
      </c>
      <c r="H567" s="27" t="str">
        <f>'Landscape Trees '!I425</f>
        <v/>
      </c>
    </row>
    <row r="568">
      <c r="A568" s="27" t="str">
        <f>'Landscape Trees '!A426</f>
        <v/>
      </c>
      <c r="B568" s="27" t="str">
        <f>'Landscape Trees '!C426</f>
        <v/>
      </c>
      <c r="C568" s="27" t="str">
        <f>'Landscape Trees '!D426</f>
        <v/>
      </c>
      <c r="D568" s="27" t="str">
        <f>'Landscape Trees '!E426</f>
        <v/>
      </c>
      <c r="E568" s="27" t="str">
        <f>'Landscape Trees '!F426</f>
        <v/>
      </c>
      <c r="F568" s="27" t="str">
        <f>'Landscape Trees '!G426</f>
        <v/>
      </c>
      <c r="G568" s="27" t="str">
        <f>'Landscape Trees '!H426</f>
        <v/>
      </c>
      <c r="H568" s="27" t="str">
        <f>'Landscape Trees '!I426</f>
        <v/>
      </c>
    </row>
    <row r="569">
      <c r="A569" s="27" t="str">
        <f>'Landscape Trees '!A427</f>
        <v/>
      </c>
      <c r="B569" s="27" t="str">
        <f>'Landscape Trees '!C427</f>
        <v/>
      </c>
      <c r="C569" s="27" t="str">
        <f>'Landscape Trees '!D427</f>
        <v/>
      </c>
      <c r="D569" s="27" t="str">
        <f>'Landscape Trees '!E427</f>
        <v/>
      </c>
      <c r="E569" s="27" t="str">
        <f>'Landscape Trees '!F427</f>
        <v/>
      </c>
      <c r="F569" s="27" t="str">
        <f>'Landscape Trees '!G427</f>
        <v/>
      </c>
      <c r="G569" s="27" t="str">
        <f>'Landscape Trees '!H427</f>
        <v/>
      </c>
      <c r="H569" s="27" t="str">
        <f>'Landscape Trees '!I427</f>
        <v/>
      </c>
    </row>
    <row r="570">
      <c r="A570" s="27" t="str">
        <f>'Landscape Trees '!A428</f>
        <v/>
      </c>
      <c r="B570" s="27" t="str">
        <f>'Landscape Trees '!C428</f>
        <v/>
      </c>
      <c r="C570" s="27" t="str">
        <f>'Landscape Trees '!D428</f>
        <v/>
      </c>
      <c r="D570" s="27" t="str">
        <f>'Landscape Trees '!E428</f>
        <v/>
      </c>
      <c r="E570" s="27" t="str">
        <f>'Landscape Trees '!F428</f>
        <v/>
      </c>
      <c r="F570" s="27" t="str">
        <f>'Landscape Trees '!G428</f>
        <v/>
      </c>
      <c r="G570" s="27" t="str">
        <f>'Landscape Trees '!H428</f>
        <v/>
      </c>
      <c r="H570" s="27" t="str">
        <f>'Landscape Trees '!I428</f>
        <v/>
      </c>
    </row>
    <row r="571">
      <c r="A571" s="27" t="str">
        <f>'Landscape Trees '!A429</f>
        <v/>
      </c>
      <c r="B571" s="27" t="str">
        <f>'Landscape Trees '!C429</f>
        <v/>
      </c>
      <c r="C571" s="27" t="str">
        <f>'Landscape Trees '!D429</f>
        <v/>
      </c>
      <c r="D571" s="27" t="str">
        <f>'Landscape Trees '!E429</f>
        <v/>
      </c>
      <c r="E571" s="27" t="str">
        <f>'Landscape Trees '!F429</f>
        <v/>
      </c>
      <c r="F571" s="27" t="str">
        <f>'Landscape Trees '!G429</f>
        <v/>
      </c>
      <c r="G571" s="27" t="str">
        <f>'Landscape Trees '!H429</f>
        <v/>
      </c>
      <c r="H571" s="27" t="str">
        <f>'Landscape Trees '!I429</f>
        <v/>
      </c>
    </row>
    <row r="572">
      <c r="A572" s="27" t="str">
        <f>'Landscape Trees '!A430</f>
        <v/>
      </c>
      <c r="B572" s="27" t="str">
        <f>'Landscape Trees '!C430</f>
        <v/>
      </c>
      <c r="C572" s="27" t="str">
        <f>'Landscape Trees '!D430</f>
        <v/>
      </c>
      <c r="D572" s="27" t="str">
        <f>'Landscape Trees '!E430</f>
        <v/>
      </c>
      <c r="E572" s="27" t="str">
        <f>'Landscape Trees '!F430</f>
        <v/>
      </c>
      <c r="F572" s="27" t="str">
        <f>'Landscape Trees '!G430</f>
        <v/>
      </c>
      <c r="G572" s="27" t="str">
        <f>'Landscape Trees '!H430</f>
        <v/>
      </c>
      <c r="H572" s="27" t="str">
        <f>'Landscape Trees '!I430</f>
        <v/>
      </c>
    </row>
    <row r="573">
      <c r="A573" s="27" t="str">
        <f>'Landscape Trees '!A431</f>
        <v/>
      </c>
      <c r="B573" s="27" t="str">
        <f>'Landscape Trees '!C431</f>
        <v/>
      </c>
      <c r="C573" s="27" t="str">
        <f>'Landscape Trees '!D431</f>
        <v/>
      </c>
      <c r="D573" s="27" t="str">
        <f>'Landscape Trees '!E431</f>
        <v/>
      </c>
      <c r="E573" s="27" t="str">
        <f>'Landscape Trees '!F431</f>
        <v/>
      </c>
      <c r="F573" s="27" t="str">
        <f>'Landscape Trees '!G431</f>
        <v/>
      </c>
      <c r="G573" s="27" t="str">
        <f>'Landscape Trees '!H431</f>
        <v/>
      </c>
      <c r="H573" s="27" t="str">
        <f>'Landscape Trees '!I431</f>
        <v/>
      </c>
    </row>
    <row r="574">
      <c r="A574" s="27" t="str">
        <f>'Landscape Trees '!A432</f>
        <v/>
      </c>
      <c r="B574" s="27" t="str">
        <f>'Landscape Trees '!C432</f>
        <v/>
      </c>
      <c r="C574" s="27" t="str">
        <f>'Landscape Trees '!D432</f>
        <v/>
      </c>
      <c r="D574" s="27" t="str">
        <f>'Landscape Trees '!E432</f>
        <v/>
      </c>
      <c r="E574" s="27" t="str">
        <f>'Landscape Trees '!F432</f>
        <v/>
      </c>
      <c r="F574" s="27" t="str">
        <f>'Landscape Trees '!G432</f>
        <v/>
      </c>
      <c r="G574" s="27" t="str">
        <f>'Landscape Trees '!H432</f>
        <v/>
      </c>
      <c r="H574" s="27" t="str">
        <f>'Landscape Trees '!I432</f>
        <v/>
      </c>
    </row>
    <row r="575">
      <c r="A575" s="27" t="str">
        <f>'Landscape Trees '!A433</f>
        <v/>
      </c>
      <c r="B575" s="27" t="str">
        <f>'Landscape Trees '!C433</f>
        <v/>
      </c>
      <c r="C575" s="27" t="str">
        <f>'Landscape Trees '!D433</f>
        <v/>
      </c>
      <c r="D575" s="27" t="str">
        <f>'Landscape Trees '!E433</f>
        <v/>
      </c>
      <c r="E575" s="27" t="str">
        <f>'Landscape Trees '!F433</f>
        <v/>
      </c>
      <c r="F575" s="27" t="str">
        <f>'Landscape Trees '!G433</f>
        <v/>
      </c>
      <c r="G575" s="27" t="str">
        <f>'Landscape Trees '!H433</f>
        <v/>
      </c>
      <c r="H575" s="27" t="str">
        <f>'Landscape Trees '!I433</f>
        <v/>
      </c>
    </row>
    <row r="576">
      <c r="A576" s="27" t="str">
        <f>'Landscape Trees '!A434</f>
        <v/>
      </c>
      <c r="B576" s="27" t="str">
        <f>'Landscape Trees '!C434</f>
        <v/>
      </c>
      <c r="C576" s="27" t="str">
        <f>'Landscape Trees '!D434</f>
        <v/>
      </c>
      <c r="D576" s="27" t="str">
        <f>'Landscape Trees '!E434</f>
        <v/>
      </c>
      <c r="E576" s="27" t="str">
        <f>'Landscape Trees '!F434</f>
        <v/>
      </c>
      <c r="F576" s="27" t="str">
        <f>'Landscape Trees '!G434</f>
        <v/>
      </c>
      <c r="G576" s="27" t="str">
        <f>'Landscape Trees '!H434</f>
        <v/>
      </c>
      <c r="H576" s="27" t="str">
        <f>'Landscape Trees '!I434</f>
        <v/>
      </c>
    </row>
    <row r="577">
      <c r="A577" s="27" t="str">
        <f>'Landscape Trees '!A435</f>
        <v/>
      </c>
      <c r="B577" s="27" t="str">
        <f>'Landscape Trees '!C435</f>
        <v/>
      </c>
      <c r="C577" s="27" t="str">
        <f>'Landscape Trees '!D435</f>
        <v/>
      </c>
      <c r="D577" s="27" t="str">
        <f>'Landscape Trees '!E435</f>
        <v/>
      </c>
      <c r="E577" s="27" t="str">
        <f>'Landscape Trees '!F435</f>
        <v/>
      </c>
      <c r="F577" s="27" t="str">
        <f>'Landscape Trees '!G435</f>
        <v/>
      </c>
      <c r="G577" s="27" t="str">
        <f>'Landscape Trees '!H435</f>
        <v/>
      </c>
      <c r="H577" s="27" t="str">
        <f>'Landscape Trees '!I435</f>
        <v/>
      </c>
    </row>
    <row r="578">
      <c r="A578" s="27" t="str">
        <f>'Landscape Trees '!A436</f>
        <v/>
      </c>
      <c r="B578" s="27" t="str">
        <f>'Landscape Trees '!C436</f>
        <v/>
      </c>
      <c r="C578" s="27" t="str">
        <f>'Landscape Trees '!D436</f>
        <v/>
      </c>
      <c r="D578" s="27" t="str">
        <f>'Landscape Trees '!E436</f>
        <v/>
      </c>
      <c r="E578" s="27" t="str">
        <f>'Landscape Trees '!F436</f>
        <v/>
      </c>
      <c r="F578" s="27" t="str">
        <f>'Landscape Trees '!G436</f>
        <v/>
      </c>
      <c r="G578" s="27" t="str">
        <f>'Landscape Trees '!H436</f>
        <v/>
      </c>
      <c r="H578" s="27" t="str">
        <f>'Landscape Trees '!I436</f>
        <v/>
      </c>
    </row>
    <row r="579">
      <c r="A579" s="27" t="str">
        <f>'Landscape Trees '!A437</f>
        <v/>
      </c>
      <c r="B579" s="27" t="str">
        <f>'Landscape Trees '!C437</f>
        <v/>
      </c>
      <c r="C579" s="27" t="str">
        <f>'Landscape Trees '!D437</f>
        <v/>
      </c>
      <c r="D579" s="27" t="str">
        <f>'Landscape Trees '!E437</f>
        <v/>
      </c>
      <c r="E579" s="27" t="str">
        <f>'Landscape Trees '!F437</f>
        <v/>
      </c>
      <c r="F579" s="27" t="str">
        <f>'Landscape Trees '!G437</f>
        <v/>
      </c>
      <c r="G579" s="27" t="str">
        <f>'Landscape Trees '!H437</f>
        <v/>
      </c>
      <c r="H579" s="27" t="str">
        <f>'Landscape Trees '!I437</f>
        <v/>
      </c>
    </row>
    <row r="580">
      <c r="A580" s="27" t="str">
        <f>'Landscape Trees '!A438</f>
        <v/>
      </c>
      <c r="B580" s="27" t="str">
        <f>'Landscape Trees '!C438</f>
        <v/>
      </c>
      <c r="C580" s="27" t="str">
        <f>'Landscape Trees '!D438</f>
        <v/>
      </c>
      <c r="D580" s="27" t="str">
        <f>'Landscape Trees '!E438</f>
        <v/>
      </c>
      <c r="E580" s="27" t="str">
        <f>'Landscape Trees '!F438</f>
        <v/>
      </c>
      <c r="F580" s="27" t="str">
        <f>'Landscape Trees '!G438</f>
        <v/>
      </c>
      <c r="G580" s="27" t="str">
        <f>'Landscape Trees '!H438</f>
        <v/>
      </c>
      <c r="H580" s="27" t="str">
        <f>'Landscape Trees '!I438</f>
        <v/>
      </c>
    </row>
    <row r="581">
      <c r="A581" s="27" t="str">
        <f>'Landscape Trees '!A439</f>
        <v/>
      </c>
      <c r="B581" s="27" t="str">
        <f>'Landscape Trees '!C439</f>
        <v/>
      </c>
      <c r="C581" s="27" t="str">
        <f>'Landscape Trees '!D439</f>
        <v/>
      </c>
      <c r="D581" s="27" t="str">
        <f>'Landscape Trees '!E439</f>
        <v/>
      </c>
      <c r="E581" s="27" t="str">
        <f>'Landscape Trees '!F439</f>
        <v/>
      </c>
      <c r="F581" s="27" t="str">
        <f>'Landscape Trees '!G439</f>
        <v/>
      </c>
      <c r="G581" s="27" t="str">
        <f>'Landscape Trees '!H439</f>
        <v/>
      </c>
      <c r="H581" s="27" t="str">
        <f>'Landscape Trees '!I439</f>
        <v/>
      </c>
    </row>
    <row r="582">
      <c r="A582" s="27" t="str">
        <f>'Landscape Trees '!A440</f>
        <v/>
      </c>
      <c r="B582" s="27" t="str">
        <f>'Landscape Trees '!C440</f>
        <v/>
      </c>
      <c r="C582" s="27" t="str">
        <f>'Landscape Trees '!D440</f>
        <v/>
      </c>
      <c r="D582" s="27" t="str">
        <f>'Landscape Trees '!E440</f>
        <v/>
      </c>
      <c r="E582" s="27" t="str">
        <f>'Landscape Trees '!F440</f>
        <v/>
      </c>
      <c r="F582" s="27" t="str">
        <f>'Landscape Trees '!G440</f>
        <v/>
      </c>
      <c r="G582" s="27" t="str">
        <f>'Landscape Trees '!H440</f>
        <v/>
      </c>
      <c r="H582" s="27" t="str">
        <f>'Landscape Trees '!I440</f>
        <v/>
      </c>
    </row>
    <row r="583">
      <c r="A583" s="27" t="str">
        <f>'Landscape Trees '!A441</f>
        <v/>
      </c>
      <c r="B583" s="27" t="str">
        <f>'Landscape Trees '!C441</f>
        <v/>
      </c>
      <c r="C583" s="27" t="str">
        <f>'Landscape Trees '!D441</f>
        <v/>
      </c>
      <c r="D583" s="27" t="str">
        <f>'Landscape Trees '!E441</f>
        <v/>
      </c>
      <c r="E583" s="27" t="str">
        <f>'Landscape Trees '!F441</f>
        <v/>
      </c>
      <c r="F583" s="27" t="str">
        <f>'Landscape Trees '!G441</f>
        <v/>
      </c>
      <c r="G583" s="27" t="str">
        <f>'Landscape Trees '!H441</f>
        <v/>
      </c>
      <c r="H583" s="27" t="str">
        <f>'Landscape Trees '!I441</f>
        <v/>
      </c>
    </row>
    <row r="584">
      <c r="A584" s="27" t="str">
        <f>'Landscape Trees '!A442</f>
        <v/>
      </c>
      <c r="B584" s="27" t="str">
        <f>'Landscape Trees '!C442</f>
        <v/>
      </c>
      <c r="C584" s="27" t="str">
        <f>'Landscape Trees '!D442</f>
        <v/>
      </c>
      <c r="D584" s="27" t="str">
        <f>'Landscape Trees '!E442</f>
        <v/>
      </c>
      <c r="E584" s="27" t="str">
        <f>'Landscape Trees '!F442</f>
        <v/>
      </c>
      <c r="F584" s="27" t="str">
        <f>'Landscape Trees '!G442</f>
        <v/>
      </c>
      <c r="G584" s="27" t="str">
        <f>'Landscape Trees '!H442</f>
        <v/>
      </c>
      <c r="H584" s="27" t="str">
        <f>'Landscape Trees '!I442</f>
        <v/>
      </c>
    </row>
    <row r="585">
      <c r="A585" s="27" t="str">
        <f>'Landscape Trees '!A443</f>
        <v/>
      </c>
      <c r="B585" s="27" t="str">
        <f>'Landscape Trees '!C443</f>
        <v/>
      </c>
      <c r="C585" s="27" t="str">
        <f>'Landscape Trees '!D443</f>
        <v/>
      </c>
      <c r="D585" s="27" t="str">
        <f>'Landscape Trees '!E443</f>
        <v/>
      </c>
      <c r="E585" s="27" t="str">
        <f>'Landscape Trees '!F443</f>
        <v/>
      </c>
      <c r="F585" s="27" t="str">
        <f>'Landscape Trees '!G443</f>
        <v/>
      </c>
      <c r="G585" s="27" t="str">
        <f>'Landscape Trees '!H443</f>
        <v/>
      </c>
      <c r="H585" s="27" t="str">
        <f>'Landscape Trees '!I443</f>
        <v/>
      </c>
    </row>
    <row r="586">
      <c r="A586" s="27" t="str">
        <f>'Landscape Trees '!A444</f>
        <v/>
      </c>
      <c r="B586" s="27" t="str">
        <f>'Landscape Trees '!C444</f>
        <v/>
      </c>
      <c r="C586" s="27" t="str">
        <f>'Landscape Trees '!D444</f>
        <v/>
      </c>
      <c r="D586" s="27" t="str">
        <f>'Landscape Trees '!E444</f>
        <v/>
      </c>
      <c r="E586" s="27" t="str">
        <f>'Landscape Trees '!F444</f>
        <v/>
      </c>
      <c r="F586" s="27" t="str">
        <f>'Landscape Trees '!G444</f>
        <v/>
      </c>
      <c r="G586" s="27" t="str">
        <f>'Landscape Trees '!H444</f>
        <v/>
      </c>
      <c r="H586" s="27" t="str">
        <f>'Landscape Trees '!I444</f>
        <v/>
      </c>
    </row>
    <row r="587">
      <c r="A587" s="27" t="str">
        <f>'Landscape Trees '!A445</f>
        <v/>
      </c>
      <c r="B587" s="27" t="str">
        <f>'Landscape Trees '!C445</f>
        <v/>
      </c>
      <c r="C587" s="27" t="str">
        <f>'Landscape Trees '!D445</f>
        <v/>
      </c>
      <c r="D587" s="27" t="str">
        <f>'Landscape Trees '!E445</f>
        <v/>
      </c>
      <c r="E587" s="27" t="str">
        <f>'Landscape Trees '!F445</f>
        <v/>
      </c>
      <c r="F587" s="27" t="str">
        <f>'Landscape Trees '!G445</f>
        <v/>
      </c>
      <c r="G587" s="27" t="str">
        <f>'Landscape Trees '!H445</f>
        <v/>
      </c>
      <c r="H587" s="27" t="str">
        <f>'Landscape Trees '!I445</f>
        <v/>
      </c>
    </row>
    <row r="588">
      <c r="A588" s="27" t="str">
        <f>'Landscape Trees '!A446</f>
        <v/>
      </c>
      <c r="B588" s="27" t="str">
        <f>'Landscape Trees '!C446</f>
        <v/>
      </c>
      <c r="C588" s="27" t="str">
        <f>'Landscape Trees '!D446</f>
        <v/>
      </c>
      <c r="D588" s="27" t="str">
        <f>'Landscape Trees '!E446</f>
        <v/>
      </c>
      <c r="E588" s="27" t="str">
        <f>'Landscape Trees '!F446</f>
        <v/>
      </c>
      <c r="F588" s="27" t="str">
        <f>'Landscape Trees '!G446</f>
        <v/>
      </c>
      <c r="G588" s="27" t="str">
        <f>'Landscape Trees '!H446</f>
        <v/>
      </c>
      <c r="H588" s="27" t="str">
        <f>'Landscape Trees '!I446</f>
        <v/>
      </c>
    </row>
    <row r="589">
      <c r="A589" s="27" t="str">
        <f>'Landscape Trees '!A447</f>
        <v/>
      </c>
      <c r="B589" s="27" t="str">
        <f>'Landscape Trees '!C447</f>
        <v/>
      </c>
      <c r="C589" s="27" t="str">
        <f>'Landscape Trees '!D447</f>
        <v/>
      </c>
      <c r="D589" s="27" t="str">
        <f>'Landscape Trees '!E447</f>
        <v/>
      </c>
      <c r="E589" s="27" t="str">
        <f>'Landscape Trees '!F447</f>
        <v/>
      </c>
      <c r="F589" s="27" t="str">
        <f>'Landscape Trees '!G447</f>
        <v/>
      </c>
      <c r="G589" s="27" t="str">
        <f>'Landscape Trees '!H447</f>
        <v/>
      </c>
      <c r="H589" s="27" t="str">
        <f>'Landscape Trees '!I447</f>
        <v/>
      </c>
    </row>
    <row r="590">
      <c r="A590" s="27" t="str">
        <f>'Landscape Trees '!A448</f>
        <v/>
      </c>
      <c r="B590" s="27" t="str">
        <f>'Landscape Trees '!C448</f>
        <v/>
      </c>
      <c r="C590" s="27" t="str">
        <f>'Landscape Trees '!D448</f>
        <v/>
      </c>
      <c r="D590" s="27" t="str">
        <f>'Landscape Trees '!E448</f>
        <v/>
      </c>
      <c r="E590" s="27" t="str">
        <f>'Landscape Trees '!F448</f>
        <v/>
      </c>
      <c r="F590" s="27" t="str">
        <f>'Landscape Trees '!G448</f>
        <v/>
      </c>
      <c r="G590" s="27" t="str">
        <f>'Landscape Trees '!H448</f>
        <v/>
      </c>
      <c r="H590" s="27" t="str">
        <f>'Landscape Trees '!I448</f>
        <v/>
      </c>
    </row>
    <row r="591">
      <c r="A591" s="27" t="str">
        <f>'Landscape Trees '!A449</f>
        <v/>
      </c>
      <c r="B591" s="27" t="str">
        <f>'Landscape Trees '!C449</f>
        <v/>
      </c>
      <c r="C591" s="27" t="str">
        <f>'Landscape Trees '!D449</f>
        <v/>
      </c>
      <c r="D591" s="27" t="str">
        <f>'Landscape Trees '!E449</f>
        <v/>
      </c>
      <c r="E591" s="27" t="str">
        <f>'Landscape Trees '!F449</f>
        <v/>
      </c>
      <c r="F591" s="27" t="str">
        <f>'Landscape Trees '!G449</f>
        <v/>
      </c>
      <c r="G591" s="27" t="str">
        <f>'Landscape Trees '!H449</f>
        <v/>
      </c>
      <c r="H591" s="27" t="str">
        <f>'Landscape Trees '!I449</f>
        <v/>
      </c>
    </row>
    <row r="592">
      <c r="A592" s="27" t="str">
        <f>'Landscape Trees '!A450</f>
        <v/>
      </c>
      <c r="B592" s="27" t="str">
        <f>'Landscape Trees '!C450</f>
        <v/>
      </c>
      <c r="C592" s="27" t="str">
        <f>'Landscape Trees '!D450</f>
        <v/>
      </c>
      <c r="D592" s="27" t="str">
        <f>'Landscape Trees '!E450</f>
        <v/>
      </c>
      <c r="E592" s="27" t="str">
        <f>'Landscape Trees '!F450</f>
        <v/>
      </c>
      <c r="F592" s="27" t="str">
        <f>'Landscape Trees '!G450</f>
        <v/>
      </c>
      <c r="G592" s="27" t="str">
        <f>'Landscape Trees '!H450</f>
        <v/>
      </c>
      <c r="H592" s="27" t="str">
        <f>'Landscape Trees '!I450</f>
        <v/>
      </c>
    </row>
    <row r="593">
      <c r="A593" s="27" t="str">
        <f>'Landscape Trees '!A451</f>
        <v/>
      </c>
      <c r="B593" s="27" t="str">
        <f>'Landscape Trees '!C451</f>
        <v/>
      </c>
      <c r="C593" s="27" t="str">
        <f>'Landscape Trees '!D451</f>
        <v/>
      </c>
      <c r="D593" s="27" t="str">
        <f>'Landscape Trees '!E451</f>
        <v/>
      </c>
      <c r="E593" s="27" t="str">
        <f>'Landscape Trees '!F451</f>
        <v/>
      </c>
      <c r="F593" s="27" t="str">
        <f>'Landscape Trees '!G451</f>
        <v/>
      </c>
      <c r="G593" s="27" t="str">
        <f>'Landscape Trees '!H451</f>
        <v/>
      </c>
      <c r="H593" s="27" t="str">
        <f>'Landscape Trees '!I451</f>
        <v/>
      </c>
    </row>
    <row r="594">
      <c r="A594" s="27" t="str">
        <f>'Landscape Trees '!A452</f>
        <v/>
      </c>
      <c r="B594" s="27" t="str">
        <f>'Landscape Trees '!C452</f>
        <v/>
      </c>
      <c r="C594" s="27" t="str">
        <f>'Landscape Trees '!D452</f>
        <v/>
      </c>
      <c r="D594" s="27" t="str">
        <f>'Landscape Trees '!E452</f>
        <v/>
      </c>
      <c r="E594" s="27" t="str">
        <f>'Landscape Trees '!F452</f>
        <v/>
      </c>
      <c r="F594" s="27" t="str">
        <f>'Landscape Trees '!G452</f>
        <v/>
      </c>
      <c r="G594" s="27" t="str">
        <f>'Landscape Trees '!H452</f>
        <v/>
      </c>
      <c r="H594" s="27" t="str">
        <f>'Landscape Trees '!I452</f>
        <v/>
      </c>
    </row>
    <row r="595">
      <c r="A595" s="27" t="str">
        <f>'Landscape Trees '!A453</f>
        <v/>
      </c>
      <c r="B595" s="27" t="str">
        <f>'Landscape Trees '!C453</f>
        <v/>
      </c>
      <c r="C595" s="27" t="str">
        <f>'Landscape Trees '!D453</f>
        <v/>
      </c>
      <c r="D595" s="27" t="str">
        <f>'Landscape Trees '!E453</f>
        <v/>
      </c>
      <c r="E595" s="27" t="str">
        <f>'Landscape Trees '!F453</f>
        <v/>
      </c>
      <c r="F595" s="27" t="str">
        <f>'Landscape Trees '!G453</f>
        <v/>
      </c>
      <c r="G595" s="27" t="str">
        <f>'Landscape Trees '!H453</f>
        <v/>
      </c>
      <c r="H595" s="27" t="str">
        <f>'Landscape Trees '!I453</f>
        <v/>
      </c>
    </row>
    <row r="596">
      <c r="A596" s="27" t="str">
        <f>'Landscape Trees '!A454</f>
        <v/>
      </c>
      <c r="B596" s="27" t="str">
        <f>'Landscape Trees '!C454</f>
        <v/>
      </c>
      <c r="C596" s="27" t="str">
        <f>'Landscape Trees '!D454</f>
        <v/>
      </c>
      <c r="D596" s="27" t="str">
        <f>'Landscape Trees '!E454</f>
        <v/>
      </c>
      <c r="E596" s="27" t="str">
        <f>'Landscape Trees '!F454</f>
        <v/>
      </c>
      <c r="F596" s="27" t="str">
        <f>'Landscape Trees '!G454</f>
        <v/>
      </c>
      <c r="G596" s="27" t="str">
        <f>'Landscape Trees '!H454</f>
        <v/>
      </c>
      <c r="H596" s="27" t="str">
        <f>'Landscape Trees '!I454</f>
        <v/>
      </c>
    </row>
    <row r="597">
      <c r="A597" s="27" t="str">
        <f>'Landscape Trees '!A455</f>
        <v/>
      </c>
      <c r="B597" s="27" t="str">
        <f>'Landscape Trees '!C455</f>
        <v/>
      </c>
      <c r="C597" s="27" t="str">
        <f>'Landscape Trees '!D455</f>
        <v/>
      </c>
      <c r="D597" s="27" t="str">
        <f>'Landscape Trees '!E455</f>
        <v/>
      </c>
      <c r="E597" s="27" t="str">
        <f>'Landscape Trees '!F455</f>
        <v/>
      </c>
      <c r="F597" s="27" t="str">
        <f>'Landscape Trees '!G455</f>
        <v/>
      </c>
      <c r="G597" s="27" t="str">
        <f>'Landscape Trees '!H455</f>
        <v/>
      </c>
      <c r="H597" s="27" t="str">
        <f>'Landscape Trees '!I455</f>
        <v/>
      </c>
    </row>
    <row r="598">
      <c r="A598" s="27" t="str">
        <f>'Landscape Trees '!A456</f>
        <v/>
      </c>
      <c r="B598" s="27" t="str">
        <f>'Landscape Trees '!C456</f>
        <v/>
      </c>
      <c r="C598" s="27" t="str">
        <f>'Landscape Trees '!D456</f>
        <v/>
      </c>
      <c r="D598" s="27" t="str">
        <f>'Landscape Trees '!E456</f>
        <v/>
      </c>
      <c r="E598" s="27" t="str">
        <f>'Landscape Trees '!F456</f>
        <v/>
      </c>
      <c r="F598" s="27" t="str">
        <f>'Landscape Trees '!G456</f>
        <v/>
      </c>
      <c r="G598" s="27" t="str">
        <f>'Landscape Trees '!H456</f>
        <v/>
      </c>
      <c r="H598" s="27" t="str">
        <f>'Landscape Trees '!I456</f>
        <v/>
      </c>
    </row>
    <row r="599">
      <c r="A599" s="27" t="str">
        <f>'Landscape Trees '!A457</f>
        <v/>
      </c>
      <c r="B599" s="27" t="str">
        <f>'Landscape Trees '!C457</f>
        <v/>
      </c>
      <c r="C599" s="27" t="str">
        <f>'Landscape Trees '!D457</f>
        <v/>
      </c>
      <c r="D599" s="27" t="str">
        <f>'Landscape Trees '!E457</f>
        <v/>
      </c>
      <c r="E599" s="27" t="str">
        <f>'Landscape Trees '!F457</f>
        <v/>
      </c>
      <c r="F599" s="27" t="str">
        <f>'Landscape Trees '!G457</f>
        <v/>
      </c>
      <c r="G599" s="27" t="str">
        <f>'Landscape Trees '!H457</f>
        <v/>
      </c>
      <c r="H599" s="27" t="str">
        <f>'Landscape Trees '!I457</f>
        <v/>
      </c>
    </row>
    <row r="600">
      <c r="A600" s="27" t="str">
        <f>'Landscape Trees '!A458</f>
        <v/>
      </c>
      <c r="B600" s="27" t="str">
        <f>'Landscape Trees '!C458</f>
        <v/>
      </c>
      <c r="C600" s="27" t="str">
        <f>'Landscape Trees '!D458</f>
        <v/>
      </c>
      <c r="D600" s="27" t="str">
        <f>'Landscape Trees '!E458</f>
        <v/>
      </c>
      <c r="E600" s="27" t="str">
        <f>'Landscape Trees '!F458</f>
        <v/>
      </c>
      <c r="F600" s="27" t="str">
        <f>'Landscape Trees '!G458</f>
        <v/>
      </c>
      <c r="G600" s="27" t="str">
        <f>'Landscape Trees '!H458</f>
        <v/>
      </c>
      <c r="H600" s="27" t="str">
        <f>'Landscape Trees '!I458</f>
        <v/>
      </c>
    </row>
    <row r="601">
      <c r="A601" s="27" t="str">
        <f>'Landscape Trees '!A459</f>
        <v/>
      </c>
      <c r="B601" s="27" t="str">
        <f>'Landscape Trees '!C459</f>
        <v/>
      </c>
      <c r="C601" s="27" t="str">
        <f>'Landscape Trees '!D459</f>
        <v/>
      </c>
      <c r="D601" s="27" t="str">
        <f>'Landscape Trees '!E459</f>
        <v/>
      </c>
      <c r="E601" s="27" t="str">
        <f>'Landscape Trees '!F459</f>
        <v/>
      </c>
      <c r="F601" s="27" t="str">
        <f>'Landscape Trees '!G459</f>
        <v/>
      </c>
      <c r="G601" s="27" t="str">
        <f>'Landscape Trees '!H459</f>
        <v/>
      </c>
      <c r="H601" s="27" t="str">
        <f>'Landscape Trees '!I459</f>
        <v/>
      </c>
    </row>
    <row r="602">
      <c r="A602" s="27" t="str">
        <f>'Landscape Trees '!A460</f>
        <v/>
      </c>
      <c r="B602" s="27" t="str">
        <f>'Landscape Trees '!C460</f>
        <v/>
      </c>
      <c r="C602" s="27" t="str">
        <f>'Landscape Trees '!D460</f>
        <v/>
      </c>
      <c r="D602" s="27" t="str">
        <f>'Landscape Trees '!E460</f>
        <v/>
      </c>
      <c r="E602" s="27" t="str">
        <f>'Landscape Trees '!F460</f>
        <v/>
      </c>
      <c r="F602" s="27" t="str">
        <f>'Landscape Trees '!G460</f>
        <v/>
      </c>
      <c r="G602" s="27" t="str">
        <f>'Landscape Trees '!H460</f>
        <v/>
      </c>
      <c r="H602" s="27" t="str">
        <f>'Landscape Trees '!I460</f>
        <v/>
      </c>
    </row>
    <row r="603">
      <c r="A603" s="27" t="str">
        <f>'Landscape Trees '!A461</f>
        <v/>
      </c>
      <c r="B603" s="27" t="str">
        <f>'Landscape Trees '!C461</f>
        <v/>
      </c>
      <c r="C603" s="27" t="str">
        <f>'Landscape Trees '!D461</f>
        <v/>
      </c>
      <c r="D603" s="27" t="str">
        <f>'Landscape Trees '!E461</f>
        <v/>
      </c>
      <c r="E603" s="27" t="str">
        <f>'Landscape Trees '!F461</f>
        <v/>
      </c>
      <c r="F603" s="27" t="str">
        <f>'Landscape Trees '!G461</f>
        <v/>
      </c>
      <c r="G603" s="27" t="str">
        <f>'Landscape Trees '!H461</f>
        <v/>
      </c>
      <c r="H603" s="27" t="str">
        <f>'Landscape Trees '!I461</f>
        <v/>
      </c>
    </row>
    <row r="604">
      <c r="A604" s="27" t="str">
        <f>'Landscape Trees '!A462</f>
        <v/>
      </c>
      <c r="B604" s="27" t="str">
        <f>'Landscape Trees '!C462</f>
        <v/>
      </c>
      <c r="C604" s="27" t="str">
        <f>'Landscape Trees '!D462</f>
        <v/>
      </c>
      <c r="D604" s="27" t="str">
        <f>'Landscape Trees '!E462</f>
        <v/>
      </c>
      <c r="E604" s="27" t="str">
        <f>'Landscape Trees '!F462</f>
        <v/>
      </c>
      <c r="F604" s="27" t="str">
        <f>'Landscape Trees '!G462</f>
        <v/>
      </c>
      <c r="G604" s="27" t="str">
        <f>'Landscape Trees '!H462</f>
        <v/>
      </c>
      <c r="H604" s="27" t="str">
        <f>'Landscape Trees '!I462</f>
        <v/>
      </c>
    </row>
    <row r="605">
      <c r="A605" s="27" t="str">
        <f>'Landscape Trees '!A463</f>
        <v/>
      </c>
      <c r="B605" s="27" t="str">
        <f>'Landscape Trees '!C463</f>
        <v/>
      </c>
      <c r="C605" s="27" t="str">
        <f>'Landscape Trees '!D463</f>
        <v/>
      </c>
      <c r="D605" s="27" t="str">
        <f>'Landscape Trees '!E463</f>
        <v/>
      </c>
      <c r="E605" s="27" t="str">
        <f>'Landscape Trees '!F463</f>
        <v/>
      </c>
      <c r="F605" s="27" t="str">
        <f>'Landscape Trees '!G463</f>
        <v/>
      </c>
      <c r="G605" s="27" t="str">
        <f>'Landscape Trees '!H463</f>
        <v/>
      </c>
      <c r="H605" s="27" t="str">
        <f>'Landscape Trees '!I463</f>
        <v/>
      </c>
    </row>
    <row r="606">
      <c r="A606" s="27" t="str">
        <f>'Landscape Trees '!A464</f>
        <v/>
      </c>
      <c r="B606" s="27" t="str">
        <f>'Landscape Trees '!C464</f>
        <v/>
      </c>
      <c r="C606" s="27" t="str">
        <f>'Landscape Trees '!D464</f>
        <v/>
      </c>
      <c r="D606" s="27" t="str">
        <f>'Landscape Trees '!E464</f>
        <v/>
      </c>
      <c r="E606" s="27" t="str">
        <f>'Landscape Trees '!F464</f>
        <v/>
      </c>
      <c r="F606" s="27" t="str">
        <f>'Landscape Trees '!G464</f>
        <v/>
      </c>
      <c r="G606" s="27" t="str">
        <f>'Landscape Trees '!H464</f>
        <v/>
      </c>
      <c r="H606" s="27" t="str">
        <f>'Landscape Trees '!I464</f>
        <v/>
      </c>
    </row>
    <row r="607">
      <c r="A607" s="27" t="str">
        <f>'Landscape Trees '!A465</f>
        <v/>
      </c>
      <c r="B607" s="27" t="str">
        <f>'Landscape Trees '!C465</f>
        <v/>
      </c>
      <c r="C607" s="27" t="str">
        <f>'Landscape Trees '!D465</f>
        <v/>
      </c>
      <c r="D607" s="27" t="str">
        <f>'Landscape Trees '!E465</f>
        <v/>
      </c>
      <c r="E607" s="27" t="str">
        <f>'Landscape Trees '!F465</f>
        <v/>
      </c>
      <c r="F607" s="27" t="str">
        <f>'Landscape Trees '!G465</f>
        <v/>
      </c>
      <c r="G607" s="27" t="str">
        <f>'Landscape Trees '!H465</f>
        <v/>
      </c>
      <c r="H607" s="27" t="str">
        <f>'Landscape Trees '!I465</f>
        <v/>
      </c>
    </row>
    <row r="608">
      <c r="A608" s="27" t="str">
        <f>'Landscape Trees '!A466</f>
        <v/>
      </c>
      <c r="B608" s="27" t="str">
        <f>'Landscape Trees '!C466</f>
        <v/>
      </c>
      <c r="C608" s="27" t="str">
        <f>'Landscape Trees '!D466</f>
        <v/>
      </c>
      <c r="D608" s="27" t="str">
        <f>'Landscape Trees '!E466</f>
        <v/>
      </c>
      <c r="E608" s="27" t="str">
        <f>'Landscape Trees '!F466</f>
        <v/>
      </c>
      <c r="F608" s="27" t="str">
        <f>'Landscape Trees '!G466</f>
        <v/>
      </c>
      <c r="G608" s="27" t="str">
        <f>'Landscape Trees '!H466</f>
        <v/>
      </c>
      <c r="H608" s="27" t="str">
        <f>'Landscape Trees '!I466</f>
        <v/>
      </c>
    </row>
    <row r="609">
      <c r="A609" s="27" t="str">
        <f>'Landscape Trees '!A467</f>
        <v/>
      </c>
      <c r="B609" s="27" t="str">
        <f>'Landscape Trees '!C467</f>
        <v/>
      </c>
      <c r="C609" s="27" t="str">
        <f>'Landscape Trees '!D467</f>
        <v/>
      </c>
      <c r="D609" s="27" t="str">
        <f>'Landscape Trees '!E467</f>
        <v/>
      </c>
      <c r="E609" s="27" t="str">
        <f>'Landscape Trees '!F467</f>
        <v/>
      </c>
      <c r="F609" s="27" t="str">
        <f>'Landscape Trees '!G467</f>
        <v/>
      </c>
      <c r="G609" s="27" t="str">
        <f>'Landscape Trees '!H467</f>
        <v/>
      </c>
      <c r="H609" s="27" t="str">
        <f>'Landscape Trees '!I467</f>
        <v/>
      </c>
    </row>
    <row r="610">
      <c r="A610" s="27" t="str">
        <f>'Landscape Trees '!A468</f>
        <v/>
      </c>
      <c r="B610" s="27" t="str">
        <f>'Landscape Trees '!C468</f>
        <v/>
      </c>
      <c r="C610" s="27" t="str">
        <f>'Landscape Trees '!D468</f>
        <v/>
      </c>
      <c r="D610" s="27" t="str">
        <f>'Landscape Trees '!E468</f>
        <v/>
      </c>
      <c r="E610" s="27" t="str">
        <f>'Landscape Trees '!F468</f>
        <v/>
      </c>
      <c r="F610" s="27" t="str">
        <f>'Landscape Trees '!G468</f>
        <v/>
      </c>
      <c r="G610" s="27" t="str">
        <f>'Landscape Trees '!H468</f>
        <v/>
      </c>
      <c r="H610" s="27" t="str">
        <f>'Landscape Trees '!I468</f>
        <v/>
      </c>
    </row>
    <row r="611">
      <c r="A611" s="27" t="str">
        <f>'Landscape Trees '!A469</f>
        <v/>
      </c>
      <c r="B611" s="27" t="str">
        <f>'Landscape Trees '!C469</f>
        <v/>
      </c>
      <c r="C611" s="27" t="str">
        <f>'Landscape Trees '!D469</f>
        <v/>
      </c>
      <c r="D611" s="27" t="str">
        <f>'Landscape Trees '!E469</f>
        <v/>
      </c>
      <c r="E611" s="27" t="str">
        <f>'Landscape Trees '!F469</f>
        <v/>
      </c>
      <c r="F611" s="27" t="str">
        <f>'Landscape Trees '!G469</f>
        <v/>
      </c>
      <c r="G611" s="27" t="str">
        <f>'Landscape Trees '!H469</f>
        <v/>
      </c>
      <c r="H611" s="27" t="str">
        <f>'Landscape Trees '!I469</f>
        <v/>
      </c>
    </row>
    <row r="612">
      <c r="A612" s="27" t="str">
        <f>'Landscape Trees '!A470</f>
        <v/>
      </c>
      <c r="B612" s="27" t="str">
        <f>'Landscape Trees '!C470</f>
        <v/>
      </c>
      <c r="C612" s="27" t="str">
        <f>'Landscape Trees '!D470</f>
        <v/>
      </c>
      <c r="D612" s="27" t="str">
        <f>'Landscape Trees '!E470</f>
        <v/>
      </c>
      <c r="E612" s="27" t="str">
        <f>'Landscape Trees '!F470</f>
        <v/>
      </c>
      <c r="F612" s="27" t="str">
        <f>'Landscape Trees '!G470</f>
        <v/>
      </c>
      <c r="G612" s="27" t="str">
        <f>'Landscape Trees '!H470</f>
        <v/>
      </c>
      <c r="H612" s="27" t="str">
        <f>'Landscape Trees '!I470</f>
        <v/>
      </c>
    </row>
    <row r="613">
      <c r="A613" s="27" t="str">
        <f>'Landscape Trees '!A471</f>
        <v/>
      </c>
      <c r="B613" s="27" t="str">
        <f>'Landscape Trees '!C471</f>
        <v/>
      </c>
      <c r="C613" s="27" t="str">
        <f>'Landscape Trees '!D471</f>
        <v/>
      </c>
      <c r="D613" s="27" t="str">
        <f>'Landscape Trees '!E471</f>
        <v/>
      </c>
      <c r="E613" s="27" t="str">
        <f>'Landscape Trees '!F471</f>
        <v/>
      </c>
      <c r="F613" s="27" t="str">
        <f>'Landscape Trees '!G471</f>
        <v/>
      </c>
      <c r="G613" s="27" t="str">
        <f>'Landscape Trees '!H471</f>
        <v/>
      </c>
      <c r="H613" s="27" t="str">
        <f>'Landscape Trees '!I471</f>
        <v/>
      </c>
    </row>
    <row r="614">
      <c r="A614" s="27" t="str">
        <f>'Landscape Trees '!A472</f>
        <v/>
      </c>
      <c r="B614" s="27" t="str">
        <f>'Landscape Trees '!C472</f>
        <v/>
      </c>
      <c r="C614" s="27" t="str">
        <f>'Landscape Trees '!D472</f>
        <v/>
      </c>
      <c r="D614" s="27" t="str">
        <f>'Landscape Trees '!E472</f>
        <v/>
      </c>
      <c r="E614" s="27" t="str">
        <f>'Landscape Trees '!F472</f>
        <v/>
      </c>
      <c r="F614" s="27" t="str">
        <f>'Landscape Trees '!G472</f>
        <v/>
      </c>
      <c r="G614" s="27" t="str">
        <f>'Landscape Trees '!H472</f>
        <v/>
      </c>
      <c r="H614" s="27" t="str">
        <f>'Landscape Trees '!I472</f>
        <v/>
      </c>
    </row>
    <row r="615">
      <c r="A615" s="27" t="str">
        <f>'Landscape Trees '!A473</f>
        <v/>
      </c>
      <c r="B615" s="27" t="str">
        <f>'Landscape Trees '!C473</f>
        <v/>
      </c>
      <c r="C615" s="27" t="str">
        <f>'Landscape Trees '!D473</f>
        <v/>
      </c>
      <c r="D615" s="27" t="str">
        <f>'Landscape Trees '!E473</f>
        <v/>
      </c>
      <c r="E615" s="27" t="str">
        <f>'Landscape Trees '!F473</f>
        <v/>
      </c>
      <c r="F615" s="27" t="str">
        <f>'Landscape Trees '!G473</f>
        <v/>
      </c>
      <c r="G615" s="27" t="str">
        <f>'Landscape Trees '!H473</f>
        <v/>
      </c>
      <c r="H615" s="27" t="str">
        <f>'Landscape Trees '!I473</f>
        <v/>
      </c>
    </row>
    <row r="616">
      <c r="A616" s="27" t="str">
        <f>'Landscape Trees '!A474</f>
        <v/>
      </c>
      <c r="B616" s="27" t="str">
        <f>'Landscape Trees '!C474</f>
        <v/>
      </c>
      <c r="C616" s="27" t="str">
        <f>'Landscape Trees '!D474</f>
        <v/>
      </c>
      <c r="D616" s="27" t="str">
        <f>'Landscape Trees '!E474</f>
        <v/>
      </c>
      <c r="E616" s="27" t="str">
        <f>'Landscape Trees '!F474</f>
        <v/>
      </c>
      <c r="F616" s="27" t="str">
        <f>'Landscape Trees '!G474</f>
        <v/>
      </c>
      <c r="G616" s="27" t="str">
        <f>'Landscape Trees '!H474</f>
        <v/>
      </c>
      <c r="H616" s="27" t="str">
        <f>'Landscape Trees '!I474</f>
        <v/>
      </c>
    </row>
    <row r="617">
      <c r="A617" s="27" t="str">
        <f>'Landscape Trees '!A475</f>
        <v/>
      </c>
      <c r="B617" s="27" t="str">
        <f>'Landscape Trees '!C475</f>
        <v/>
      </c>
      <c r="C617" s="27" t="str">
        <f>'Landscape Trees '!D475</f>
        <v/>
      </c>
      <c r="D617" s="27" t="str">
        <f>'Landscape Trees '!E475</f>
        <v/>
      </c>
      <c r="E617" s="27" t="str">
        <f>'Landscape Trees '!F475</f>
        <v/>
      </c>
      <c r="F617" s="27" t="str">
        <f>'Landscape Trees '!G475</f>
        <v/>
      </c>
      <c r="G617" s="27" t="str">
        <f>'Landscape Trees '!H475</f>
        <v/>
      </c>
      <c r="H617" s="27" t="str">
        <f>'Landscape Trees '!I475</f>
        <v/>
      </c>
    </row>
    <row r="618">
      <c r="A618" s="27" t="str">
        <f>'Landscape Trees '!A476</f>
        <v/>
      </c>
      <c r="B618" s="27" t="str">
        <f>'Landscape Trees '!C476</f>
        <v/>
      </c>
      <c r="C618" s="27" t="str">
        <f>'Landscape Trees '!D476</f>
        <v/>
      </c>
      <c r="D618" s="27" t="str">
        <f>'Landscape Trees '!E476</f>
        <v/>
      </c>
      <c r="E618" s="27" t="str">
        <f>'Landscape Trees '!F476</f>
        <v/>
      </c>
      <c r="F618" s="27" t="str">
        <f>'Landscape Trees '!G476</f>
        <v/>
      </c>
      <c r="G618" s="27" t="str">
        <f>'Landscape Trees '!H476</f>
        <v/>
      </c>
      <c r="H618" s="27" t="str">
        <f>'Landscape Trees '!I476</f>
        <v/>
      </c>
    </row>
    <row r="619">
      <c r="A619" s="27" t="str">
        <f>'Landscape Trees '!A477</f>
        <v/>
      </c>
      <c r="B619" s="27" t="str">
        <f>'Landscape Trees '!C477</f>
        <v/>
      </c>
      <c r="C619" s="27" t="str">
        <f>'Landscape Trees '!D477</f>
        <v/>
      </c>
      <c r="D619" s="27" t="str">
        <f>'Landscape Trees '!E477</f>
        <v/>
      </c>
      <c r="E619" s="27" t="str">
        <f>'Landscape Trees '!F477</f>
        <v/>
      </c>
      <c r="F619" s="27" t="str">
        <f>'Landscape Trees '!G477</f>
        <v/>
      </c>
      <c r="G619" s="27" t="str">
        <f>'Landscape Trees '!H477</f>
        <v/>
      </c>
      <c r="H619" s="27" t="str">
        <f>'Landscape Trees '!I477</f>
        <v/>
      </c>
    </row>
    <row r="620">
      <c r="A620" s="27" t="str">
        <f>'Landscape Trees '!A478</f>
        <v/>
      </c>
      <c r="B620" s="27" t="str">
        <f>'Landscape Trees '!C478</f>
        <v/>
      </c>
      <c r="C620" s="27" t="str">
        <f>'Landscape Trees '!D478</f>
        <v/>
      </c>
      <c r="D620" s="27" t="str">
        <f>'Landscape Trees '!E478</f>
        <v/>
      </c>
      <c r="E620" s="27" t="str">
        <f>'Landscape Trees '!F478</f>
        <v/>
      </c>
      <c r="F620" s="27" t="str">
        <f>'Landscape Trees '!G478</f>
        <v/>
      </c>
      <c r="G620" s="27" t="str">
        <f>'Landscape Trees '!H478</f>
        <v/>
      </c>
      <c r="H620" s="27" t="str">
        <f>'Landscape Trees '!I478</f>
        <v/>
      </c>
    </row>
    <row r="621">
      <c r="A621" s="27" t="str">
        <f>'Landscape Trees '!A479</f>
        <v/>
      </c>
      <c r="B621" s="27" t="str">
        <f>'Landscape Trees '!C479</f>
        <v/>
      </c>
      <c r="C621" s="27" t="str">
        <f>'Landscape Trees '!D479</f>
        <v/>
      </c>
      <c r="D621" s="27" t="str">
        <f>'Landscape Trees '!E479</f>
        <v/>
      </c>
      <c r="E621" s="27" t="str">
        <f>'Landscape Trees '!F479</f>
        <v/>
      </c>
      <c r="F621" s="27" t="str">
        <f>'Landscape Trees '!G479</f>
        <v/>
      </c>
      <c r="G621" s="27" t="str">
        <f>'Landscape Trees '!H479</f>
        <v/>
      </c>
      <c r="H621" s="27" t="str">
        <f>'Landscape Trees '!I479</f>
        <v/>
      </c>
    </row>
    <row r="622">
      <c r="A622" s="27" t="str">
        <f>'Landscape Trees '!A480</f>
        <v/>
      </c>
      <c r="B622" s="27" t="str">
        <f>'Landscape Trees '!C480</f>
        <v/>
      </c>
      <c r="C622" s="27" t="str">
        <f>'Landscape Trees '!D480</f>
        <v/>
      </c>
      <c r="D622" s="27" t="str">
        <f>'Landscape Trees '!E480</f>
        <v/>
      </c>
      <c r="E622" s="27" t="str">
        <f>'Landscape Trees '!F480</f>
        <v/>
      </c>
      <c r="F622" s="27" t="str">
        <f>'Landscape Trees '!G480</f>
        <v/>
      </c>
      <c r="G622" s="27" t="str">
        <f>'Landscape Trees '!H480</f>
        <v/>
      </c>
      <c r="H622" s="27" t="str">
        <f>'Landscape Trees '!I480</f>
        <v/>
      </c>
    </row>
    <row r="623">
      <c r="A623" s="27" t="str">
        <f>'Landscape Trees '!A481</f>
        <v/>
      </c>
      <c r="B623" s="27" t="str">
        <f>'Landscape Trees '!C481</f>
        <v/>
      </c>
      <c r="C623" s="27" t="str">
        <f>'Landscape Trees '!D481</f>
        <v/>
      </c>
      <c r="D623" s="27" t="str">
        <f>'Landscape Trees '!E481</f>
        <v/>
      </c>
      <c r="E623" s="27" t="str">
        <f>'Landscape Trees '!F481</f>
        <v/>
      </c>
      <c r="F623" s="27" t="str">
        <f>'Landscape Trees '!G481</f>
        <v/>
      </c>
      <c r="G623" s="27" t="str">
        <f>'Landscape Trees '!H481</f>
        <v/>
      </c>
      <c r="H623" s="27" t="str">
        <f>'Landscape Trees '!I481</f>
        <v/>
      </c>
    </row>
    <row r="624">
      <c r="A624" s="27" t="str">
        <f>'Landscape Trees '!A482</f>
        <v/>
      </c>
      <c r="B624" s="27" t="str">
        <f>'Landscape Trees '!C482</f>
        <v/>
      </c>
      <c r="C624" s="27" t="str">
        <f>'Landscape Trees '!D482</f>
        <v/>
      </c>
      <c r="D624" s="27" t="str">
        <f>'Landscape Trees '!E482</f>
        <v/>
      </c>
      <c r="E624" s="27" t="str">
        <f>'Landscape Trees '!F482</f>
        <v/>
      </c>
      <c r="F624" s="27" t="str">
        <f>'Landscape Trees '!G482</f>
        <v/>
      </c>
      <c r="G624" s="27" t="str">
        <f>'Landscape Trees '!H482</f>
        <v/>
      </c>
      <c r="H624" s="27" t="str">
        <f>'Landscape Trees '!I482</f>
        <v/>
      </c>
    </row>
    <row r="625">
      <c r="A625" s="27" t="str">
        <f>'Landscape Trees '!A483</f>
        <v/>
      </c>
      <c r="B625" s="27" t="str">
        <f>'Landscape Trees '!C483</f>
        <v/>
      </c>
      <c r="C625" s="27" t="str">
        <f>'Landscape Trees '!D483</f>
        <v/>
      </c>
      <c r="D625" s="27" t="str">
        <f>'Landscape Trees '!E483</f>
        <v/>
      </c>
      <c r="E625" s="27" t="str">
        <f>'Landscape Trees '!F483</f>
        <v/>
      </c>
      <c r="F625" s="27" t="str">
        <f>'Landscape Trees '!G483</f>
        <v/>
      </c>
      <c r="G625" s="27" t="str">
        <f>'Landscape Trees '!H483</f>
        <v/>
      </c>
      <c r="H625" s="27" t="str">
        <f>'Landscape Trees '!I483</f>
        <v/>
      </c>
    </row>
    <row r="626">
      <c r="A626" s="27" t="str">
        <f>'Landscape Trees '!A484</f>
        <v/>
      </c>
      <c r="B626" s="27" t="str">
        <f>'Landscape Trees '!C484</f>
        <v/>
      </c>
      <c r="C626" s="27" t="str">
        <f>'Landscape Trees '!D484</f>
        <v/>
      </c>
      <c r="D626" s="27" t="str">
        <f>'Landscape Trees '!E484</f>
        <v/>
      </c>
      <c r="E626" s="27" t="str">
        <f>'Landscape Trees '!F484</f>
        <v/>
      </c>
      <c r="F626" s="27" t="str">
        <f>'Landscape Trees '!G484</f>
        <v/>
      </c>
      <c r="G626" s="27" t="str">
        <f>'Landscape Trees '!H484</f>
        <v/>
      </c>
      <c r="H626" s="27" t="str">
        <f>'Landscape Trees '!I484</f>
        <v/>
      </c>
    </row>
    <row r="627">
      <c r="A627" s="27" t="str">
        <f>'Landscape Trees '!A485</f>
        <v/>
      </c>
      <c r="B627" s="27" t="str">
        <f>'Landscape Trees '!C485</f>
        <v/>
      </c>
      <c r="C627" s="27" t="str">
        <f>'Landscape Trees '!D485</f>
        <v/>
      </c>
      <c r="D627" s="27" t="str">
        <f>'Landscape Trees '!E485</f>
        <v/>
      </c>
      <c r="E627" s="27" t="str">
        <f>'Landscape Trees '!F485</f>
        <v/>
      </c>
      <c r="F627" s="27" t="str">
        <f>'Landscape Trees '!G485</f>
        <v/>
      </c>
      <c r="G627" s="27" t="str">
        <f>'Landscape Trees '!H485</f>
        <v/>
      </c>
      <c r="H627" s="27" t="str">
        <f>'Landscape Trees '!I485</f>
        <v/>
      </c>
    </row>
    <row r="628">
      <c r="A628" s="27" t="str">
        <f>'Landscape Trees '!A486</f>
        <v/>
      </c>
      <c r="B628" s="27" t="str">
        <f>'Landscape Trees '!C486</f>
        <v/>
      </c>
      <c r="C628" s="27" t="str">
        <f>'Landscape Trees '!D486</f>
        <v/>
      </c>
      <c r="D628" s="27" t="str">
        <f>'Landscape Trees '!E486</f>
        <v/>
      </c>
      <c r="E628" s="27" t="str">
        <f>'Landscape Trees '!F486</f>
        <v/>
      </c>
      <c r="F628" s="27" t="str">
        <f>'Landscape Trees '!G486</f>
        <v/>
      </c>
      <c r="G628" s="27" t="str">
        <f>'Landscape Trees '!H486</f>
        <v/>
      </c>
      <c r="H628" s="27" t="str">
        <f>'Landscape Trees '!I486</f>
        <v/>
      </c>
    </row>
    <row r="629">
      <c r="A629" s="27" t="str">
        <f>'Landscape Trees '!A487</f>
        <v/>
      </c>
      <c r="B629" s="27" t="str">
        <f>'Landscape Trees '!C487</f>
        <v/>
      </c>
      <c r="C629" s="27" t="str">
        <f>'Landscape Trees '!D487</f>
        <v/>
      </c>
      <c r="D629" s="27" t="str">
        <f>'Landscape Trees '!E487</f>
        <v/>
      </c>
      <c r="E629" s="27" t="str">
        <f>'Landscape Trees '!F487</f>
        <v/>
      </c>
      <c r="F629" s="27" t="str">
        <f>'Landscape Trees '!G487</f>
        <v/>
      </c>
      <c r="G629" s="27" t="str">
        <f>'Landscape Trees '!H487</f>
        <v/>
      </c>
      <c r="H629" s="27" t="str">
        <f>'Landscape Trees '!I487</f>
        <v/>
      </c>
    </row>
    <row r="630">
      <c r="A630" s="27" t="str">
        <f>'Landscape Trees '!A488</f>
        <v/>
      </c>
      <c r="B630" s="27" t="str">
        <f>'Landscape Trees '!C488</f>
        <v/>
      </c>
      <c r="C630" s="27" t="str">
        <f>'Landscape Trees '!D488</f>
        <v/>
      </c>
      <c r="D630" s="27" t="str">
        <f>'Landscape Trees '!E488</f>
        <v/>
      </c>
      <c r="E630" s="27" t="str">
        <f>'Landscape Trees '!F488</f>
        <v/>
      </c>
      <c r="F630" s="27" t="str">
        <f>'Landscape Trees '!G488</f>
        <v/>
      </c>
      <c r="G630" s="27" t="str">
        <f>'Landscape Trees '!H488</f>
        <v/>
      </c>
      <c r="H630" s="27" t="str">
        <f>'Landscape Trees '!I488</f>
        <v/>
      </c>
    </row>
    <row r="631">
      <c r="A631" s="27" t="str">
        <f>'Landscape Trees '!A489</f>
        <v/>
      </c>
      <c r="B631" s="27" t="str">
        <f>'Landscape Trees '!C489</f>
        <v/>
      </c>
      <c r="C631" s="27" t="str">
        <f>'Landscape Trees '!D489</f>
        <v/>
      </c>
      <c r="D631" s="27" t="str">
        <f>'Landscape Trees '!E489</f>
        <v/>
      </c>
      <c r="E631" s="27" t="str">
        <f>'Landscape Trees '!F489</f>
        <v/>
      </c>
      <c r="F631" s="27" t="str">
        <f>'Landscape Trees '!G489</f>
        <v/>
      </c>
      <c r="G631" s="27" t="str">
        <f>'Landscape Trees '!H489</f>
        <v/>
      </c>
      <c r="H631" s="27" t="str">
        <f>'Landscape Trees '!I489</f>
        <v/>
      </c>
    </row>
    <row r="632">
      <c r="A632" s="27" t="str">
        <f>'Landscape Trees '!A490</f>
        <v/>
      </c>
      <c r="B632" s="27" t="str">
        <f>'Landscape Trees '!C490</f>
        <v/>
      </c>
      <c r="C632" s="27" t="str">
        <f>'Landscape Trees '!D490</f>
        <v/>
      </c>
      <c r="D632" s="27" t="str">
        <f>'Landscape Trees '!E490</f>
        <v/>
      </c>
      <c r="E632" s="27" t="str">
        <f>'Landscape Trees '!F490</f>
        <v/>
      </c>
      <c r="F632" s="27" t="str">
        <f>'Landscape Trees '!G490</f>
        <v/>
      </c>
      <c r="G632" s="27" t="str">
        <f>'Landscape Trees '!H490</f>
        <v/>
      </c>
      <c r="H632" s="27" t="str">
        <f>'Landscape Trees '!I490</f>
        <v/>
      </c>
    </row>
    <row r="633">
      <c r="A633" s="27" t="str">
        <f>'Landscape Trees '!A491</f>
        <v/>
      </c>
      <c r="B633" s="27" t="str">
        <f>'Landscape Trees '!C491</f>
        <v/>
      </c>
      <c r="C633" s="27" t="str">
        <f>'Landscape Trees '!D491</f>
        <v/>
      </c>
      <c r="D633" s="27" t="str">
        <f>'Landscape Trees '!E491</f>
        <v/>
      </c>
      <c r="E633" s="27" t="str">
        <f>'Landscape Trees '!F491</f>
        <v/>
      </c>
      <c r="F633" s="27" t="str">
        <f>'Landscape Trees '!G491</f>
        <v/>
      </c>
      <c r="G633" s="27" t="str">
        <f>'Landscape Trees '!H491</f>
        <v/>
      </c>
      <c r="H633" s="27" t="str">
        <f>'Landscape Trees '!I491</f>
        <v/>
      </c>
    </row>
    <row r="634">
      <c r="A634" s="27" t="str">
        <f>'Landscape Trees '!A492</f>
        <v/>
      </c>
      <c r="B634" s="27" t="str">
        <f>'Landscape Trees '!C492</f>
        <v/>
      </c>
      <c r="C634" s="27" t="str">
        <f>'Landscape Trees '!D492</f>
        <v/>
      </c>
      <c r="D634" s="27" t="str">
        <f>'Landscape Trees '!E492</f>
        <v/>
      </c>
      <c r="E634" s="27" t="str">
        <f>'Landscape Trees '!F492</f>
        <v/>
      </c>
      <c r="F634" s="27" t="str">
        <f>'Landscape Trees '!G492</f>
        <v/>
      </c>
      <c r="G634" s="27" t="str">
        <f>'Landscape Trees '!H492</f>
        <v/>
      </c>
      <c r="H634" s="27" t="str">
        <f>'Landscape Trees '!I492</f>
        <v/>
      </c>
    </row>
    <row r="635">
      <c r="A635" s="27" t="str">
        <f>'Landscape Trees '!A493</f>
        <v/>
      </c>
      <c r="B635" s="27" t="str">
        <f>'Landscape Trees '!C493</f>
        <v/>
      </c>
      <c r="C635" s="27" t="str">
        <f>'Landscape Trees '!D493</f>
        <v/>
      </c>
      <c r="D635" s="27" t="str">
        <f>'Landscape Trees '!E493</f>
        <v/>
      </c>
      <c r="E635" s="27" t="str">
        <f>'Landscape Trees '!F493</f>
        <v/>
      </c>
      <c r="F635" s="27" t="str">
        <f>'Landscape Trees '!G493</f>
        <v/>
      </c>
      <c r="G635" s="27" t="str">
        <f>'Landscape Trees '!H493</f>
        <v/>
      </c>
      <c r="H635" s="27" t="str">
        <f>'Landscape Trees '!I493</f>
        <v/>
      </c>
    </row>
    <row r="636">
      <c r="A636" s="27" t="str">
        <f>'Landscape Trees '!A494</f>
        <v/>
      </c>
      <c r="B636" s="27" t="str">
        <f>'Landscape Trees '!C494</f>
        <v/>
      </c>
      <c r="C636" s="27" t="str">
        <f>'Landscape Trees '!D494</f>
        <v/>
      </c>
      <c r="D636" s="27" t="str">
        <f>'Landscape Trees '!E494</f>
        <v/>
      </c>
      <c r="E636" s="27" t="str">
        <f>'Landscape Trees '!F494</f>
        <v/>
      </c>
      <c r="F636" s="27" t="str">
        <f>'Landscape Trees '!G494</f>
        <v/>
      </c>
      <c r="G636" s="27" t="str">
        <f>'Landscape Trees '!H494</f>
        <v/>
      </c>
      <c r="H636" s="27" t="str">
        <f>'Landscape Trees '!I494</f>
        <v/>
      </c>
    </row>
    <row r="637">
      <c r="A637" s="27" t="str">
        <f>'Landscape Trees '!A495</f>
        <v/>
      </c>
      <c r="B637" s="27" t="str">
        <f>'Landscape Trees '!C495</f>
        <v/>
      </c>
      <c r="C637" s="27" t="str">
        <f>'Landscape Trees '!D495</f>
        <v/>
      </c>
      <c r="D637" s="27" t="str">
        <f>'Landscape Trees '!E495</f>
        <v/>
      </c>
      <c r="E637" s="27" t="str">
        <f>'Landscape Trees '!F495</f>
        <v/>
      </c>
      <c r="F637" s="27" t="str">
        <f>'Landscape Trees '!G495</f>
        <v/>
      </c>
      <c r="G637" s="27" t="str">
        <f>'Landscape Trees '!H495</f>
        <v/>
      </c>
      <c r="H637" s="27" t="str">
        <f>'Landscape Trees '!I495</f>
        <v/>
      </c>
    </row>
    <row r="638">
      <c r="A638" s="27" t="str">
        <f>'Landscape Trees '!A496</f>
        <v/>
      </c>
      <c r="B638" s="27" t="str">
        <f>'Landscape Trees '!C496</f>
        <v/>
      </c>
      <c r="C638" s="27" t="str">
        <f>'Landscape Trees '!D496</f>
        <v/>
      </c>
      <c r="D638" s="27" t="str">
        <f>'Landscape Trees '!E496</f>
        <v/>
      </c>
      <c r="E638" s="27" t="str">
        <f>'Landscape Trees '!F496</f>
        <v/>
      </c>
      <c r="F638" s="27" t="str">
        <f>'Landscape Trees '!G496</f>
        <v/>
      </c>
      <c r="G638" s="27" t="str">
        <f>'Landscape Trees '!H496</f>
        <v/>
      </c>
      <c r="H638" s="27" t="str">
        <f>'Landscape Trees '!I496</f>
        <v/>
      </c>
    </row>
    <row r="639">
      <c r="A639" s="24" t="str">
        <f>'Landscape Trees '!A497</f>
        <v/>
      </c>
      <c r="B639" s="24" t="str">
        <f>'Landscape Trees '!C497</f>
        <v/>
      </c>
      <c r="C639" s="24" t="str">
        <f>'Landscape Trees '!D497</f>
        <v/>
      </c>
      <c r="D639" s="24" t="str">
        <f>'Landscape Trees '!E497</f>
        <v/>
      </c>
      <c r="E639" s="24" t="str">
        <f>'Landscape Trees '!F497</f>
        <v/>
      </c>
      <c r="F639" s="24" t="str">
        <f>'Landscape Trees '!G497</f>
        <v/>
      </c>
      <c r="G639" s="24" t="str">
        <f>'Landscape Trees '!H497</f>
        <v/>
      </c>
      <c r="H639" s="24" t="str">
        <f>'Landscape Trees '!I497</f>
        <v/>
      </c>
    </row>
    <row r="640">
      <c r="A640" s="24" t="str">
        <f>'Landscape Trees '!A498</f>
        <v/>
      </c>
      <c r="B640" s="24" t="str">
        <f>'Landscape Trees '!C498</f>
        <v/>
      </c>
      <c r="C640" s="24" t="str">
        <f>'Landscape Trees '!D498</f>
        <v/>
      </c>
      <c r="D640" s="24" t="str">
        <f>'Landscape Trees '!E498</f>
        <v/>
      </c>
      <c r="E640" s="24" t="str">
        <f>'Landscape Trees '!F498</f>
        <v/>
      </c>
      <c r="F640" s="24" t="str">
        <f>'Landscape Trees '!G498</f>
        <v/>
      </c>
      <c r="G640" s="24" t="str">
        <f>'Landscape Trees '!H498</f>
        <v/>
      </c>
      <c r="H640" s="24" t="str">
        <f>'Landscape Trees '!I498</f>
        <v/>
      </c>
    </row>
    <row r="641">
      <c r="A641" s="24" t="str">
        <f>'Landscape Trees '!A499</f>
        <v/>
      </c>
      <c r="B641" s="24" t="str">
        <f>'Landscape Trees '!C499</f>
        <v/>
      </c>
      <c r="C641" s="24" t="str">
        <f>'Landscape Trees '!D499</f>
        <v/>
      </c>
      <c r="D641" s="24" t="str">
        <f>'Landscape Trees '!E499</f>
        <v/>
      </c>
      <c r="E641" s="24" t="str">
        <f>'Landscape Trees '!F499</f>
        <v/>
      </c>
      <c r="F641" s="24" t="str">
        <f>'Landscape Trees '!G499</f>
        <v/>
      </c>
      <c r="G641" s="24" t="str">
        <f>'Landscape Trees '!H499</f>
        <v/>
      </c>
      <c r="H641" s="24" t="str">
        <f>'Landscape Trees '!I499</f>
        <v/>
      </c>
    </row>
    <row r="642">
      <c r="A642" s="24" t="str">
        <f>'Landscape Trees '!A500</f>
        <v/>
      </c>
      <c r="B642" s="24" t="str">
        <f>'Landscape Trees '!C500</f>
        <v/>
      </c>
      <c r="C642" s="24" t="str">
        <f>'Landscape Trees '!D500</f>
        <v/>
      </c>
      <c r="D642" s="24" t="str">
        <f>'Landscape Trees '!E500</f>
        <v/>
      </c>
      <c r="E642" s="24" t="str">
        <f>'Landscape Trees '!F500</f>
        <v/>
      </c>
      <c r="F642" s="24" t="str">
        <f>'Landscape Trees '!G500</f>
        <v/>
      </c>
      <c r="G642" s="24" t="str">
        <f>'Landscape Trees '!H500</f>
        <v/>
      </c>
      <c r="H642" s="24" t="str">
        <f>'Landscape Trees '!I500</f>
        <v/>
      </c>
    </row>
    <row r="643">
      <c r="A643" s="24" t="str">
        <f>'Landscape Trees '!A501</f>
        <v/>
      </c>
      <c r="B643" s="24" t="str">
        <f>'Landscape Trees '!C501</f>
        <v/>
      </c>
      <c r="C643" s="24" t="str">
        <f>'Landscape Trees '!D501</f>
        <v/>
      </c>
      <c r="D643" s="24" t="str">
        <f>'Landscape Trees '!E501</f>
        <v/>
      </c>
      <c r="E643" s="24" t="str">
        <f>'Landscape Trees '!F501</f>
        <v/>
      </c>
      <c r="F643" s="24" t="str">
        <f>'Landscape Trees '!G501</f>
        <v/>
      </c>
      <c r="G643" s="24" t="str">
        <f>'Landscape Trees '!H501</f>
        <v/>
      </c>
      <c r="H643" s="24" t="str">
        <f>'Landscape Trees '!I501</f>
        <v/>
      </c>
    </row>
    <row r="644">
      <c r="A644" s="24" t="str">
        <f>'Landscape Trees '!A502</f>
        <v/>
      </c>
      <c r="B644" s="24" t="str">
        <f>'Landscape Trees '!C502</f>
        <v/>
      </c>
      <c r="C644" s="24" t="str">
        <f>'Landscape Trees '!D502</f>
        <v/>
      </c>
      <c r="D644" s="24" t="str">
        <f>'Landscape Trees '!E502</f>
        <v/>
      </c>
      <c r="E644" s="24" t="str">
        <f>'Landscape Trees '!F502</f>
        <v/>
      </c>
      <c r="F644" s="24" t="str">
        <f>'Landscape Trees '!G502</f>
        <v/>
      </c>
      <c r="G644" s="24" t="str">
        <f>'Landscape Trees '!H502</f>
        <v/>
      </c>
      <c r="H644" s="24" t="str">
        <f>'Landscape Trees '!I502</f>
        <v/>
      </c>
    </row>
    <row r="645">
      <c r="A645" s="24" t="str">
        <f>'Landscape Trees '!A503</f>
        <v/>
      </c>
      <c r="B645" s="24" t="str">
        <f>'Landscape Trees '!C503</f>
        <v/>
      </c>
      <c r="C645" s="24" t="str">
        <f>'Landscape Trees '!D503</f>
        <v/>
      </c>
      <c r="D645" s="24" t="str">
        <f>'Landscape Trees '!E503</f>
        <v/>
      </c>
      <c r="E645" s="24" t="str">
        <f>'Landscape Trees '!F503</f>
        <v/>
      </c>
      <c r="F645" s="24" t="str">
        <f>'Landscape Trees '!G503</f>
        <v/>
      </c>
      <c r="G645" s="24" t="str">
        <f>'Landscape Trees '!H503</f>
        <v/>
      </c>
      <c r="H645" s="24" t="str">
        <f>'Landscape Trees '!I503</f>
        <v/>
      </c>
    </row>
    <row r="646">
      <c r="A646" s="24" t="str">
        <f>'Landscape Trees '!A504</f>
        <v/>
      </c>
      <c r="B646" s="24" t="str">
        <f>'Landscape Trees '!C504</f>
        <v/>
      </c>
      <c r="C646" s="24" t="str">
        <f>'Landscape Trees '!D504</f>
        <v/>
      </c>
      <c r="D646" s="24" t="str">
        <f>'Landscape Trees '!E504</f>
        <v/>
      </c>
      <c r="E646" s="24" t="str">
        <f>'Landscape Trees '!F504</f>
        <v/>
      </c>
      <c r="F646" s="24" t="str">
        <f>'Landscape Trees '!G504</f>
        <v/>
      </c>
      <c r="G646" s="24" t="str">
        <f>'Landscape Trees '!H504</f>
        <v/>
      </c>
      <c r="H646" s="24" t="str">
        <f>'Landscape Trees '!I504</f>
        <v/>
      </c>
    </row>
    <row r="647">
      <c r="A647" s="24" t="str">
        <f>'Landscape Trees '!A505</f>
        <v/>
      </c>
      <c r="B647" s="24" t="str">
        <f>'Landscape Trees '!C505</f>
        <v/>
      </c>
      <c r="C647" s="24" t="str">
        <f>'Landscape Trees '!D505</f>
        <v/>
      </c>
      <c r="D647" s="24" t="str">
        <f>'Landscape Trees '!E505</f>
        <v/>
      </c>
      <c r="E647" s="24" t="str">
        <f>'Landscape Trees '!F505</f>
        <v/>
      </c>
      <c r="F647" s="24" t="str">
        <f>'Landscape Trees '!G505</f>
        <v/>
      </c>
      <c r="G647" s="24" t="str">
        <f>'Landscape Trees '!H505</f>
        <v/>
      </c>
      <c r="H647" s="24" t="str">
        <f>'Landscape Trees '!I505</f>
        <v/>
      </c>
    </row>
    <row r="648">
      <c r="A648" s="24" t="str">
        <f>'Landscape Trees '!A506</f>
        <v/>
      </c>
      <c r="B648" s="24" t="str">
        <f>'Landscape Trees '!C506</f>
        <v/>
      </c>
      <c r="C648" s="24" t="str">
        <f>'Landscape Trees '!D506</f>
        <v/>
      </c>
      <c r="D648" s="24" t="str">
        <f>'Landscape Trees '!E506</f>
        <v/>
      </c>
      <c r="E648" s="24" t="str">
        <f>'Landscape Trees '!F506</f>
        <v/>
      </c>
      <c r="F648" s="24" t="str">
        <f>'Landscape Trees '!G506</f>
        <v/>
      </c>
      <c r="G648" s="24" t="str">
        <f>'Landscape Trees '!H506</f>
        <v/>
      </c>
      <c r="H648" s="24" t="str">
        <f>'Landscape Trees '!I506</f>
        <v/>
      </c>
    </row>
    <row r="649">
      <c r="A649" s="24" t="str">
        <f>'Landscape Trees '!A507</f>
        <v/>
      </c>
      <c r="B649" s="24" t="str">
        <f>'Landscape Trees '!C507</f>
        <v/>
      </c>
      <c r="C649" s="24" t="str">
        <f>'Landscape Trees '!D507</f>
        <v/>
      </c>
      <c r="D649" s="24" t="str">
        <f>'Landscape Trees '!E507</f>
        <v/>
      </c>
      <c r="E649" s="24" t="str">
        <f>'Landscape Trees '!F507</f>
        <v/>
      </c>
      <c r="F649" s="24" t="str">
        <f>'Landscape Trees '!G507</f>
        <v/>
      </c>
      <c r="G649" s="24" t="str">
        <f>'Landscape Trees '!H507</f>
        <v/>
      </c>
      <c r="H649" s="24" t="str">
        <f>'Landscape Trees '!I507</f>
        <v/>
      </c>
    </row>
    <row r="650">
      <c r="A650" s="24" t="str">
        <f>'Landscape Trees '!A508</f>
        <v/>
      </c>
      <c r="B650" s="24" t="str">
        <f>'Landscape Trees '!C508</f>
        <v/>
      </c>
      <c r="C650" s="24" t="str">
        <f>'Landscape Trees '!D508</f>
        <v/>
      </c>
      <c r="D650" s="24" t="str">
        <f>'Landscape Trees '!E508</f>
        <v/>
      </c>
      <c r="E650" s="24" t="str">
        <f>'Landscape Trees '!F508</f>
        <v/>
      </c>
      <c r="F650" s="24" t="str">
        <f>'Landscape Trees '!G508</f>
        <v/>
      </c>
      <c r="G650" s="24" t="str">
        <f>'Landscape Trees '!H508</f>
        <v/>
      </c>
      <c r="H650" s="24" t="str">
        <f>'Landscape Trees '!I508</f>
        <v/>
      </c>
    </row>
    <row r="651">
      <c r="A651" s="24" t="str">
        <f>'Landscape Trees '!A509</f>
        <v/>
      </c>
      <c r="B651" s="24" t="str">
        <f>'Landscape Trees '!C509</f>
        <v/>
      </c>
      <c r="C651" s="24" t="str">
        <f>'Landscape Trees '!D509</f>
        <v/>
      </c>
      <c r="D651" s="24" t="str">
        <f>'Landscape Trees '!E509</f>
        <v/>
      </c>
      <c r="E651" s="24" t="str">
        <f>'Landscape Trees '!F509</f>
        <v/>
      </c>
      <c r="F651" s="24" t="str">
        <f>'Landscape Trees '!G509</f>
        <v/>
      </c>
      <c r="G651" s="24" t="str">
        <f>'Landscape Trees '!H509</f>
        <v/>
      </c>
      <c r="H651" s="24" t="str">
        <f>'Landscape Trees '!I509</f>
        <v/>
      </c>
    </row>
    <row r="652">
      <c r="A652" s="24" t="str">
        <f>'Landscape Trees '!A510</f>
        <v/>
      </c>
      <c r="B652" s="24" t="str">
        <f>'Landscape Trees '!C510</f>
        <v/>
      </c>
      <c r="C652" s="24" t="str">
        <f>'Landscape Trees '!D510</f>
        <v/>
      </c>
      <c r="D652" s="24" t="str">
        <f>'Landscape Trees '!E510</f>
        <v/>
      </c>
      <c r="E652" s="24" t="str">
        <f>'Landscape Trees '!F510</f>
        <v/>
      </c>
      <c r="F652" s="24" t="str">
        <f>'Landscape Trees '!G510</f>
        <v/>
      </c>
      <c r="G652" s="24" t="str">
        <f>'Landscape Trees '!H510</f>
        <v/>
      </c>
      <c r="H652" s="24" t="str">
        <f>'Landscape Trees '!I510</f>
        <v/>
      </c>
    </row>
    <row r="653">
      <c r="A653" s="24" t="str">
        <f>'Landscape Trees '!A511</f>
        <v/>
      </c>
      <c r="B653" s="24" t="str">
        <f>'Landscape Trees '!C511</f>
        <v/>
      </c>
      <c r="C653" s="24" t="str">
        <f>'Landscape Trees '!D511</f>
        <v/>
      </c>
      <c r="D653" s="24" t="str">
        <f>'Landscape Trees '!E511</f>
        <v/>
      </c>
      <c r="E653" s="24" t="str">
        <f>'Landscape Trees '!F511</f>
        <v/>
      </c>
      <c r="F653" s="24" t="str">
        <f>'Landscape Trees '!G511</f>
        <v/>
      </c>
      <c r="G653" s="24" t="str">
        <f>'Landscape Trees '!H511</f>
        <v/>
      </c>
      <c r="H653" s="24" t="str">
        <f>'Landscape Trees '!I511</f>
        <v/>
      </c>
    </row>
    <row r="654">
      <c r="A654" s="24" t="str">
        <f>'Landscape Trees '!A512</f>
        <v/>
      </c>
      <c r="B654" s="24" t="str">
        <f>'Landscape Trees '!C512</f>
        <v/>
      </c>
      <c r="C654" s="24" t="str">
        <f>'Landscape Trees '!D512</f>
        <v/>
      </c>
      <c r="D654" s="24" t="str">
        <f>'Landscape Trees '!E512</f>
        <v/>
      </c>
      <c r="E654" s="24" t="str">
        <f>'Landscape Trees '!F512</f>
        <v/>
      </c>
      <c r="F654" s="24" t="str">
        <f>'Landscape Trees '!G512</f>
        <v/>
      </c>
      <c r="G654" s="24" t="str">
        <f>'Landscape Trees '!H512</f>
        <v/>
      </c>
      <c r="H654" s="24" t="str">
        <f>'Landscape Trees '!I512</f>
        <v/>
      </c>
    </row>
    <row r="655">
      <c r="A655" s="24" t="str">
        <f>'Landscape Trees '!A513</f>
        <v/>
      </c>
      <c r="B655" s="24" t="str">
        <f>'Landscape Trees '!C513</f>
        <v/>
      </c>
      <c r="C655" s="24" t="str">
        <f>'Landscape Trees '!D513</f>
        <v/>
      </c>
      <c r="D655" s="24" t="str">
        <f>'Landscape Trees '!E513</f>
        <v/>
      </c>
      <c r="E655" s="24" t="str">
        <f>'Landscape Trees '!F513</f>
        <v/>
      </c>
      <c r="F655" s="24" t="str">
        <f>'Landscape Trees '!G513</f>
        <v/>
      </c>
      <c r="G655" s="24" t="str">
        <f>'Landscape Trees '!H513</f>
        <v/>
      </c>
      <c r="H655" s="24" t="str">
        <f>'Landscape Trees '!I513</f>
        <v/>
      </c>
    </row>
    <row r="656">
      <c r="A656" s="24" t="str">
        <f>'Landscape Trees '!A514</f>
        <v/>
      </c>
      <c r="B656" s="24" t="str">
        <f>'Landscape Trees '!C514</f>
        <v/>
      </c>
      <c r="C656" s="24" t="str">
        <f>'Landscape Trees '!D514</f>
        <v/>
      </c>
      <c r="D656" s="24" t="str">
        <f>'Landscape Trees '!E514</f>
        <v/>
      </c>
      <c r="E656" s="24" t="str">
        <f>'Landscape Trees '!F514</f>
        <v/>
      </c>
      <c r="F656" s="24" t="str">
        <f>'Landscape Trees '!G514</f>
        <v/>
      </c>
      <c r="G656" s="24" t="str">
        <f>'Landscape Trees '!H514</f>
        <v/>
      </c>
      <c r="H656" s="24" t="str">
        <f>'Landscape Trees '!I514</f>
        <v/>
      </c>
    </row>
    <row r="657">
      <c r="A657" s="24" t="str">
        <f>'Landscape Trees '!A515</f>
        <v/>
      </c>
      <c r="B657" s="24" t="str">
        <f>'Landscape Trees '!C515</f>
        <v/>
      </c>
      <c r="C657" s="24" t="str">
        <f>'Landscape Trees '!D515</f>
        <v/>
      </c>
      <c r="D657" s="24" t="str">
        <f>'Landscape Trees '!E515</f>
        <v/>
      </c>
      <c r="E657" s="24" t="str">
        <f>'Landscape Trees '!F515</f>
        <v/>
      </c>
      <c r="F657" s="24" t="str">
        <f>'Landscape Trees '!G515</f>
        <v/>
      </c>
      <c r="G657" s="24" t="str">
        <f>'Landscape Trees '!H515</f>
        <v/>
      </c>
      <c r="H657" s="24" t="str">
        <f>'Landscape Trees '!I515</f>
        <v/>
      </c>
    </row>
    <row r="658">
      <c r="A658" s="24" t="str">
        <f>'Landscape Trees '!A516</f>
        <v/>
      </c>
      <c r="B658" s="24" t="str">
        <f>'Landscape Trees '!C516</f>
        <v/>
      </c>
      <c r="C658" s="24" t="str">
        <f>'Landscape Trees '!D516</f>
        <v/>
      </c>
      <c r="D658" s="24" t="str">
        <f>'Landscape Trees '!E516</f>
        <v/>
      </c>
      <c r="E658" s="24" t="str">
        <f>'Landscape Trees '!F516</f>
        <v/>
      </c>
      <c r="F658" s="24" t="str">
        <f>'Landscape Trees '!G516</f>
        <v/>
      </c>
      <c r="G658" s="24" t="str">
        <f>'Landscape Trees '!H516</f>
        <v/>
      </c>
      <c r="H658" s="24" t="str">
        <f>'Landscape Trees '!I516</f>
        <v/>
      </c>
    </row>
    <row r="659">
      <c r="A659" s="24" t="str">
        <f>'Landscape Trees '!A517</f>
        <v/>
      </c>
      <c r="B659" s="24" t="str">
        <f>'Landscape Trees '!C517</f>
        <v/>
      </c>
      <c r="C659" s="24" t="str">
        <f>'Landscape Trees '!D517</f>
        <v/>
      </c>
      <c r="D659" s="24" t="str">
        <f>'Landscape Trees '!E517</f>
        <v/>
      </c>
      <c r="E659" s="24" t="str">
        <f>'Landscape Trees '!F517</f>
        <v/>
      </c>
      <c r="F659" s="24" t="str">
        <f>'Landscape Trees '!G517</f>
        <v/>
      </c>
      <c r="G659" s="24" t="str">
        <f>'Landscape Trees '!H517</f>
        <v/>
      </c>
      <c r="H659" s="24" t="str">
        <f>'Landscape Trees '!I517</f>
        <v/>
      </c>
    </row>
    <row r="660">
      <c r="A660" s="24" t="str">
        <f>'Landscape Trees '!A518</f>
        <v/>
      </c>
      <c r="B660" s="24" t="str">
        <f>'Landscape Trees '!C518</f>
        <v/>
      </c>
      <c r="C660" s="24" t="str">
        <f>'Landscape Trees '!D518</f>
        <v/>
      </c>
      <c r="D660" s="24" t="str">
        <f>'Landscape Trees '!E518</f>
        <v/>
      </c>
      <c r="E660" s="24" t="str">
        <f>'Landscape Trees '!F518</f>
        <v/>
      </c>
      <c r="F660" s="24" t="str">
        <f>'Landscape Trees '!G518</f>
        <v/>
      </c>
      <c r="G660" s="24" t="str">
        <f>'Landscape Trees '!H518</f>
        <v/>
      </c>
      <c r="H660" s="24" t="str">
        <f>'Landscape Trees '!I518</f>
        <v/>
      </c>
    </row>
    <row r="661">
      <c r="A661" s="24" t="str">
        <f>'Landscape Trees '!A519</f>
        <v/>
      </c>
      <c r="B661" s="24" t="str">
        <f>'Landscape Trees '!C519</f>
        <v/>
      </c>
      <c r="C661" s="24" t="str">
        <f>'Landscape Trees '!D519</f>
        <v/>
      </c>
      <c r="D661" s="24" t="str">
        <f>'Landscape Trees '!E519</f>
        <v/>
      </c>
      <c r="E661" s="24" t="str">
        <f>'Landscape Trees '!F519</f>
        <v/>
      </c>
      <c r="F661" s="24" t="str">
        <f>'Landscape Trees '!G519</f>
        <v/>
      </c>
      <c r="G661" s="24" t="str">
        <f>'Landscape Trees '!H519</f>
        <v/>
      </c>
      <c r="H661" s="24" t="str">
        <f>'Landscape Trees '!I519</f>
        <v/>
      </c>
    </row>
    <row r="662">
      <c r="A662" s="24" t="str">
        <f>'Landscape Trees '!A520</f>
        <v/>
      </c>
      <c r="B662" s="24" t="str">
        <f>'Landscape Trees '!C520</f>
        <v/>
      </c>
      <c r="C662" s="24" t="str">
        <f>'Landscape Trees '!D520</f>
        <v/>
      </c>
      <c r="D662" s="24" t="str">
        <f>'Landscape Trees '!E520</f>
        <v/>
      </c>
      <c r="E662" s="24" t="str">
        <f>'Landscape Trees '!F520</f>
        <v/>
      </c>
      <c r="F662" s="24" t="str">
        <f>'Landscape Trees '!G520</f>
        <v/>
      </c>
      <c r="G662" s="24" t="str">
        <f>'Landscape Trees '!H520</f>
        <v/>
      </c>
      <c r="H662" s="24" t="str">
        <f>'Landscape Trees '!I520</f>
        <v/>
      </c>
    </row>
    <row r="663">
      <c r="A663" s="24" t="str">
        <f>'Landscape Trees '!A521</f>
        <v/>
      </c>
      <c r="B663" s="24" t="str">
        <f>'Landscape Trees '!C521</f>
        <v/>
      </c>
      <c r="C663" s="24" t="str">
        <f>'Landscape Trees '!D521</f>
        <v/>
      </c>
      <c r="D663" s="24" t="str">
        <f>'Landscape Trees '!E521</f>
        <v/>
      </c>
      <c r="E663" s="24" t="str">
        <f>'Landscape Trees '!F521</f>
        <v/>
      </c>
      <c r="F663" s="24" t="str">
        <f>'Landscape Trees '!G521</f>
        <v/>
      </c>
      <c r="G663" s="24" t="str">
        <f>'Landscape Trees '!H521</f>
        <v/>
      </c>
      <c r="H663" s="24" t="str">
        <f>'Landscape Trees '!I521</f>
        <v/>
      </c>
    </row>
    <row r="664">
      <c r="A664" s="24" t="str">
        <f>'Landscape Trees '!A522</f>
        <v/>
      </c>
      <c r="B664" s="24" t="str">
        <f>'Landscape Trees '!C522</f>
        <v/>
      </c>
      <c r="C664" s="24" t="str">
        <f>'Landscape Trees '!D522</f>
        <v/>
      </c>
      <c r="D664" s="24" t="str">
        <f>'Landscape Trees '!E522</f>
        <v/>
      </c>
      <c r="E664" s="24" t="str">
        <f>'Landscape Trees '!F522</f>
        <v/>
      </c>
      <c r="F664" s="24" t="str">
        <f>'Landscape Trees '!G522</f>
        <v/>
      </c>
      <c r="G664" s="24" t="str">
        <f>'Landscape Trees '!H522</f>
        <v/>
      </c>
      <c r="H664" s="24" t="str">
        <f>'Landscape Trees '!I522</f>
        <v/>
      </c>
    </row>
    <row r="665">
      <c r="A665" s="24" t="str">
        <f>'Landscape Trees '!A523</f>
        <v/>
      </c>
      <c r="B665" s="24" t="str">
        <f>'Landscape Trees '!C523</f>
        <v/>
      </c>
      <c r="C665" s="24" t="str">
        <f>'Landscape Trees '!D523</f>
        <v/>
      </c>
      <c r="D665" s="24" t="str">
        <f>'Landscape Trees '!E523</f>
        <v/>
      </c>
      <c r="E665" s="24" t="str">
        <f>'Landscape Trees '!F523</f>
        <v/>
      </c>
      <c r="F665" s="24" t="str">
        <f>'Landscape Trees '!G523</f>
        <v/>
      </c>
      <c r="G665" s="24" t="str">
        <f>'Landscape Trees '!H523</f>
        <v/>
      </c>
      <c r="H665" s="24" t="str">
        <f>'Landscape Trees '!I523</f>
        <v/>
      </c>
    </row>
    <row r="666">
      <c r="A666" s="24" t="str">
        <f>'Landscape Trees '!A524</f>
        <v/>
      </c>
      <c r="B666" s="24" t="str">
        <f>'Landscape Trees '!C524</f>
        <v/>
      </c>
      <c r="C666" s="24" t="str">
        <f>'Landscape Trees '!D524</f>
        <v/>
      </c>
      <c r="D666" s="24" t="str">
        <f>'Landscape Trees '!E524</f>
        <v/>
      </c>
      <c r="E666" s="24" t="str">
        <f>'Landscape Trees '!F524</f>
        <v/>
      </c>
      <c r="F666" s="24" t="str">
        <f>'Landscape Trees '!G524</f>
        <v/>
      </c>
      <c r="G666" s="24" t="str">
        <f>'Landscape Trees '!H524</f>
        <v/>
      </c>
      <c r="H666" s="24" t="str">
        <f>'Landscape Trees '!I524</f>
        <v/>
      </c>
    </row>
    <row r="667">
      <c r="A667" s="24" t="str">
        <f>'Landscape Trees '!A525</f>
        <v/>
      </c>
      <c r="B667" s="24" t="str">
        <f>'Landscape Trees '!C525</f>
        <v/>
      </c>
      <c r="C667" s="24" t="str">
        <f>'Landscape Trees '!D525</f>
        <v/>
      </c>
      <c r="D667" s="24" t="str">
        <f>'Landscape Trees '!E525</f>
        <v/>
      </c>
      <c r="E667" s="24" t="str">
        <f>'Landscape Trees '!F525</f>
        <v/>
      </c>
      <c r="F667" s="24" t="str">
        <f>'Landscape Trees '!G525</f>
        <v/>
      </c>
      <c r="G667" s="24" t="str">
        <f>'Landscape Trees '!H525</f>
        <v/>
      </c>
      <c r="H667" s="24" t="str">
        <f>'Landscape Trees '!I525</f>
        <v/>
      </c>
    </row>
    <row r="668">
      <c r="A668" s="24" t="str">
        <f>'Landscape Trees '!A526</f>
        <v/>
      </c>
      <c r="B668" s="24" t="str">
        <f>'Landscape Trees '!C526</f>
        <v/>
      </c>
      <c r="C668" s="24" t="str">
        <f>'Landscape Trees '!D526</f>
        <v/>
      </c>
      <c r="D668" s="24" t="str">
        <f>'Landscape Trees '!E526</f>
        <v/>
      </c>
      <c r="E668" s="24" t="str">
        <f>'Landscape Trees '!F526</f>
        <v/>
      </c>
      <c r="F668" s="24" t="str">
        <f>'Landscape Trees '!G526</f>
        <v/>
      </c>
      <c r="G668" s="24" t="str">
        <f>'Landscape Trees '!H526</f>
        <v/>
      </c>
      <c r="H668" s="24" t="str">
        <f>'Landscape Trees '!I526</f>
        <v/>
      </c>
    </row>
    <row r="669">
      <c r="A669" s="24" t="str">
        <f>'Landscape Trees '!A527</f>
        <v/>
      </c>
      <c r="B669" s="24" t="str">
        <f>'Landscape Trees '!C527</f>
        <v/>
      </c>
      <c r="C669" s="24" t="str">
        <f>'Landscape Trees '!D527</f>
        <v/>
      </c>
      <c r="D669" s="24" t="str">
        <f>'Landscape Trees '!E527</f>
        <v/>
      </c>
      <c r="E669" s="24" t="str">
        <f>'Landscape Trees '!F527</f>
        <v/>
      </c>
      <c r="F669" s="24" t="str">
        <f>'Landscape Trees '!G527</f>
        <v/>
      </c>
      <c r="G669" s="24" t="str">
        <f>'Landscape Trees '!H527</f>
        <v/>
      </c>
      <c r="H669" s="24" t="str">
        <f>'Landscape Trees '!I527</f>
        <v/>
      </c>
    </row>
    <row r="670">
      <c r="A670" s="24" t="str">
        <f>'Landscape Trees '!A528</f>
        <v/>
      </c>
      <c r="B670" s="24" t="str">
        <f>'Landscape Trees '!C528</f>
        <v/>
      </c>
      <c r="C670" s="24" t="str">
        <f>'Landscape Trees '!D528</f>
        <v/>
      </c>
      <c r="D670" s="24" t="str">
        <f>'Landscape Trees '!E528</f>
        <v/>
      </c>
      <c r="E670" s="24" t="str">
        <f>'Landscape Trees '!F528</f>
        <v/>
      </c>
      <c r="F670" s="24" t="str">
        <f>'Landscape Trees '!G528</f>
        <v/>
      </c>
      <c r="G670" s="24" t="str">
        <f>'Landscape Trees '!H528</f>
        <v/>
      </c>
      <c r="H670" s="24" t="str">
        <f>'Landscape Trees '!I528</f>
        <v/>
      </c>
    </row>
    <row r="671">
      <c r="A671" s="24" t="str">
        <f>'Landscape Trees '!A529</f>
        <v/>
      </c>
      <c r="B671" s="24" t="str">
        <f>'Landscape Trees '!C529</f>
        <v/>
      </c>
      <c r="C671" s="24" t="str">
        <f>'Landscape Trees '!D529</f>
        <v/>
      </c>
      <c r="D671" s="24" t="str">
        <f>'Landscape Trees '!E529</f>
        <v/>
      </c>
      <c r="E671" s="24" t="str">
        <f>'Landscape Trees '!F529</f>
        <v/>
      </c>
      <c r="F671" s="24" t="str">
        <f>'Landscape Trees '!G529</f>
        <v/>
      </c>
      <c r="G671" s="24" t="str">
        <f>'Landscape Trees '!H529</f>
        <v/>
      </c>
      <c r="H671" s="24" t="str">
        <f>'Landscape Trees '!I529</f>
        <v/>
      </c>
    </row>
    <row r="672">
      <c r="A672" s="24" t="str">
        <f>'Landscape Trees '!A530</f>
        <v/>
      </c>
      <c r="B672" s="24" t="str">
        <f>'Landscape Trees '!C530</f>
        <v/>
      </c>
      <c r="C672" s="24" t="str">
        <f>'Landscape Trees '!D530</f>
        <v/>
      </c>
      <c r="D672" s="24" t="str">
        <f>'Landscape Trees '!E530</f>
        <v/>
      </c>
      <c r="E672" s="24" t="str">
        <f>'Landscape Trees '!F530</f>
        <v/>
      </c>
      <c r="F672" s="24" t="str">
        <f>'Landscape Trees '!G530</f>
        <v/>
      </c>
      <c r="G672" s="24" t="str">
        <f>'Landscape Trees '!H530</f>
        <v/>
      </c>
      <c r="H672" s="24" t="str">
        <f>'Landscape Trees '!I530</f>
        <v/>
      </c>
    </row>
    <row r="673">
      <c r="A673" s="24" t="str">
        <f>'Landscape Trees '!A531</f>
        <v/>
      </c>
      <c r="B673" s="24" t="str">
        <f>'Landscape Trees '!C531</f>
        <v/>
      </c>
      <c r="C673" s="24" t="str">
        <f>'Landscape Trees '!D531</f>
        <v/>
      </c>
      <c r="D673" s="24" t="str">
        <f>'Landscape Trees '!E531</f>
        <v/>
      </c>
      <c r="E673" s="24" t="str">
        <f>'Landscape Trees '!F531</f>
        <v/>
      </c>
      <c r="F673" s="24" t="str">
        <f>'Landscape Trees '!G531</f>
        <v/>
      </c>
      <c r="G673" s="24" t="str">
        <f>'Landscape Trees '!H531</f>
        <v/>
      </c>
      <c r="H673" s="24" t="str">
        <f>'Landscape Trees '!I531</f>
        <v/>
      </c>
    </row>
    <row r="674">
      <c r="A674" s="24" t="str">
        <f>'Landscape Trees '!A532</f>
        <v/>
      </c>
      <c r="B674" s="24" t="str">
        <f>'Landscape Trees '!C532</f>
        <v/>
      </c>
      <c r="C674" s="24" t="str">
        <f>'Landscape Trees '!D532</f>
        <v/>
      </c>
      <c r="D674" s="24" t="str">
        <f>'Landscape Trees '!E532</f>
        <v/>
      </c>
      <c r="E674" s="24" t="str">
        <f>'Landscape Trees '!F532</f>
        <v/>
      </c>
      <c r="F674" s="24" t="str">
        <f>'Landscape Trees '!G532</f>
        <v/>
      </c>
      <c r="G674" s="24" t="str">
        <f>'Landscape Trees '!H532</f>
        <v/>
      </c>
      <c r="H674" s="24" t="str">
        <f>'Landscape Trees '!I532</f>
        <v/>
      </c>
    </row>
    <row r="675">
      <c r="A675" s="24" t="str">
        <f>'Landscape Trees '!A533</f>
        <v/>
      </c>
      <c r="B675" s="24" t="str">
        <f>'Landscape Trees '!C533</f>
        <v/>
      </c>
      <c r="C675" s="24" t="str">
        <f>'Landscape Trees '!D533</f>
        <v/>
      </c>
      <c r="D675" s="24" t="str">
        <f>'Landscape Trees '!E533</f>
        <v/>
      </c>
      <c r="E675" s="24" t="str">
        <f>'Landscape Trees '!F533</f>
        <v/>
      </c>
      <c r="F675" s="24" t="str">
        <f>'Landscape Trees '!G533</f>
        <v/>
      </c>
      <c r="G675" s="24" t="str">
        <f>'Landscape Trees '!H533</f>
        <v/>
      </c>
      <c r="H675" s="24" t="str">
        <f>'Landscape Trees '!I533</f>
        <v/>
      </c>
    </row>
    <row r="676">
      <c r="A676" s="24" t="str">
        <f>'Landscape Trees '!A534</f>
        <v/>
      </c>
      <c r="B676" s="24" t="str">
        <f>'Landscape Trees '!C534</f>
        <v/>
      </c>
      <c r="C676" s="24" t="str">
        <f>'Landscape Trees '!D534</f>
        <v/>
      </c>
      <c r="D676" s="24" t="str">
        <f>'Landscape Trees '!E534</f>
        <v/>
      </c>
      <c r="E676" s="24" t="str">
        <f>'Landscape Trees '!F534</f>
        <v/>
      </c>
      <c r="F676" s="24" t="str">
        <f>'Landscape Trees '!G534</f>
        <v/>
      </c>
      <c r="G676" s="24" t="str">
        <f>'Landscape Trees '!H534</f>
        <v/>
      </c>
      <c r="H676" s="24" t="str">
        <f>'Landscape Trees '!I534</f>
        <v/>
      </c>
    </row>
    <row r="677">
      <c r="A677" s="24" t="str">
        <f>'Landscape Trees '!A535</f>
        <v/>
      </c>
      <c r="B677" s="24" t="str">
        <f>'Landscape Trees '!C535</f>
        <v/>
      </c>
      <c r="C677" s="24" t="str">
        <f>'Landscape Trees '!D535</f>
        <v/>
      </c>
      <c r="D677" s="24" t="str">
        <f>'Landscape Trees '!E535</f>
        <v/>
      </c>
      <c r="E677" s="24" t="str">
        <f>'Landscape Trees '!F535</f>
        <v/>
      </c>
      <c r="F677" s="24" t="str">
        <f>'Landscape Trees '!G535</f>
        <v/>
      </c>
      <c r="G677" s="24" t="str">
        <f>'Landscape Trees '!H535</f>
        <v/>
      </c>
      <c r="H677" s="24" t="str">
        <f>'Landscape Trees '!I535</f>
        <v/>
      </c>
    </row>
    <row r="678">
      <c r="A678" s="24" t="str">
        <f>'Landscape Trees '!A536</f>
        <v/>
      </c>
      <c r="B678" s="24" t="str">
        <f>'Landscape Trees '!C536</f>
        <v/>
      </c>
      <c r="C678" s="24" t="str">
        <f>'Landscape Trees '!D536</f>
        <v/>
      </c>
      <c r="D678" s="24" t="str">
        <f>'Landscape Trees '!E536</f>
        <v/>
      </c>
      <c r="E678" s="24" t="str">
        <f>'Landscape Trees '!F536</f>
        <v/>
      </c>
      <c r="F678" s="24" t="str">
        <f>'Landscape Trees '!G536</f>
        <v/>
      </c>
      <c r="G678" s="24" t="str">
        <f>'Landscape Trees '!H536</f>
        <v/>
      </c>
      <c r="H678" s="24" t="str">
        <f>'Landscape Trees '!I536</f>
        <v/>
      </c>
    </row>
    <row r="679">
      <c r="A679" s="24" t="str">
        <f>'Landscape Trees '!A537</f>
        <v/>
      </c>
      <c r="B679" s="24" t="str">
        <f>'Landscape Trees '!C537</f>
        <v/>
      </c>
      <c r="C679" s="24" t="str">
        <f>'Landscape Trees '!D537</f>
        <v/>
      </c>
      <c r="D679" s="24" t="str">
        <f>'Landscape Trees '!E537</f>
        <v/>
      </c>
      <c r="E679" s="24" t="str">
        <f>'Landscape Trees '!F537</f>
        <v/>
      </c>
      <c r="F679" s="24" t="str">
        <f>'Landscape Trees '!G537</f>
        <v/>
      </c>
      <c r="G679" s="24" t="str">
        <f>'Landscape Trees '!H537</f>
        <v/>
      </c>
      <c r="H679" s="24" t="str">
        <f>'Landscape Trees '!I537</f>
        <v/>
      </c>
    </row>
    <row r="680">
      <c r="A680" s="24" t="str">
        <f>'Landscape Trees '!A538</f>
        <v/>
      </c>
      <c r="B680" s="24" t="str">
        <f>'Landscape Trees '!C538</f>
        <v/>
      </c>
      <c r="C680" s="24" t="str">
        <f>'Landscape Trees '!D538</f>
        <v/>
      </c>
      <c r="D680" s="24" t="str">
        <f>'Landscape Trees '!E538</f>
        <v/>
      </c>
      <c r="E680" s="24" t="str">
        <f>'Landscape Trees '!F538</f>
        <v/>
      </c>
      <c r="F680" s="24" t="str">
        <f>'Landscape Trees '!G538</f>
        <v/>
      </c>
      <c r="G680" s="24" t="str">
        <f>'Landscape Trees '!H538</f>
        <v/>
      </c>
      <c r="H680" s="24" t="str">
        <f>'Landscape Trees '!I538</f>
        <v/>
      </c>
    </row>
    <row r="681">
      <c r="A681" s="24" t="str">
        <f>'Landscape Trees '!A539</f>
        <v/>
      </c>
      <c r="B681" s="24" t="str">
        <f>'Landscape Trees '!C539</f>
        <v/>
      </c>
      <c r="C681" s="24" t="str">
        <f>'Landscape Trees '!D539</f>
        <v/>
      </c>
      <c r="D681" s="24" t="str">
        <f>'Landscape Trees '!E539</f>
        <v/>
      </c>
      <c r="E681" s="24" t="str">
        <f>'Landscape Trees '!F539</f>
        <v/>
      </c>
      <c r="F681" s="24" t="str">
        <f>'Landscape Trees '!G539</f>
        <v/>
      </c>
      <c r="G681" s="24" t="str">
        <f>'Landscape Trees '!H539</f>
        <v/>
      </c>
      <c r="H681" s="24" t="str">
        <f>'Landscape Trees '!I539</f>
        <v/>
      </c>
    </row>
    <row r="682">
      <c r="A682" s="24" t="str">
        <f>'Landscape Trees '!A540</f>
        <v/>
      </c>
      <c r="B682" s="24" t="str">
        <f>'Landscape Trees '!C540</f>
        <v/>
      </c>
      <c r="C682" s="24" t="str">
        <f>'Landscape Trees '!D540</f>
        <v/>
      </c>
      <c r="D682" s="24" t="str">
        <f>'Landscape Trees '!E540</f>
        <v/>
      </c>
      <c r="E682" s="24" t="str">
        <f>'Landscape Trees '!F540</f>
        <v/>
      </c>
      <c r="F682" s="24" t="str">
        <f>'Landscape Trees '!G540</f>
        <v/>
      </c>
      <c r="G682" s="24" t="str">
        <f>'Landscape Trees '!H540</f>
        <v/>
      </c>
      <c r="H682" s="24" t="str">
        <f>'Landscape Trees '!I540</f>
        <v/>
      </c>
    </row>
    <row r="683">
      <c r="A683" s="24" t="str">
        <f>'Landscape Trees '!A541</f>
        <v/>
      </c>
      <c r="B683" s="24" t="str">
        <f>'Landscape Trees '!C541</f>
        <v/>
      </c>
      <c r="C683" s="24" t="str">
        <f>'Landscape Trees '!D541</f>
        <v/>
      </c>
      <c r="D683" s="24" t="str">
        <f>'Landscape Trees '!E541</f>
        <v/>
      </c>
      <c r="E683" s="24" t="str">
        <f>'Landscape Trees '!F541</f>
        <v/>
      </c>
      <c r="F683" s="24" t="str">
        <f>'Landscape Trees '!G541</f>
        <v/>
      </c>
      <c r="G683" s="24" t="str">
        <f>'Landscape Trees '!H541</f>
        <v/>
      </c>
      <c r="H683" s="24" t="str">
        <f>'Landscape Trees '!I541</f>
        <v/>
      </c>
    </row>
    <row r="684">
      <c r="A684" s="24" t="str">
        <f>'Landscape Trees '!A542</f>
        <v/>
      </c>
      <c r="B684" s="24" t="str">
        <f>'Landscape Trees '!C542</f>
        <v/>
      </c>
      <c r="C684" s="24" t="str">
        <f>'Landscape Trees '!D542</f>
        <v/>
      </c>
      <c r="D684" s="24" t="str">
        <f>'Landscape Trees '!E542</f>
        <v/>
      </c>
      <c r="E684" s="24" t="str">
        <f>'Landscape Trees '!F542</f>
        <v/>
      </c>
      <c r="F684" s="24" t="str">
        <f>'Landscape Trees '!G542</f>
        <v/>
      </c>
      <c r="G684" s="24" t="str">
        <f>'Landscape Trees '!H542</f>
        <v/>
      </c>
      <c r="H684" s="24" t="str">
        <f>'Landscape Trees '!I542</f>
        <v/>
      </c>
    </row>
    <row r="685">
      <c r="A685" s="24" t="str">
        <f>'Landscape Trees '!A543</f>
        <v/>
      </c>
      <c r="B685" s="24" t="str">
        <f>'Landscape Trees '!C543</f>
        <v/>
      </c>
      <c r="C685" s="24" t="str">
        <f>'Landscape Trees '!D543</f>
        <v/>
      </c>
      <c r="D685" s="24" t="str">
        <f>'Landscape Trees '!E543</f>
        <v/>
      </c>
      <c r="E685" s="24" t="str">
        <f>'Landscape Trees '!F543</f>
        <v/>
      </c>
      <c r="F685" s="24" t="str">
        <f>'Landscape Trees '!G543</f>
        <v/>
      </c>
      <c r="G685" s="24" t="str">
        <f>'Landscape Trees '!H543</f>
        <v/>
      </c>
      <c r="H685" s="24" t="str">
        <f>'Landscape Trees '!I543</f>
        <v/>
      </c>
    </row>
    <row r="686">
      <c r="A686" s="24" t="str">
        <f>'Landscape Trees '!A544</f>
        <v/>
      </c>
      <c r="B686" s="24" t="str">
        <f>'Landscape Trees '!C544</f>
        <v/>
      </c>
      <c r="C686" s="24" t="str">
        <f>'Landscape Trees '!D544</f>
        <v/>
      </c>
      <c r="D686" s="24" t="str">
        <f>'Landscape Trees '!E544</f>
        <v/>
      </c>
      <c r="E686" s="24" t="str">
        <f>'Landscape Trees '!F544</f>
        <v/>
      </c>
      <c r="F686" s="24" t="str">
        <f>'Landscape Trees '!G544</f>
        <v/>
      </c>
      <c r="G686" s="24" t="str">
        <f>'Landscape Trees '!H544</f>
        <v/>
      </c>
      <c r="H686" s="24" t="str">
        <f>'Landscape Trees '!I544</f>
        <v/>
      </c>
    </row>
    <row r="687">
      <c r="A687" s="24" t="str">
        <f>'Landscape Trees '!A545</f>
        <v/>
      </c>
      <c r="B687" s="24" t="str">
        <f>'Landscape Trees '!C545</f>
        <v/>
      </c>
      <c r="C687" s="24" t="str">
        <f>'Landscape Trees '!D545</f>
        <v/>
      </c>
      <c r="D687" s="24" t="str">
        <f>'Landscape Trees '!E545</f>
        <v/>
      </c>
      <c r="E687" s="24" t="str">
        <f>'Landscape Trees '!F545</f>
        <v/>
      </c>
      <c r="F687" s="24" t="str">
        <f>'Landscape Trees '!G545</f>
        <v/>
      </c>
      <c r="G687" s="24" t="str">
        <f>'Landscape Trees '!H545</f>
        <v/>
      </c>
      <c r="H687" s="24" t="str">
        <f>'Landscape Trees '!I545</f>
        <v/>
      </c>
    </row>
    <row r="688">
      <c r="A688" s="24" t="str">
        <f>'Landscape Trees '!A546</f>
        <v/>
      </c>
      <c r="B688" s="24" t="str">
        <f>'Landscape Trees '!C546</f>
        <v/>
      </c>
      <c r="C688" s="24" t="str">
        <f>'Landscape Trees '!D546</f>
        <v/>
      </c>
      <c r="D688" s="24" t="str">
        <f>'Landscape Trees '!E546</f>
        <v/>
      </c>
      <c r="E688" s="24" t="str">
        <f>'Landscape Trees '!F546</f>
        <v/>
      </c>
      <c r="F688" s="24" t="str">
        <f>'Landscape Trees '!G546</f>
        <v/>
      </c>
      <c r="G688" s="24" t="str">
        <f>'Landscape Trees '!H546</f>
        <v/>
      </c>
      <c r="H688" s="24" t="str">
        <f>'Landscape Trees '!I546</f>
        <v/>
      </c>
    </row>
    <row r="689">
      <c r="A689" s="24" t="str">
        <f>'Landscape Trees '!A547</f>
        <v/>
      </c>
      <c r="B689" s="24" t="str">
        <f>'Landscape Trees '!C547</f>
        <v/>
      </c>
      <c r="C689" s="24" t="str">
        <f>'Landscape Trees '!D547</f>
        <v/>
      </c>
      <c r="D689" s="24" t="str">
        <f>'Landscape Trees '!E547</f>
        <v/>
      </c>
      <c r="E689" s="24" t="str">
        <f>'Landscape Trees '!F547</f>
        <v/>
      </c>
      <c r="F689" s="24" t="str">
        <f>'Landscape Trees '!G547</f>
        <v/>
      </c>
      <c r="G689" s="24" t="str">
        <f>'Landscape Trees '!H547</f>
        <v/>
      </c>
      <c r="H689" s="24" t="str">
        <f>'Landscape Trees '!I547</f>
        <v/>
      </c>
    </row>
    <row r="690">
      <c r="A690" s="24" t="str">
        <f>'Landscape Trees '!A548</f>
        <v/>
      </c>
      <c r="B690" s="24" t="str">
        <f>'Landscape Trees '!C548</f>
        <v/>
      </c>
      <c r="C690" s="24" t="str">
        <f>'Landscape Trees '!D548</f>
        <v/>
      </c>
      <c r="D690" s="24" t="str">
        <f>'Landscape Trees '!E548</f>
        <v/>
      </c>
      <c r="E690" s="24" t="str">
        <f>'Landscape Trees '!F548</f>
        <v/>
      </c>
      <c r="F690" s="24" t="str">
        <f>'Landscape Trees '!G548</f>
        <v/>
      </c>
      <c r="G690" s="24" t="str">
        <f>'Landscape Trees '!H548</f>
        <v/>
      </c>
      <c r="H690" s="24" t="str">
        <f>'Landscape Trees '!I548</f>
        <v/>
      </c>
    </row>
    <row r="691">
      <c r="A691" s="24" t="str">
        <f>'Landscape Trees '!A549</f>
        <v/>
      </c>
      <c r="B691" s="24" t="str">
        <f>'Landscape Trees '!C549</f>
        <v/>
      </c>
      <c r="C691" s="24" t="str">
        <f>'Landscape Trees '!D549</f>
        <v/>
      </c>
      <c r="D691" s="24" t="str">
        <f>'Landscape Trees '!E549</f>
        <v/>
      </c>
      <c r="E691" s="24" t="str">
        <f>'Landscape Trees '!F549</f>
        <v/>
      </c>
      <c r="F691" s="24" t="str">
        <f>'Landscape Trees '!G549</f>
        <v/>
      </c>
      <c r="G691" s="24" t="str">
        <f>'Landscape Trees '!H549</f>
        <v/>
      </c>
      <c r="H691" s="24" t="str">
        <f>'Landscape Trees '!I549</f>
        <v/>
      </c>
    </row>
    <row r="692">
      <c r="A692" s="24" t="str">
        <f>'Landscape Trees '!A550</f>
        <v/>
      </c>
      <c r="B692" s="24" t="str">
        <f>'Landscape Trees '!C550</f>
        <v/>
      </c>
      <c r="C692" s="24" t="str">
        <f>'Landscape Trees '!D550</f>
        <v/>
      </c>
      <c r="D692" s="24" t="str">
        <f>'Landscape Trees '!E550</f>
        <v/>
      </c>
      <c r="E692" s="24" t="str">
        <f>'Landscape Trees '!F550</f>
        <v/>
      </c>
      <c r="F692" s="24" t="str">
        <f>'Landscape Trees '!G550</f>
        <v/>
      </c>
      <c r="G692" s="24" t="str">
        <f>'Landscape Trees '!H550</f>
        <v/>
      </c>
      <c r="H692" s="24" t="str">
        <f>'Landscape Trees '!I550</f>
        <v/>
      </c>
    </row>
    <row r="693">
      <c r="A693" s="24" t="str">
        <f>'Landscape Trees '!A551</f>
        <v/>
      </c>
      <c r="B693" s="24" t="str">
        <f>'Landscape Trees '!C551</f>
        <v/>
      </c>
      <c r="C693" s="24" t="str">
        <f>'Landscape Trees '!D551</f>
        <v/>
      </c>
      <c r="D693" s="24" t="str">
        <f>'Landscape Trees '!E551</f>
        <v/>
      </c>
      <c r="E693" s="24" t="str">
        <f>'Landscape Trees '!F551</f>
        <v/>
      </c>
      <c r="F693" s="24" t="str">
        <f>'Landscape Trees '!G551</f>
        <v/>
      </c>
      <c r="G693" s="24" t="str">
        <f>'Landscape Trees '!H551</f>
        <v/>
      </c>
      <c r="H693" s="24" t="str">
        <f>'Landscape Trees '!I551</f>
        <v/>
      </c>
    </row>
    <row r="694">
      <c r="A694" s="24" t="str">
        <f>'Landscape Trees '!A552</f>
        <v/>
      </c>
      <c r="B694" s="24" t="str">
        <f>'Landscape Trees '!C552</f>
        <v/>
      </c>
      <c r="C694" s="24" t="str">
        <f>'Landscape Trees '!D552</f>
        <v/>
      </c>
      <c r="D694" s="24" t="str">
        <f>'Landscape Trees '!E552</f>
        <v/>
      </c>
      <c r="E694" s="24" t="str">
        <f>'Landscape Trees '!F552</f>
        <v/>
      </c>
      <c r="F694" s="24" t="str">
        <f>'Landscape Trees '!G552</f>
        <v/>
      </c>
      <c r="G694" s="24" t="str">
        <f>'Landscape Trees '!H552</f>
        <v/>
      </c>
      <c r="H694" s="24" t="str">
        <f>'Landscape Trees '!I552</f>
        <v/>
      </c>
    </row>
    <row r="695">
      <c r="A695" s="24" t="str">
        <f>'Landscape Trees '!A553</f>
        <v/>
      </c>
      <c r="B695" s="24" t="str">
        <f>'Landscape Trees '!C553</f>
        <v/>
      </c>
      <c r="C695" s="24" t="str">
        <f>'Landscape Trees '!D553</f>
        <v/>
      </c>
      <c r="D695" s="24" t="str">
        <f>'Landscape Trees '!E553</f>
        <v/>
      </c>
      <c r="E695" s="24" t="str">
        <f>'Landscape Trees '!F553</f>
        <v/>
      </c>
      <c r="F695" s="24" t="str">
        <f>'Landscape Trees '!G553</f>
        <v/>
      </c>
      <c r="G695" s="24" t="str">
        <f>'Landscape Trees '!H553</f>
        <v/>
      </c>
      <c r="H695" s="24" t="str">
        <f>'Landscape Trees '!I553</f>
        <v/>
      </c>
    </row>
    <row r="696">
      <c r="A696" s="24" t="str">
        <f>'Landscape Trees '!A554</f>
        <v/>
      </c>
      <c r="B696" s="24" t="str">
        <f>'Landscape Trees '!C554</f>
        <v/>
      </c>
      <c r="C696" s="24" t="str">
        <f>'Landscape Trees '!D554</f>
        <v/>
      </c>
      <c r="D696" s="24" t="str">
        <f>'Landscape Trees '!E554</f>
        <v/>
      </c>
      <c r="E696" s="24" t="str">
        <f>'Landscape Trees '!F554</f>
        <v/>
      </c>
      <c r="F696" s="24" t="str">
        <f>'Landscape Trees '!G554</f>
        <v/>
      </c>
      <c r="G696" s="24" t="str">
        <f>'Landscape Trees '!H554</f>
        <v/>
      </c>
      <c r="H696" s="24" t="str">
        <f>'Landscape Trees '!I554</f>
        <v/>
      </c>
    </row>
    <row r="697">
      <c r="A697" s="24" t="str">
        <f>'Landscape Trees '!A555</f>
        <v/>
      </c>
      <c r="B697" s="24" t="str">
        <f>'Landscape Trees '!C555</f>
        <v/>
      </c>
      <c r="C697" s="24" t="str">
        <f>'Landscape Trees '!D555</f>
        <v/>
      </c>
      <c r="D697" s="24" t="str">
        <f>'Landscape Trees '!E555</f>
        <v/>
      </c>
      <c r="E697" s="24" t="str">
        <f>'Landscape Trees '!F555</f>
        <v/>
      </c>
      <c r="F697" s="24" t="str">
        <f>'Landscape Trees '!G555</f>
        <v/>
      </c>
      <c r="G697" s="24" t="str">
        <f>'Landscape Trees '!H555</f>
        <v/>
      </c>
      <c r="H697" s="24" t="str">
        <f>'Landscape Trees '!I555</f>
        <v/>
      </c>
    </row>
    <row r="698">
      <c r="A698" s="24" t="str">
        <f>'Landscape Trees '!A556</f>
        <v/>
      </c>
      <c r="B698" s="24" t="str">
        <f>'Landscape Trees '!C556</f>
        <v/>
      </c>
      <c r="C698" s="24" t="str">
        <f>'Landscape Trees '!D556</f>
        <v/>
      </c>
      <c r="D698" s="24" t="str">
        <f>'Landscape Trees '!E556</f>
        <v/>
      </c>
      <c r="E698" s="24" t="str">
        <f>'Landscape Trees '!F556</f>
        <v/>
      </c>
      <c r="F698" s="24" t="str">
        <f>'Landscape Trees '!G556</f>
        <v/>
      </c>
      <c r="G698" s="24" t="str">
        <f>'Landscape Trees '!H556</f>
        <v/>
      </c>
      <c r="H698" s="24" t="str">
        <f>'Landscape Trees '!I556</f>
        <v/>
      </c>
    </row>
    <row r="699">
      <c r="A699" s="24" t="str">
        <f>'Landscape Trees '!A557</f>
        <v/>
      </c>
      <c r="B699" s="24" t="str">
        <f>'Landscape Trees '!C557</f>
        <v/>
      </c>
      <c r="C699" s="24" t="str">
        <f>'Landscape Trees '!D557</f>
        <v/>
      </c>
      <c r="D699" s="24" t="str">
        <f>'Landscape Trees '!E557</f>
        <v/>
      </c>
      <c r="E699" s="24" t="str">
        <f>'Landscape Trees '!F557</f>
        <v/>
      </c>
      <c r="F699" s="24" t="str">
        <f>'Landscape Trees '!G557</f>
        <v/>
      </c>
      <c r="G699" s="24" t="str">
        <f>'Landscape Trees '!H557</f>
        <v/>
      </c>
      <c r="H699" s="24" t="str">
        <f>'Landscape Trees '!I557</f>
        <v/>
      </c>
    </row>
    <row r="700">
      <c r="A700" s="24" t="str">
        <f>'Landscape Trees '!A558</f>
        <v/>
      </c>
      <c r="B700" s="24" t="str">
        <f>'Landscape Trees '!C558</f>
        <v/>
      </c>
      <c r="C700" s="24" t="str">
        <f>'Landscape Trees '!D558</f>
        <v/>
      </c>
      <c r="D700" s="24" t="str">
        <f>'Landscape Trees '!E558</f>
        <v/>
      </c>
      <c r="E700" s="24" t="str">
        <f>'Landscape Trees '!F558</f>
        <v/>
      </c>
      <c r="F700" s="24" t="str">
        <f>'Landscape Trees '!G558</f>
        <v/>
      </c>
      <c r="G700" s="24" t="str">
        <f>'Landscape Trees '!H558</f>
        <v/>
      </c>
      <c r="H700" s="24" t="str">
        <f>'Landscape Trees '!I558</f>
        <v/>
      </c>
    </row>
    <row r="701">
      <c r="A701" s="24" t="str">
        <f>'Landscape Trees '!A559</f>
        <v/>
      </c>
      <c r="B701" s="24" t="str">
        <f>'Landscape Trees '!C559</f>
        <v/>
      </c>
      <c r="C701" s="24" t="str">
        <f>'Landscape Trees '!D559</f>
        <v/>
      </c>
      <c r="D701" s="24" t="str">
        <f>'Landscape Trees '!E559</f>
        <v/>
      </c>
      <c r="E701" s="24" t="str">
        <f>'Landscape Trees '!F559</f>
        <v/>
      </c>
      <c r="F701" s="24" t="str">
        <f>'Landscape Trees '!G559</f>
        <v/>
      </c>
      <c r="G701" s="24" t="str">
        <f>'Landscape Trees '!H559</f>
        <v/>
      </c>
      <c r="H701" s="24" t="str">
        <f>'Landscape Trees '!I559</f>
        <v/>
      </c>
    </row>
    <row r="702">
      <c r="A702" s="24" t="str">
        <f>'Landscape Trees '!A560</f>
        <v/>
      </c>
      <c r="B702" s="24" t="str">
        <f>'Landscape Trees '!C560</f>
        <v/>
      </c>
      <c r="C702" s="24" t="str">
        <f>'Landscape Trees '!D560</f>
        <v/>
      </c>
      <c r="D702" s="24" t="str">
        <f>'Landscape Trees '!E560</f>
        <v/>
      </c>
      <c r="E702" s="24" t="str">
        <f>'Landscape Trees '!F560</f>
        <v/>
      </c>
      <c r="F702" s="24" t="str">
        <f>'Landscape Trees '!G560</f>
        <v/>
      </c>
      <c r="G702" s="24" t="str">
        <f>'Landscape Trees '!H560</f>
        <v/>
      </c>
      <c r="H702" s="24" t="str">
        <f>'Landscape Trees '!I560</f>
        <v/>
      </c>
    </row>
    <row r="703">
      <c r="A703" s="24" t="str">
        <f>'Landscape Trees '!A561</f>
        <v/>
      </c>
      <c r="B703" s="24" t="str">
        <f>'Landscape Trees '!C561</f>
        <v/>
      </c>
      <c r="C703" s="24" t="str">
        <f>'Landscape Trees '!D561</f>
        <v/>
      </c>
      <c r="D703" s="24" t="str">
        <f>'Landscape Trees '!E561</f>
        <v/>
      </c>
      <c r="E703" s="24" t="str">
        <f>'Landscape Trees '!F561</f>
        <v/>
      </c>
      <c r="F703" s="24" t="str">
        <f>'Landscape Trees '!G561</f>
        <v/>
      </c>
      <c r="G703" s="24" t="str">
        <f>'Landscape Trees '!H561</f>
        <v/>
      </c>
      <c r="H703" s="24" t="str">
        <f>'Landscape Trees '!I561</f>
        <v/>
      </c>
    </row>
    <row r="704">
      <c r="A704" s="24" t="str">
        <f>'Landscape Trees '!A562</f>
        <v/>
      </c>
      <c r="B704" s="24" t="str">
        <f>'Landscape Trees '!C562</f>
        <v/>
      </c>
      <c r="C704" s="24" t="str">
        <f>'Landscape Trees '!D562</f>
        <v/>
      </c>
      <c r="D704" s="24" t="str">
        <f>'Landscape Trees '!E562</f>
        <v/>
      </c>
      <c r="E704" s="24" t="str">
        <f>'Landscape Trees '!F562</f>
        <v/>
      </c>
      <c r="F704" s="24" t="str">
        <f>'Landscape Trees '!G562</f>
        <v/>
      </c>
      <c r="G704" s="24" t="str">
        <f>'Landscape Trees '!H562</f>
        <v/>
      </c>
      <c r="H704" s="24" t="str">
        <f>'Landscape Trees '!I562</f>
        <v/>
      </c>
    </row>
    <row r="705">
      <c r="A705" s="24" t="str">
        <f>'Landscape Trees '!A563</f>
        <v/>
      </c>
      <c r="B705" s="24" t="str">
        <f>'Landscape Trees '!C563</f>
        <v/>
      </c>
      <c r="C705" s="24" t="str">
        <f>'Landscape Trees '!D563</f>
        <v/>
      </c>
      <c r="D705" s="24" t="str">
        <f>'Landscape Trees '!E563</f>
        <v/>
      </c>
      <c r="E705" s="24" t="str">
        <f>'Landscape Trees '!F563</f>
        <v/>
      </c>
      <c r="F705" s="24" t="str">
        <f>'Landscape Trees '!G563</f>
        <v/>
      </c>
      <c r="G705" s="24" t="str">
        <f>'Landscape Trees '!H563</f>
        <v/>
      </c>
      <c r="H705" s="24" t="str">
        <f>'Landscape Trees '!I563</f>
        <v/>
      </c>
    </row>
    <row r="706">
      <c r="A706" s="24" t="str">
        <f>'Landscape Trees '!A564</f>
        <v/>
      </c>
      <c r="B706" s="24" t="str">
        <f>'Landscape Trees '!C564</f>
        <v/>
      </c>
      <c r="C706" s="24" t="str">
        <f>'Landscape Trees '!D564</f>
        <v/>
      </c>
      <c r="D706" s="24" t="str">
        <f>'Landscape Trees '!E564</f>
        <v/>
      </c>
      <c r="E706" s="24" t="str">
        <f>'Landscape Trees '!F564</f>
        <v/>
      </c>
      <c r="F706" s="24" t="str">
        <f>'Landscape Trees '!G564</f>
        <v/>
      </c>
      <c r="G706" s="24" t="str">
        <f>'Landscape Trees '!H564</f>
        <v/>
      </c>
      <c r="H706" s="24" t="str">
        <f>'Landscape Trees '!I564</f>
        <v/>
      </c>
    </row>
    <row r="707">
      <c r="A707" s="24" t="str">
        <f>'Landscape Trees '!A565</f>
        <v/>
      </c>
      <c r="B707" s="24" t="str">
        <f>'Landscape Trees '!C565</f>
        <v/>
      </c>
      <c r="C707" s="24" t="str">
        <f>'Landscape Trees '!D565</f>
        <v/>
      </c>
      <c r="D707" s="24" t="str">
        <f>'Landscape Trees '!E565</f>
        <v/>
      </c>
      <c r="E707" s="24" t="str">
        <f>'Landscape Trees '!F565</f>
        <v/>
      </c>
      <c r="F707" s="24" t="str">
        <f>'Landscape Trees '!G565</f>
        <v/>
      </c>
      <c r="G707" s="24" t="str">
        <f>'Landscape Trees '!H565</f>
        <v/>
      </c>
      <c r="H707" s="24" t="str">
        <f>'Landscape Trees '!I565</f>
        <v/>
      </c>
    </row>
    <row r="708">
      <c r="A708" s="24" t="str">
        <f>'Landscape Trees '!A566</f>
        <v/>
      </c>
      <c r="B708" s="24" t="str">
        <f>'Landscape Trees '!C566</f>
        <v/>
      </c>
      <c r="C708" s="24" t="str">
        <f>'Landscape Trees '!D566</f>
        <v/>
      </c>
      <c r="D708" s="24" t="str">
        <f>'Landscape Trees '!E566</f>
        <v/>
      </c>
      <c r="E708" s="24" t="str">
        <f>'Landscape Trees '!F566</f>
        <v/>
      </c>
      <c r="F708" s="24" t="str">
        <f>'Landscape Trees '!G566</f>
        <v/>
      </c>
      <c r="G708" s="24" t="str">
        <f>'Landscape Trees '!H566</f>
        <v/>
      </c>
      <c r="H708" s="24" t="str">
        <f>'Landscape Trees '!I566</f>
        <v/>
      </c>
    </row>
    <row r="709">
      <c r="A709" s="24" t="str">
        <f>'Landscape Trees '!A567</f>
        <v/>
      </c>
      <c r="B709" s="24" t="str">
        <f>'Landscape Trees '!C567</f>
        <v/>
      </c>
      <c r="C709" s="24" t="str">
        <f>'Landscape Trees '!D567</f>
        <v/>
      </c>
      <c r="D709" s="24" t="str">
        <f>'Landscape Trees '!E567</f>
        <v/>
      </c>
      <c r="E709" s="24" t="str">
        <f>'Landscape Trees '!F567</f>
        <v/>
      </c>
      <c r="F709" s="24" t="str">
        <f>'Landscape Trees '!G567</f>
        <v/>
      </c>
      <c r="G709" s="24" t="str">
        <f>'Landscape Trees '!H567</f>
        <v/>
      </c>
      <c r="H709" s="24" t="str">
        <f>'Landscape Trees '!I567</f>
        <v/>
      </c>
    </row>
    <row r="710">
      <c r="A710" s="24" t="str">
        <f>'Landscape Trees '!A568</f>
        <v/>
      </c>
      <c r="B710" s="24" t="str">
        <f>'Landscape Trees '!C568</f>
        <v/>
      </c>
      <c r="C710" s="24" t="str">
        <f>'Landscape Trees '!D568</f>
        <v/>
      </c>
      <c r="D710" s="24" t="str">
        <f>'Landscape Trees '!E568</f>
        <v/>
      </c>
      <c r="E710" s="24" t="str">
        <f>'Landscape Trees '!F568</f>
        <v/>
      </c>
      <c r="F710" s="24" t="str">
        <f>'Landscape Trees '!G568</f>
        <v/>
      </c>
      <c r="G710" s="24" t="str">
        <f>'Landscape Trees '!H568</f>
        <v/>
      </c>
      <c r="H710" s="24" t="str">
        <f>'Landscape Trees '!I568</f>
        <v/>
      </c>
    </row>
    <row r="711">
      <c r="A711" s="24" t="str">
        <f>'Landscape Trees '!A569</f>
        <v/>
      </c>
      <c r="B711" s="24" t="str">
        <f>'Landscape Trees '!C569</f>
        <v/>
      </c>
      <c r="C711" s="24" t="str">
        <f>'Landscape Trees '!D569</f>
        <v/>
      </c>
      <c r="D711" s="24" t="str">
        <f>'Landscape Trees '!E569</f>
        <v/>
      </c>
      <c r="E711" s="24" t="str">
        <f>'Landscape Trees '!F569</f>
        <v/>
      </c>
      <c r="F711" s="24" t="str">
        <f>'Landscape Trees '!G569</f>
        <v/>
      </c>
      <c r="G711" s="24" t="str">
        <f>'Landscape Trees '!H569</f>
        <v/>
      </c>
      <c r="H711" s="24" t="str">
        <f>'Landscape Trees '!I569</f>
        <v/>
      </c>
    </row>
    <row r="712">
      <c r="A712" s="24" t="str">
        <f>'Landscape Trees '!A570</f>
        <v/>
      </c>
      <c r="B712" s="24" t="str">
        <f>'Landscape Trees '!C570</f>
        <v/>
      </c>
      <c r="C712" s="24" t="str">
        <f>'Landscape Trees '!D570</f>
        <v/>
      </c>
      <c r="D712" s="24" t="str">
        <f>'Landscape Trees '!E570</f>
        <v/>
      </c>
      <c r="E712" s="24" t="str">
        <f>'Landscape Trees '!F570</f>
        <v/>
      </c>
      <c r="F712" s="24" t="str">
        <f>'Landscape Trees '!G570</f>
        <v/>
      </c>
      <c r="G712" s="24" t="str">
        <f>'Landscape Trees '!H570</f>
        <v/>
      </c>
      <c r="H712" s="24" t="str">
        <f>'Landscape Trees '!I570</f>
        <v/>
      </c>
    </row>
    <row r="713">
      <c r="A713" s="24" t="str">
        <f>'Landscape Trees '!A571</f>
        <v/>
      </c>
      <c r="B713" s="24" t="str">
        <f>'Landscape Trees '!C571</f>
        <v/>
      </c>
      <c r="C713" s="24" t="str">
        <f>'Landscape Trees '!D571</f>
        <v/>
      </c>
      <c r="D713" s="24" t="str">
        <f>'Landscape Trees '!E571</f>
        <v/>
      </c>
      <c r="E713" s="24" t="str">
        <f>'Landscape Trees '!F571</f>
        <v/>
      </c>
      <c r="F713" s="24" t="str">
        <f>'Landscape Trees '!G571</f>
        <v/>
      </c>
      <c r="G713" s="24" t="str">
        <f>'Landscape Trees '!H571</f>
        <v/>
      </c>
      <c r="H713" s="24" t="str">
        <f>'Landscape Trees '!I571</f>
        <v/>
      </c>
    </row>
    <row r="714">
      <c r="A714" s="24" t="str">
        <f>'Landscape Trees '!A572</f>
        <v/>
      </c>
      <c r="B714" s="24" t="str">
        <f>'Landscape Trees '!C572</f>
        <v/>
      </c>
      <c r="C714" s="24" t="str">
        <f>'Landscape Trees '!D572</f>
        <v/>
      </c>
      <c r="D714" s="24" t="str">
        <f>'Landscape Trees '!E572</f>
        <v/>
      </c>
      <c r="E714" s="24" t="str">
        <f>'Landscape Trees '!F572</f>
        <v/>
      </c>
      <c r="F714" s="24" t="str">
        <f>'Landscape Trees '!G572</f>
        <v/>
      </c>
      <c r="G714" s="24" t="str">
        <f>'Landscape Trees '!H572</f>
        <v/>
      </c>
      <c r="H714" s="24" t="str">
        <f>'Landscape Trees '!I572</f>
        <v/>
      </c>
    </row>
    <row r="715">
      <c r="A715" s="24" t="str">
        <f>'Landscape Trees '!A573</f>
        <v/>
      </c>
      <c r="B715" s="24" t="str">
        <f>'Landscape Trees '!C573</f>
        <v/>
      </c>
      <c r="C715" s="24" t="str">
        <f>'Landscape Trees '!D573</f>
        <v/>
      </c>
      <c r="D715" s="24" t="str">
        <f>'Landscape Trees '!E573</f>
        <v/>
      </c>
      <c r="E715" s="24" t="str">
        <f>'Landscape Trees '!F573</f>
        <v/>
      </c>
      <c r="F715" s="24" t="str">
        <f>'Landscape Trees '!G573</f>
        <v/>
      </c>
      <c r="G715" s="24" t="str">
        <f>'Landscape Trees '!H573</f>
        <v/>
      </c>
      <c r="H715" s="24" t="str">
        <f>'Landscape Trees '!I573</f>
        <v/>
      </c>
    </row>
    <row r="716">
      <c r="A716" s="24" t="str">
        <f>'Landscape Trees '!A574</f>
        <v/>
      </c>
      <c r="B716" s="24" t="str">
        <f>'Landscape Trees '!C574</f>
        <v/>
      </c>
      <c r="C716" s="24" t="str">
        <f>'Landscape Trees '!D574</f>
        <v/>
      </c>
      <c r="D716" s="24" t="str">
        <f>'Landscape Trees '!E574</f>
        <v/>
      </c>
      <c r="E716" s="24" t="str">
        <f>'Landscape Trees '!F574</f>
        <v/>
      </c>
      <c r="F716" s="24" t="str">
        <f>'Landscape Trees '!G574</f>
        <v/>
      </c>
      <c r="G716" s="24" t="str">
        <f>'Landscape Trees '!H574</f>
        <v/>
      </c>
      <c r="H716" s="24" t="str">
        <f>'Landscape Trees '!I574</f>
        <v/>
      </c>
    </row>
    <row r="717">
      <c r="A717" s="24" t="str">
        <f>'Landscape Trees '!A575</f>
        <v/>
      </c>
      <c r="B717" s="24" t="str">
        <f>'Landscape Trees '!C575</f>
        <v/>
      </c>
      <c r="C717" s="24" t="str">
        <f>'Landscape Trees '!D575</f>
        <v/>
      </c>
      <c r="D717" s="24" t="str">
        <f>'Landscape Trees '!E575</f>
        <v/>
      </c>
      <c r="E717" s="24" t="str">
        <f>'Landscape Trees '!F575</f>
        <v/>
      </c>
      <c r="F717" s="24" t="str">
        <f>'Landscape Trees '!G575</f>
        <v/>
      </c>
      <c r="G717" s="24" t="str">
        <f>'Landscape Trees '!H575</f>
        <v/>
      </c>
      <c r="H717" s="24" t="str">
        <f>'Landscape Trees '!I575</f>
        <v/>
      </c>
    </row>
    <row r="718">
      <c r="A718" s="24" t="str">
        <f>'Landscape Trees '!A576</f>
        <v/>
      </c>
      <c r="B718" s="24" t="str">
        <f>'Landscape Trees '!C576</f>
        <v/>
      </c>
      <c r="C718" s="24" t="str">
        <f>'Landscape Trees '!D576</f>
        <v/>
      </c>
      <c r="D718" s="24" t="str">
        <f>'Landscape Trees '!E576</f>
        <v/>
      </c>
      <c r="E718" s="24" t="str">
        <f>'Landscape Trees '!F576</f>
        <v/>
      </c>
      <c r="F718" s="24" t="str">
        <f>'Landscape Trees '!G576</f>
        <v/>
      </c>
      <c r="G718" s="24" t="str">
        <f>'Landscape Trees '!H576</f>
        <v/>
      </c>
      <c r="H718" s="24" t="str">
        <f>'Landscape Trees '!I576</f>
        <v/>
      </c>
    </row>
    <row r="719">
      <c r="A719" s="24" t="str">
        <f>'Landscape Trees '!A577</f>
        <v/>
      </c>
      <c r="B719" s="24" t="str">
        <f>'Landscape Trees '!C577</f>
        <v/>
      </c>
      <c r="C719" s="24" t="str">
        <f>'Landscape Trees '!D577</f>
        <v/>
      </c>
      <c r="D719" s="24" t="str">
        <f>'Landscape Trees '!E577</f>
        <v/>
      </c>
      <c r="E719" s="24" t="str">
        <f>'Landscape Trees '!F577</f>
        <v/>
      </c>
      <c r="F719" s="24" t="str">
        <f>'Landscape Trees '!G577</f>
        <v/>
      </c>
      <c r="G719" s="24" t="str">
        <f>'Landscape Trees '!H577</f>
        <v/>
      </c>
      <c r="H719" s="24" t="str">
        <f>'Landscape Trees '!I577</f>
        <v/>
      </c>
    </row>
    <row r="720">
      <c r="A720" s="24" t="str">
        <f>'Landscape Trees '!A578</f>
        <v/>
      </c>
      <c r="B720" s="24" t="str">
        <f>'Landscape Trees '!C578</f>
        <v/>
      </c>
      <c r="C720" s="24" t="str">
        <f>'Landscape Trees '!D578</f>
        <v/>
      </c>
      <c r="D720" s="24" t="str">
        <f>'Landscape Trees '!E578</f>
        <v/>
      </c>
      <c r="E720" s="24" t="str">
        <f>'Landscape Trees '!F578</f>
        <v/>
      </c>
      <c r="F720" s="24" t="str">
        <f>'Landscape Trees '!G578</f>
        <v/>
      </c>
      <c r="G720" s="24" t="str">
        <f>'Landscape Trees '!H578</f>
        <v/>
      </c>
      <c r="H720" s="24" t="str">
        <f>'Landscape Trees '!I578</f>
        <v/>
      </c>
    </row>
    <row r="721">
      <c r="A721" s="24" t="str">
        <f>'Landscape Trees '!A579</f>
        <v/>
      </c>
      <c r="B721" s="24" t="str">
        <f>'Landscape Trees '!C579</f>
        <v/>
      </c>
      <c r="C721" s="24" t="str">
        <f>'Landscape Trees '!D579</f>
        <v/>
      </c>
      <c r="D721" s="24" t="str">
        <f>'Landscape Trees '!E579</f>
        <v/>
      </c>
      <c r="E721" s="24" t="str">
        <f>'Landscape Trees '!F579</f>
        <v/>
      </c>
      <c r="F721" s="24" t="str">
        <f>'Landscape Trees '!G579</f>
        <v/>
      </c>
      <c r="G721" s="24" t="str">
        <f>'Landscape Trees '!H579</f>
        <v/>
      </c>
      <c r="H721" s="24" t="str">
        <f>'Landscape Trees '!I579</f>
        <v/>
      </c>
    </row>
    <row r="722">
      <c r="A722" s="24" t="str">
        <f>'Landscape Trees '!A580</f>
        <v/>
      </c>
      <c r="B722" s="24" t="str">
        <f>'Landscape Trees '!C580</f>
        <v/>
      </c>
      <c r="C722" s="24" t="str">
        <f>'Landscape Trees '!D580</f>
        <v/>
      </c>
      <c r="D722" s="24" t="str">
        <f>'Landscape Trees '!E580</f>
        <v/>
      </c>
      <c r="E722" s="24" t="str">
        <f>'Landscape Trees '!F580</f>
        <v/>
      </c>
      <c r="F722" s="24" t="str">
        <f>'Landscape Trees '!G580</f>
        <v/>
      </c>
      <c r="G722" s="24" t="str">
        <f>'Landscape Trees '!H580</f>
        <v/>
      </c>
      <c r="H722" s="24" t="str">
        <f>'Landscape Trees '!I580</f>
        <v/>
      </c>
    </row>
    <row r="723">
      <c r="A723" s="24" t="str">
        <f>'Landscape Trees '!A581</f>
        <v/>
      </c>
      <c r="B723" s="24" t="str">
        <f>'Landscape Trees '!C581</f>
        <v/>
      </c>
      <c r="C723" s="24" t="str">
        <f>'Landscape Trees '!D581</f>
        <v/>
      </c>
      <c r="D723" s="24" t="str">
        <f>'Landscape Trees '!E581</f>
        <v/>
      </c>
      <c r="E723" s="24" t="str">
        <f>'Landscape Trees '!F581</f>
        <v/>
      </c>
      <c r="F723" s="24" t="str">
        <f>'Landscape Trees '!G581</f>
        <v/>
      </c>
      <c r="G723" s="24" t="str">
        <f>'Landscape Trees '!H581</f>
        <v/>
      </c>
      <c r="H723" s="24" t="str">
        <f>'Landscape Trees '!I581</f>
        <v/>
      </c>
    </row>
    <row r="724">
      <c r="A724" s="24" t="str">
        <f>'Landscape Trees '!A582</f>
        <v/>
      </c>
      <c r="B724" s="24" t="str">
        <f>'Landscape Trees '!C582</f>
        <v/>
      </c>
      <c r="C724" s="24" t="str">
        <f>'Landscape Trees '!D582</f>
        <v/>
      </c>
      <c r="D724" s="24" t="str">
        <f>'Landscape Trees '!E582</f>
        <v/>
      </c>
      <c r="E724" s="24" t="str">
        <f>'Landscape Trees '!F582</f>
        <v/>
      </c>
      <c r="F724" s="24" t="str">
        <f>'Landscape Trees '!G582</f>
        <v/>
      </c>
      <c r="G724" s="24" t="str">
        <f>'Landscape Trees '!H582</f>
        <v/>
      </c>
      <c r="H724" s="24" t="str">
        <f>'Landscape Trees '!I582</f>
        <v/>
      </c>
    </row>
    <row r="725">
      <c r="A725" s="24" t="str">
        <f>'Landscape Trees '!A583</f>
        <v/>
      </c>
      <c r="B725" s="24" t="str">
        <f>'Landscape Trees '!C583</f>
        <v/>
      </c>
      <c r="C725" s="24" t="str">
        <f>'Landscape Trees '!D583</f>
        <v/>
      </c>
      <c r="D725" s="24" t="str">
        <f>'Landscape Trees '!E583</f>
        <v/>
      </c>
      <c r="E725" s="24" t="str">
        <f>'Landscape Trees '!F583</f>
        <v/>
      </c>
      <c r="F725" s="24" t="str">
        <f>'Landscape Trees '!G583</f>
        <v/>
      </c>
      <c r="G725" s="24" t="str">
        <f>'Landscape Trees '!H583</f>
        <v/>
      </c>
      <c r="H725" s="24" t="str">
        <f>'Landscape Trees '!I583</f>
        <v/>
      </c>
    </row>
    <row r="726">
      <c r="A726" s="24" t="str">
        <f>'Landscape Trees '!A584</f>
        <v/>
      </c>
      <c r="B726" s="24" t="str">
        <f>'Landscape Trees '!C584</f>
        <v/>
      </c>
      <c r="C726" s="24" t="str">
        <f>'Landscape Trees '!D584</f>
        <v/>
      </c>
      <c r="D726" s="24" t="str">
        <f>'Landscape Trees '!E584</f>
        <v/>
      </c>
      <c r="E726" s="24" t="str">
        <f>'Landscape Trees '!F584</f>
        <v/>
      </c>
      <c r="F726" s="24" t="str">
        <f>'Landscape Trees '!G584</f>
        <v/>
      </c>
      <c r="G726" s="24" t="str">
        <f>'Landscape Trees '!H584</f>
        <v/>
      </c>
      <c r="H726" s="24" t="str">
        <f>'Landscape Trees '!I584</f>
        <v/>
      </c>
    </row>
    <row r="727">
      <c r="A727" s="24" t="str">
        <f>'Landscape Trees '!A585</f>
        <v/>
      </c>
      <c r="B727" s="24" t="str">
        <f>'Landscape Trees '!C585</f>
        <v/>
      </c>
      <c r="C727" s="24" t="str">
        <f>'Landscape Trees '!D585</f>
        <v/>
      </c>
      <c r="D727" s="24" t="str">
        <f>'Landscape Trees '!E585</f>
        <v/>
      </c>
      <c r="E727" s="24" t="str">
        <f>'Landscape Trees '!F585</f>
        <v/>
      </c>
      <c r="F727" s="24" t="str">
        <f>'Landscape Trees '!G585</f>
        <v/>
      </c>
      <c r="G727" s="24" t="str">
        <f>'Landscape Trees '!H585</f>
        <v/>
      </c>
      <c r="H727" s="24" t="str">
        <f>'Landscape Trees '!I585</f>
        <v/>
      </c>
    </row>
    <row r="728">
      <c r="A728" s="24" t="str">
        <f>'Landscape Trees '!A586</f>
        <v/>
      </c>
      <c r="B728" s="24" t="str">
        <f>'Landscape Trees '!C586</f>
        <v/>
      </c>
      <c r="C728" s="24" t="str">
        <f>'Landscape Trees '!D586</f>
        <v/>
      </c>
      <c r="D728" s="24" t="str">
        <f>'Landscape Trees '!E586</f>
        <v/>
      </c>
      <c r="E728" s="24" t="str">
        <f>'Landscape Trees '!F586</f>
        <v/>
      </c>
      <c r="F728" s="24" t="str">
        <f>'Landscape Trees '!G586</f>
        <v/>
      </c>
      <c r="G728" s="24" t="str">
        <f>'Landscape Trees '!H586</f>
        <v/>
      </c>
      <c r="H728" s="24" t="str">
        <f>'Landscape Trees '!I586</f>
        <v/>
      </c>
    </row>
    <row r="729">
      <c r="A729" s="24" t="str">
        <f>'Landscape Trees '!A587</f>
        <v/>
      </c>
      <c r="B729" s="24" t="str">
        <f>'Landscape Trees '!C587</f>
        <v/>
      </c>
      <c r="C729" s="24" t="str">
        <f>'Landscape Trees '!D587</f>
        <v/>
      </c>
      <c r="D729" s="24" t="str">
        <f>'Landscape Trees '!E587</f>
        <v/>
      </c>
      <c r="E729" s="24" t="str">
        <f>'Landscape Trees '!F587</f>
        <v/>
      </c>
      <c r="F729" s="24" t="str">
        <f>'Landscape Trees '!G587</f>
        <v/>
      </c>
      <c r="G729" s="24" t="str">
        <f>'Landscape Trees '!H587</f>
        <v/>
      </c>
      <c r="H729" s="24" t="str">
        <f>'Landscape Trees '!I587</f>
        <v/>
      </c>
    </row>
    <row r="730">
      <c r="A730" s="24" t="str">
        <f>'Landscape Trees '!A588</f>
        <v/>
      </c>
      <c r="B730" s="24" t="str">
        <f>'Landscape Trees '!C588</f>
        <v/>
      </c>
      <c r="C730" s="24" t="str">
        <f>'Landscape Trees '!D588</f>
        <v/>
      </c>
      <c r="D730" s="24" t="str">
        <f>'Landscape Trees '!E588</f>
        <v/>
      </c>
      <c r="E730" s="24" t="str">
        <f>'Landscape Trees '!F588</f>
        <v/>
      </c>
      <c r="F730" s="24" t="str">
        <f>'Landscape Trees '!G588</f>
        <v/>
      </c>
      <c r="G730" s="24" t="str">
        <f>'Landscape Trees '!H588</f>
        <v/>
      </c>
      <c r="H730" s="24" t="str">
        <f>'Landscape Trees '!I588</f>
        <v/>
      </c>
    </row>
    <row r="731">
      <c r="A731" s="24" t="str">
        <f>'Landscape Trees '!A589</f>
        <v/>
      </c>
      <c r="B731" s="24" t="str">
        <f>'Landscape Trees '!C589</f>
        <v/>
      </c>
      <c r="C731" s="24" t="str">
        <f>'Landscape Trees '!D589</f>
        <v/>
      </c>
      <c r="D731" s="24" t="str">
        <f>'Landscape Trees '!E589</f>
        <v/>
      </c>
      <c r="E731" s="24" t="str">
        <f>'Landscape Trees '!F589</f>
        <v/>
      </c>
      <c r="F731" s="24" t="str">
        <f>'Landscape Trees '!G589</f>
        <v/>
      </c>
      <c r="G731" s="24" t="str">
        <f>'Landscape Trees '!H589</f>
        <v/>
      </c>
      <c r="H731" s="24" t="str">
        <f>'Landscape Trees '!I589</f>
        <v/>
      </c>
    </row>
    <row r="732">
      <c r="A732" s="24" t="str">
        <f>'Landscape Trees '!A590</f>
        <v/>
      </c>
      <c r="B732" s="24" t="str">
        <f>'Landscape Trees '!C590</f>
        <v/>
      </c>
      <c r="C732" s="24" t="str">
        <f>'Landscape Trees '!D590</f>
        <v/>
      </c>
      <c r="D732" s="24" t="str">
        <f>'Landscape Trees '!E590</f>
        <v/>
      </c>
      <c r="E732" s="24" t="str">
        <f>'Landscape Trees '!F590</f>
        <v/>
      </c>
      <c r="F732" s="24" t="str">
        <f>'Landscape Trees '!G590</f>
        <v/>
      </c>
      <c r="G732" s="24" t="str">
        <f>'Landscape Trees '!H590</f>
        <v/>
      </c>
      <c r="H732" s="24" t="str">
        <f>'Landscape Trees '!I590</f>
        <v/>
      </c>
    </row>
    <row r="733">
      <c r="A733" s="24" t="str">
        <f>'Landscape Trees '!A591</f>
        <v/>
      </c>
      <c r="B733" s="24" t="str">
        <f>'Landscape Trees '!C591</f>
        <v/>
      </c>
      <c r="C733" s="24" t="str">
        <f>'Landscape Trees '!D591</f>
        <v/>
      </c>
      <c r="D733" s="24" t="str">
        <f>'Landscape Trees '!E591</f>
        <v/>
      </c>
      <c r="E733" s="24" t="str">
        <f>'Landscape Trees '!F591</f>
        <v/>
      </c>
      <c r="F733" s="24" t="str">
        <f>'Landscape Trees '!G591</f>
        <v/>
      </c>
      <c r="G733" s="24" t="str">
        <f>'Landscape Trees '!H591</f>
        <v/>
      </c>
      <c r="H733" s="24" t="str">
        <f>'Landscape Trees '!I591</f>
        <v/>
      </c>
    </row>
    <row r="734">
      <c r="A734" s="24" t="str">
        <f>'Landscape Trees '!A592</f>
        <v/>
      </c>
      <c r="B734" s="24" t="str">
        <f>'Landscape Trees '!C592</f>
        <v/>
      </c>
      <c r="C734" s="24" t="str">
        <f>'Landscape Trees '!D592</f>
        <v/>
      </c>
      <c r="D734" s="24" t="str">
        <f>'Landscape Trees '!E592</f>
        <v/>
      </c>
      <c r="E734" s="24" t="str">
        <f>'Landscape Trees '!F592</f>
        <v/>
      </c>
      <c r="F734" s="24" t="str">
        <f>'Landscape Trees '!G592</f>
        <v/>
      </c>
      <c r="G734" s="24" t="str">
        <f>'Landscape Trees '!H592</f>
        <v/>
      </c>
      <c r="H734" s="24" t="str">
        <f>'Landscape Trees '!I592</f>
        <v/>
      </c>
    </row>
    <row r="735">
      <c r="A735" s="24" t="str">
        <f>'Landscape Trees '!A593</f>
        <v/>
      </c>
      <c r="B735" s="24" t="str">
        <f>'Landscape Trees '!C593</f>
        <v/>
      </c>
      <c r="C735" s="24" t="str">
        <f>'Landscape Trees '!D593</f>
        <v/>
      </c>
      <c r="D735" s="24" t="str">
        <f>'Landscape Trees '!E593</f>
        <v/>
      </c>
      <c r="E735" s="24" t="str">
        <f>'Landscape Trees '!F593</f>
        <v/>
      </c>
      <c r="F735" s="24" t="str">
        <f>'Landscape Trees '!G593</f>
        <v/>
      </c>
      <c r="G735" s="24" t="str">
        <f>'Landscape Trees '!H593</f>
        <v/>
      </c>
      <c r="H735" s="24" t="str">
        <f>'Landscape Trees '!I593</f>
        <v/>
      </c>
    </row>
    <row r="736">
      <c r="A736" s="24" t="str">
        <f>'Landscape Trees '!A594</f>
        <v/>
      </c>
      <c r="B736" s="24" t="str">
        <f>'Landscape Trees '!C594</f>
        <v/>
      </c>
      <c r="C736" s="24" t="str">
        <f>'Landscape Trees '!D594</f>
        <v/>
      </c>
      <c r="D736" s="24" t="str">
        <f>'Landscape Trees '!E594</f>
        <v/>
      </c>
      <c r="E736" s="24" t="str">
        <f>'Landscape Trees '!F594</f>
        <v/>
      </c>
      <c r="F736" s="24" t="str">
        <f>'Landscape Trees '!G594</f>
        <v/>
      </c>
      <c r="G736" s="24" t="str">
        <f>'Landscape Trees '!H594</f>
        <v/>
      </c>
      <c r="H736" s="24" t="str">
        <f>'Landscape Trees '!I594</f>
        <v/>
      </c>
    </row>
    <row r="737">
      <c r="A737" s="24" t="str">
        <f>'Landscape Trees '!A595</f>
        <v/>
      </c>
      <c r="B737" s="24" t="str">
        <f>'Landscape Trees '!C595</f>
        <v/>
      </c>
      <c r="C737" s="24" t="str">
        <f>'Landscape Trees '!D595</f>
        <v/>
      </c>
      <c r="D737" s="24" t="str">
        <f>'Landscape Trees '!E595</f>
        <v/>
      </c>
      <c r="E737" s="24" t="str">
        <f>'Landscape Trees '!F595</f>
        <v/>
      </c>
      <c r="F737" s="24" t="str">
        <f>'Landscape Trees '!G595</f>
        <v/>
      </c>
      <c r="G737" s="24" t="str">
        <f>'Landscape Trees '!H595</f>
        <v/>
      </c>
      <c r="H737" s="24" t="str">
        <f>'Landscape Trees '!I595</f>
        <v/>
      </c>
    </row>
    <row r="738">
      <c r="A738" s="24" t="str">
        <f>'Landscape Trees '!A596</f>
        <v/>
      </c>
      <c r="B738" s="24" t="str">
        <f>'Landscape Trees '!C596</f>
        <v/>
      </c>
      <c r="C738" s="24" t="str">
        <f>'Landscape Trees '!D596</f>
        <v/>
      </c>
      <c r="D738" s="24" t="str">
        <f>'Landscape Trees '!E596</f>
        <v/>
      </c>
      <c r="E738" s="24" t="str">
        <f>'Landscape Trees '!F596</f>
        <v/>
      </c>
      <c r="F738" s="24" t="str">
        <f>'Landscape Trees '!G596</f>
        <v/>
      </c>
      <c r="G738" s="24" t="str">
        <f>'Landscape Trees '!H596</f>
        <v/>
      </c>
      <c r="H738" s="24" t="str">
        <f>'Landscape Trees '!I596</f>
        <v/>
      </c>
    </row>
    <row r="739">
      <c r="A739" s="24" t="str">
        <f>'Landscape Trees '!A597</f>
        <v/>
      </c>
      <c r="B739" s="24" t="str">
        <f>'Landscape Trees '!C597</f>
        <v/>
      </c>
      <c r="C739" s="24" t="str">
        <f>'Landscape Trees '!D597</f>
        <v/>
      </c>
      <c r="D739" s="24" t="str">
        <f>'Landscape Trees '!E597</f>
        <v/>
      </c>
      <c r="E739" s="24" t="str">
        <f>'Landscape Trees '!F597</f>
        <v/>
      </c>
      <c r="F739" s="24" t="str">
        <f>'Landscape Trees '!G597</f>
        <v/>
      </c>
      <c r="G739" s="24" t="str">
        <f>'Landscape Trees '!H597</f>
        <v/>
      </c>
      <c r="H739" s="24" t="str">
        <f>'Landscape Trees '!I597</f>
        <v/>
      </c>
    </row>
    <row r="740">
      <c r="A740" s="24" t="str">
        <f>'Landscape Trees '!A598</f>
        <v/>
      </c>
      <c r="B740" s="24" t="str">
        <f>'Landscape Trees '!C598</f>
        <v/>
      </c>
      <c r="C740" s="24" t="str">
        <f>'Landscape Trees '!D598</f>
        <v/>
      </c>
      <c r="D740" s="24" t="str">
        <f>'Landscape Trees '!E598</f>
        <v/>
      </c>
      <c r="E740" s="24" t="str">
        <f>'Landscape Trees '!F598</f>
        <v/>
      </c>
      <c r="F740" s="24" t="str">
        <f>'Landscape Trees '!G598</f>
        <v/>
      </c>
      <c r="G740" s="24" t="str">
        <f>'Landscape Trees '!H598</f>
        <v/>
      </c>
      <c r="H740" s="24" t="str">
        <f>'Landscape Trees '!I598</f>
        <v/>
      </c>
    </row>
    <row r="741">
      <c r="A741" s="24" t="str">
        <f>'Landscape Trees '!A599</f>
        <v/>
      </c>
      <c r="B741" s="24" t="str">
        <f>'Landscape Trees '!C599</f>
        <v/>
      </c>
      <c r="C741" s="24" t="str">
        <f>'Landscape Trees '!D599</f>
        <v/>
      </c>
      <c r="D741" s="24" t="str">
        <f>'Landscape Trees '!E599</f>
        <v/>
      </c>
      <c r="E741" s="24" t="str">
        <f>'Landscape Trees '!F599</f>
        <v/>
      </c>
      <c r="F741" s="24" t="str">
        <f>'Landscape Trees '!G599</f>
        <v/>
      </c>
      <c r="G741" s="24" t="str">
        <f>'Landscape Trees '!H599</f>
        <v/>
      </c>
      <c r="H741" s="24" t="str">
        <f>'Landscape Trees '!I599</f>
        <v/>
      </c>
    </row>
    <row r="742">
      <c r="A742" s="24" t="str">
        <f>'Landscape Trees '!A600</f>
        <v/>
      </c>
      <c r="B742" s="24" t="str">
        <f>'Landscape Trees '!C600</f>
        <v/>
      </c>
      <c r="C742" s="24" t="str">
        <f>'Landscape Trees '!D600</f>
        <v/>
      </c>
      <c r="D742" s="24" t="str">
        <f>'Landscape Trees '!E600</f>
        <v/>
      </c>
      <c r="E742" s="24" t="str">
        <f>'Landscape Trees '!F600</f>
        <v/>
      </c>
      <c r="F742" s="24" t="str">
        <f>'Landscape Trees '!G600</f>
        <v/>
      </c>
      <c r="G742" s="24" t="str">
        <f>'Landscape Trees '!H600</f>
        <v/>
      </c>
      <c r="H742" s="24" t="str">
        <f>'Landscape Trees '!I600</f>
        <v/>
      </c>
    </row>
    <row r="743">
      <c r="A743" s="24" t="str">
        <f>'Landscape Trees '!A601</f>
        <v/>
      </c>
      <c r="B743" s="24" t="str">
        <f>'Landscape Trees '!C601</f>
        <v/>
      </c>
      <c r="C743" s="24" t="str">
        <f>'Landscape Trees '!D601</f>
        <v/>
      </c>
      <c r="D743" s="24" t="str">
        <f>'Landscape Trees '!E601</f>
        <v/>
      </c>
      <c r="E743" s="24" t="str">
        <f>'Landscape Trees '!F601</f>
        <v/>
      </c>
      <c r="F743" s="24" t="str">
        <f>'Landscape Trees '!G601</f>
        <v/>
      </c>
      <c r="G743" s="24" t="str">
        <f>'Landscape Trees '!H601</f>
        <v/>
      </c>
      <c r="H743" s="24" t="str">
        <f>'Landscape Trees '!I601</f>
        <v/>
      </c>
    </row>
    <row r="744">
      <c r="A744" s="24" t="str">
        <f>'Landscape Trees '!A602</f>
        <v/>
      </c>
      <c r="B744" s="24" t="str">
        <f>'Landscape Trees '!C602</f>
        <v/>
      </c>
      <c r="C744" s="24" t="str">
        <f>'Landscape Trees '!D602</f>
        <v/>
      </c>
      <c r="D744" s="24" t="str">
        <f>'Landscape Trees '!E602</f>
        <v/>
      </c>
      <c r="E744" s="24" t="str">
        <f>'Landscape Trees '!F602</f>
        <v/>
      </c>
      <c r="F744" s="24" t="str">
        <f>'Landscape Trees '!G602</f>
        <v/>
      </c>
      <c r="G744" s="24" t="str">
        <f>'Landscape Trees '!H602</f>
        <v/>
      </c>
      <c r="H744" s="24" t="str">
        <f>'Landscape Trees '!I602</f>
        <v/>
      </c>
    </row>
    <row r="745">
      <c r="A745" s="24" t="str">
        <f>'Landscape Trees '!A603</f>
        <v/>
      </c>
      <c r="B745" s="24" t="str">
        <f>'Landscape Trees '!C603</f>
        <v/>
      </c>
      <c r="C745" s="24" t="str">
        <f>'Landscape Trees '!D603</f>
        <v/>
      </c>
      <c r="D745" s="24" t="str">
        <f>'Landscape Trees '!E603</f>
        <v/>
      </c>
      <c r="E745" s="24" t="str">
        <f>'Landscape Trees '!F603</f>
        <v/>
      </c>
      <c r="F745" s="24" t="str">
        <f>'Landscape Trees '!G603</f>
        <v/>
      </c>
      <c r="G745" s="24" t="str">
        <f>'Landscape Trees '!H603</f>
        <v/>
      </c>
      <c r="H745" s="24" t="str">
        <f>'Landscape Trees '!I603</f>
        <v/>
      </c>
    </row>
    <row r="746">
      <c r="A746" s="24" t="str">
        <f>'Landscape Trees '!A604</f>
        <v/>
      </c>
      <c r="B746" s="24" t="str">
        <f>'Landscape Trees '!C604</f>
        <v/>
      </c>
      <c r="C746" s="24" t="str">
        <f>'Landscape Trees '!D604</f>
        <v/>
      </c>
      <c r="D746" s="24" t="str">
        <f>'Landscape Trees '!E604</f>
        <v/>
      </c>
      <c r="E746" s="24" t="str">
        <f>'Landscape Trees '!F604</f>
        <v/>
      </c>
      <c r="F746" s="24" t="str">
        <f>'Landscape Trees '!G604</f>
        <v/>
      </c>
      <c r="G746" s="24" t="str">
        <f>'Landscape Trees '!H604</f>
        <v/>
      </c>
      <c r="H746" s="24" t="str">
        <f>'Landscape Trees '!I604</f>
        <v/>
      </c>
    </row>
    <row r="747">
      <c r="A747" s="24" t="str">
        <f>'Landscape Trees '!A605</f>
        <v/>
      </c>
      <c r="B747" s="24" t="str">
        <f>'Landscape Trees '!C605</f>
        <v/>
      </c>
      <c r="C747" s="24" t="str">
        <f>'Landscape Trees '!D605</f>
        <v/>
      </c>
      <c r="D747" s="24" t="str">
        <f>'Landscape Trees '!E605</f>
        <v/>
      </c>
      <c r="E747" s="24" t="str">
        <f>'Landscape Trees '!F605</f>
        <v/>
      </c>
      <c r="F747" s="24" t="str">
        <f>'Landscape Trees '!G605</f>
        <v/>
      </c>
      <c r="G747" s="24" t="str">
        <f>'Landscape Trees '!H605</f>
        <v/>
      </c>
      <c r="H747" s="24" t="str">
        <f>'Landscape Trees '!I605</f>
        <v/>
      </c>
    </row>
    <row r="748">
      <c r="A748" s="24" t="str">
        <f>'Landscape Trees '!A606</f>
        <v/>
      </c>
      <c r="B748" s="24" t="str">
        <f>'Landscape Trees '!C606</f>
        <v/>
      </c>
      <c r="C748" s="24" t="str">
        <f>'Landscape Trees '!D606</f>
        <v/>
      </c>
      <c r="D748" s="24" t="str">
        <f>'Landscape Trees '!E606</f>
        <v/>
      </c>
      <c r="E748" s="24" t="str">
        <f>'Landscape Trees '!F606</f>
        <v/>
      </c>
      <c r="F748" s="24" t="str">
        <f>'Landscape Trees '!G606</f>
        <v/>
      </c>
      <c r="G748" s="24" t="str">
        <f>'Landscape Trees '!H606</f>
        <v/>
      </c>
      <c r="H748" s="24" t="str">
        <f>'Landscape Trees '!I606</f>
        <v/>
      </c>
    </row>
    <row r="749">
      <c r="A749" s="24" t="str">
        <f>'Landscape Trees '!A607</f>
        <v/>
      </c>
      <c r="B749" s="24" t="str">
        <f>'Landscape Trees '!C607</f>
        <v/>
      </c>
      <c r="C749" s="24" t="str">
        <f>'Landscape Trees '!D607</f>
        <v/>
      </c>
      <c r="D749" s="24" t="str">
        <f>'Landscape Trees '!E607</f>
        <v/>
      </c>
      <c r="E749" s="24" t="str">
        <f>'Landscape Trees '!F607</f>
        <v/>
      </c>
      <c r="F749" s="24" t="str">
        <f>'Landscape Trees '!G607</f>
        <v/>
      </c>
      <c r="G749" s="24" t="str">
        <f>'Landscape Trees '!H607</f>
        <v/>
      </c>
      <c r="H749" s="24" t="str">
        <f>'Landscape Trees '!I607</f>
        <v/>
      </c>
    </row>
    <row r="750">
      <c r="A750" s="24" t="str">
        <f>'Landscape Trees '!A608</f>
        <v/>
      </c>
      <c r="B750" s="24" t="str">
        <f>'Landscape Trees '!C608</f>
        <v/>
      </c>
      <c r="C750" s="24" t="str">
        <f>'Landscape Trees '!D608</f>
        <v/>
      </c>
      <c r="D750" s="24" t="str">
        <f>'Landscape Trees '!E608</f>
        <v/>
      </c>
      <c r="E750" s="24" t="str">
        <f>'Landscape Trees '!F608</f>
        <v/>
      </c>
      <c r="F750" s="24" t="str">
        <f>'Landscape Trees '!G608</f>
        <v/>
      </c>
      <c r="G750" s="24" t="str">
        <f>'Landscape Trees '!H608</f>
        <v/>
      </c>
      <c r="H750" s="24" t="str">
        <f>'Landscape Trees '!I608</f>
        <v/>
      </c>
    </row>
    <row r="751">
      <c r="A751" s="24" t="str">
        <f>'Landscape Trees '!A609</f>
        <v/>
      </c>
      <c r="B751" s="24" t="str">
        <f>'Landscape Trees '!C609</f>
        <v/>
      </c>
      <c r="C751" s="24" t="str">
        <f>'Landscape Trees '!D609</f>
        <v/>
      </c>
      <c r="D751" s="24" t="str">
        <f>'Landscape Trees '!E609</f>
        <v/>
      </c>
      <c r="E751" s="24" t="str">
        <f>'Landscape Trees '!F609</f>
        <v/>
      </c>
      <c r="F751" s="24" t="str">
        <f>'Landscape Trees '!G609</f>
        <v/>
      </c>
      <c r="G751" s="24" t="str">
        <f>'Landscape Trees '!H609</f>
        <v/>
      </c>
      <c r="H751" s="24" t="str">
        <f>'Landscape Trees '!I609</f>
        <v/>
      </c>
    </row>
    <row r="752">
      <c r="A752" s="24" t="str">
        <f>'Landscape Trees '!A610</f>
        <v/>
      </c>
      <c r="B752" s="24" t="str">
        <f>'Landscape Trees '!C610</f>
        <v/>
      </c>
      <c r="C752" s="24" t="str">
        <f>'Landscape Trees '!D610</f>
        <v/>
      </c>
      <c r="D752" s="24" t="str">
        <f>'Landscape Trees '!E610</f>
        <v/>
      </c>
      <c r="E752" s="24" t="str">
        <f>'Landscape Trees '!F610</f>
        <v/>
      </c>
      <c r="F752" s="24" t="str">
        <f>'Landscape Trees '!G610</f>
        <v/>
      </c>
      <c r="G752" s="24" t="str">
        <f>'Landscape Trees '!H610</f>
        <v/>
      </c>
      <c r="H752" s="24" t="str">
        <f>'Landscape Trees '!I610</f>
        <v/>
      </c>
    </row>
    <row r="753">
      <c r="A753" s="24" t="str">
        <f>'Landscape Trees '!A611</f>
        <v/>
      </c>
      <c r="B753" s="24" t="str">
        <f>'Landscape Trees '!C611</f>
        <v/>
      </c>
      <c r="C753" s="24" t="str">
        <f>'Landscape Trees '!D611</f>
        <v/>
      </c>
      <c r="D753" s="24" t="str">
        <f>'Landscape Trees '!E611</f>
        <v/>
      </c>
      <c r="E753" s="24" t="str">
        <f>'Landscape Trees '!F611</f>
        <v/>
      </c>
      <c r="F753" s="24" t="str">
        <f>'Landscape Trees '!G611</f>
        <v/>
      </c>
      <c r="G753" s="24" t="str">
        <f>'Landscape Trees '!H611</f>
        <v/>
      </c>
      <c r="H753" s="24" t="str">
        <f>'Landscape Trees '!I611</f>
        <v/>
      </c>
    </row>
    <row r="754">
      <c r="A754" s="24" t="str">
        <f>'Landscape Trees '!A612</f>
        <v/>
      </c>
      <c r="B754" s="24" t="str">
        <f>'Landscape Trees '!C612</f>
        <v/>
      </c>
      <c r="C754" s="24" t="str">
        <f>'Landscape Trees '!D612</f>
        <v/>
      </c>
      <c r="D754" s="24" t="str">
        <f>'Landscape Trees '!E612</f>
        <v/>
      </c>
      <c r="E754" s="24" t="str">
        <f>'Landscape Trees '!F612</f>
        <v/>
      </c>
      <c r="F754" s="24" t="str">
        <f>'Landscape Trees '!G612</f>
        <v/>
      </c>
      <c r="G754" s="24" t="str">
        <f>'Landscape Trees '!H612</f>
        <v/>
      </c>
      <c r="H754" s="24" t="str">
        <f>'Landscape Trees '!I612</f>
        <v/>
      </c>
    </row>
    <row r="755">
      <c r="A755" s="24" t="str">
        <f>'Landscape Trees '!A613</f>
        <v/>
      </c>
      <c r="B755" s="24" t="str">
        <f>'Landscape Trees '!C613</f>
        <v/>
      </c>
      <c r="C755" s="24" t="str">
        <f>'Landscape Trees '!D613</f>
        <v/>
      </c>
      <c r="D755" s="24" t="str">
        <f>'Landscape Trees '!E613</f>
        <v/>
      </c>
      <c r="E755" s="24" t="str">
        <f>'Landscape Trees '!F613</f>
        <v/>
      </c>
      <c r="F755" s="24" t="str">
        <f>'Landscape Trees '!G613</f>
        <v/>
      </c>
      <c r="G755" s="24" t="str">
        <f>'Landscape Trees '!H613</f>
        <v/>
      </c>
      <c r="H755" s="24" t="str">
        <f>'Landscape Trees '!I613</f>
        <v/>
      </c>
    </row>
    <row r="756">
      <c r="A756" s="24" t="str">
        <f>'Landscape Trees '!A614</f>
        <v/>
      </c>
      <c r="B756" s="24" t="str">
        <f>'Landscape Trees '!C614</f>
        <v/>
      </c>
      <c r="C756" s="24" t="str">
        <f>'Landscape Trees '!D614</f>
        <v/>
      </c>
      <c r="D756" s="24" t="str">
        <f>'Landscape Trees '!E614</f>
        <v/>
      </c>
      <c r="E756" s="24" t="str">
        <f>'Landscape Trees '!F614</f>
        <v/>
      </c>
      <c r="F756" s="24" t="str">
        <f>'Landscape Trees '!G614</f>
        <v/>
      </c>
      <c r="G756" s="24" t="str">
        <f>'Landscape Trees '!H614</f>
        <v/>
      </c>
      <c r="H756" s="24" t="str">
        <f>'Landscape Trees '!I614</f>
        <v/>
      </c>
    </row>
    <row r="757">
      <c r="A757" s="24" t="str">
        <f>'Landscape Trees '!A615</f>
        <v/>
      </c>
      <c r="B757" s="24" t="str">
        <f>'Landscape Trees '!C615</f>
        <v/>
      </c>
      <c r="C757" s="24" t="str">
        <f>'Landscape Trees '!D615</f>
        <v/>
      </c>
      <c r="D757" s="24" t="str">
        <f>'Landscape Trees '!E615</f>
        <v/>
      </c>
      <c r="E757" s="24" t="str">
        <f>'Landscape Trees '!F615</f>
        <v/>
      </c>
      <c r="F757" s="24" t="str">
        <f>'Landscape Trees '!G615</f>
        <v/>
      </c>
      <c r="G757" s="24" t="str">
        <f>'Landscape Trees '!H615</f>
        <v/>
      </c>
      <c r="H757" s="24" t="str">
        <f>'Landscape Trees '!I615</f>
        <v/>
      </c>
    </row>
    <row r="758">
      <c r="A758" s="24" t="str">
        <f>'Landscape Trees '!A616</f>
        <v/>
      </c>
      <c r="B758" s="24" t="str">
        <f>'Landscape Trees '!C616</f>
        <v/>
      </c>
      <c r="C758" s="24" t="str">
        <f>'Landscape Trees '!D616</f>
        <v/>
      </c>
      <c r="D758" s="24" t="str">
        <f>'Landscape Trees '!E616</f>
        <v/>
      </c>
      <c r="E758" s="24" t="str">
        <f>'Landscape Trees '!F616</f>
        <v/>
      </c>
      <c r="F758" s="24" t="str">
        <f>'Landscape Trees '!G616</f>
        <v/>
      </c>
      <c r="G758" s="24" t="str">
        <f>'Landscape Trees '!H616</f>
        <v/>
      </c>
      <c r="H758" s="24" t="str">
        <f>'Landscape Trees '!I616</f>
        <v/>
      </c>
    </row>
    <row r="759">
      <c r="A759" s="24" t="str">
        <f>'Landscape Trees '!A617</f>
        <v/>
      </c>
      <c r="B759" s="24" t="str">
        <f>'Landscape Trees '!C617</f>
        <v/>
      </c>
      <c r="C759" s="24" t="str">
        <f>'Landscape Trees '!D617</f>
        <v/>
      </c>
      <c r="D759" s="24" t="str">
        <f>'Landscape Trees '!E617</f>
        <v/>
      </c>
      <c r="E759" s="24" t="str">
        <f>'Landscape Trees '!F617</f>
        <v/>
      </c>
      <c r="F759" s="24" t="str">
        <f>'Landscape Trees '!G617</f>
        <v/>
      </c>
      <c r="G759" s="24" t="str">
        <f>'Landscape Trees '!H617</f>
        <v/>
      </c>
      <c r="H759" s="24" t="str">
        <f>'Landscape Trees '!I617</f>
        <v/>
      </c>
    </row>
    <row r="760">
      <c r="A760" s="24" t="str">
        <f>'Landscape Trees '!A618</f>
        <v/>
      </c>
      <c r="B760" s="24" t="str">
        <f>'Landscape Trees '!C618</f>
        <v/>
      </c>
      <c r="C760" s="24" t="str">
        <f>'Landscape Trees '!D618</f>
        <v/>
      </c>
      <c r="D760" s="24" t="str">
        <f>'Landscape Trees '!E618</f>
        <v/>
      </c>
      <c r="E760" s="24" t="str">
        <f>'Landscape Trees '!F618</f>
        <v/>
      </c>
      <c r="F760" s="24" t="str">
        <f>'Landscape Trees '!G618</f>
        <v/>
      </c>
      <c r="G760" s="24" t="str">
        <f>'Landscape Trees '!H618</f>
        <v/>
      </c>
      <c r="H760" s="24" t="str">
        <f>'Landscape Trees '!I618</f>
        <v/>
      </c>
    </row>
    <row r="761">
      <c r="A761" s="24" t="str">
        <f>'Landscape Trees '!A619</f>
        <v/>
      </c>
      <c r="B761" s="24" t="str">
        <f>'Landscape Trees '!C619</f>
        <v/>
      </c>
      <c r="C761" s="24" t="str">
        <f>'Landscape Trees '!D619</f>
        <v/>
      </c>
      <c r="D761" s="24" t="str">
        <f>'Landscape Trees '!E619</f>
        <v/>
      </c>
      <c r="E761" s="24" t="str">
        <f>'Landscape Trees '!F619</f>
        <v/>
      </c>
      <c r="F761" s="24" t="str">
        <f>'Landscape Trees '!G619</f>
        <v/>
      </c>
      <c r="G761" s="24" t="str">
        <f>'Landscape Trees '!H619</f>
        <v/>
      </c>
      <c r="H761" s="24" t="str">
        <f>'Landscape Trees '!I619</f>
        <v/>
      </c>
    </row>
    <row r="762">
      <c r="A762" s="24" t="str">
        <f>'Landscape Trees '!A620</f>
        <v/>
      </c>
      <c r="B762" s="24" t="str">
        <f>'Landscape Trees '!C620</f>
        <v/>
      </c>
      <c r="C762" s="24" t="str">
        <f>'Landscape Trees '!D620</f>
        <v/>
      </c>
      <c r="D762" s="24" t="str">
        <f>'Landscape Trees '!E620</f>
        <v/>
      </c>
      <c r="E762" s="24" t="str">
        <f>'Landscape Trees '!F620</f>
        <v/>
      </c>
      <c r="F762" s="24" t="str">
        <f>'Landscape Trees '!G620</f>
        <v/>
      </c>
      <c r="G762" s="24" t="str">
        <f>'Landscape Trees '!H620</f>
        <v/>
      </c>
      <c r="H762" s="24" t="str">
        <f>'Landscape Trees '!I620</f>
        <v/>
      </c>
    </row>
    <row r="763">
      <c r="A763" s="24" t="str">
        <f>'Landscape Trees '!A621</f>
        <v/>
      </c>
      <c r="B763" s="24" t="str">
        <f>'Landscape Trees '!C621</f>
        <v/>
      </c>
      <c r="C763" s="24" t="str">
        <f>'Landscape Trees '!D621</f>
        <v/>
      </c>
      <c r="D763" s="24" t="str">
        <f>'Landscape Trees '!E621</f>
        <v/>
      </c>
      <c r="E763" s="24" t="str">
        <f>'Landscape Trees '!F621</f>
        <v/>
      </c>
      <c r="F763" s="24" t="str">
        <f>'Landscape Trees '!G621</f>
        <v/>
      </c>
      <c r="G763" s="24" t="str">
        <f>'Landscape Trees '!H621</f>
        <v/>
      </c>
      <c r="H763" s="24" t="str">
        <f>'Landscape Trees '!I621</f>
        <v/>
      </c>
    </row>
    <row r="764">
      <c r="A764" s="24" t="str">
        <f>'Landscape Trees '!A622</f>
        <v/>
      </c>
      <c r="B764" s="24" t="str">
        <f>'Landscape Trees '!C622</f>
        <v/>
      </c>
      <c r="C764" s="24" t="str">
        <f>'Landscape Trees '!D622</f>
        <v/>
      </c>
      <c r="D764" s="24" t="str">
        <f>'Landscape Trees '!E622</f>
        <v/>
      </c>
      <c r="E764" s="24" t="str">
        <f>'Landscape Trees '!F622</f>
        <v/>
      </c>
      <c r="F764" s="24" t="str">
        <f>'Landscape Trees '!G622</f>
        <v/>
      </c>
      <c r="G764" s="24" t="str">
        <f>'Landscape Trees '!H622</f>
        <v/>
      </c>
      <c r="H764" s="24" t="str">
        <f>'Landscape Trees '!I622</f>
        <v/>
      </c>
    </row>
    <row r="765">
      <c r="A765" s="24" t="str">
        <f>'Landscape Trees '!A623</f>
        <v/>
      </c>
      <c r="B765" s="24" t="str">
        <f>'Landscape Trees '!C623</f>
        <v/>
      </c>
      <c r="C765" s="24" t="str">
        <f>'Landscape Trees '!D623</f>
        <v/>
      </c>
      <c r="D765" s="24" t="str">
        <f>'Landscape Trees '!E623</f>
        <v/>
      </c>
      <c r="E765" s="24" t="str">
        <f>'Landscape Trees '!F623</f>
        <v/>
      </c>
      <c r="F765" s="24" t="str">
        <f>'Landscape Trees '!G623</f>
        <v/>
      </c>
      <c r="G765" s="24" t="str">
        <f>'Landscape Trees '!H623</f>
        <v/>
      </c>
      <c r="H765" s="24" t="str">
        <f>'Landscape Trees '!I623</f>
        <v/>
      </c>
    </row>
    <row r="766">
      <c r="A766" s="24" t="str">
        <f>'Landscape Trees '!A624</f>
        <v/>
      </c>
      <c r="B766" s="24" t="str">
        <f>'Landscape Trees '!C624</f>
        <v/>
      </c>
      <c r="C766" s="24" t="str">
        <f>'Landscape Trees '!D624</f>
        <v/>
      </c>
      <c r="D766" s="24" t="str">
        <f>'Landscape Trees '!E624</f>
        <v/>
      </c>
      <c r="E766" s="24" t="str">
        <f>'Landscape Trees '!F624</f>
        <v/>
      </c>
      <c r="F766" s="24" t="str">
        <f>'Landscape Trees '!G624</f>
        <v/>
      </c>
      <c r="G766" s="24" t="str">
        <f>'Landscape Trees '!H624</f>
        <v/>
      </c>
      <c r="H766" s="24" t="str">
        <f>'Landscape Trees '!I624</f>
        <v/>
      </c>
    </row>
    <row r="767">
      <c r="A767" s="24" t="str">
        <f>'Landscape Trees '!A625</f>
        <v/>
      </c>
      <c r="B767" s="24" t="str">
        <f>'Landscape Trees '!C625</f>
        <v/>
      </c>
      <c r="C767" s="24" t="str">
        <f>'Landscape Trees '!D625</f>
        <v/>
      </c>
      <c r="D767" s="24" t="str">
        <f>'Landscape Trees '!E625</f>
        <v/>
      </c>
      <c r="E767" s="24" t="str">
        <f>'Landscape Trees '!F625</f>
        <v/>
      </c>
      <c r="F767" s="24" t="str">
        <f>'Landscape Trees '!G625</f>
        <v/>
      </c>
      <c r="G767" s="24" t="str">
        <f>'Landscape Trees '!H625</f>
        <v/>
      </c>
      <c r="H767" s="24" t="str">
        <f>'Landscape Trees '!I625</f>
        <v/>
      </c>
    </row>
    <row r="768">
      <c r="A768" s="24" t="str">
        <f>'Landscape Trees '!A626</f>
        <v/>
      </c>
      <c r="B768" s="24" t="str">
        <f>'Landscape Trees '!C626</f>
        <v/>
      </c>
      <c r="C768" s="24" t="str">
        <f>'Landscape Trees '!D626</f>
        <v/>
      </c>
      <c r="D768" s="24" t="str">
        <f>'Landscape Trees '!E626</f>
        <v/>
      </c>
      <c r="E768" s="24" t="str">
        <f>'Landscape Trees '!F626</f>
        <v/>
      </c>
      <c r="F768" s="24" t="str">
        <f>'Landscape Trees '!G626</f>
        <v/>
      </c>
      <c r="G768" s="24" t="str">
        <f>'Landscape Trees '!H626</f>
        <v/>
      </c>
      <c r="H768" s="24" t="str">
        <f>'Landscape Trees '!I626</f>
        <v/>
      </c>
    </row>
    <row r="769">
      <c r="A769" s="24" t="str">
        <f>'Landscape Trees '!A627</f>
        <v/>
      </c>
      <c r="B769" s="24" t="str">
        <f>'Landscape Trees '!C627</f>
        <v/>
      </c>
      <c r="C769" s="24" t="str">
        <f>'Landscape Trees '!D627</f>
        <v/>
      </c>
      <c r="D769" s="24" t="str">
        <f>'Landscape Trees '!E627</f>
        <v/>
      </c>
      <c r="E769" s="24" t="str">
        <f>'Landscape Trees '!F627</f>
        <v/>
      </c>
      <c r="F769" s="24" t="str">
        <f>'Landscape Trees '!G627</f>
        <v/>
      </c>
      <c r="G769" s="24" t="str">
        <f>'Landscape Trees '!H627</f>
        <v/>
      </c>
      <c r="H769" s="24" t="str">
        <f>'Landscape Trees '!I627</f>
        <v/>
      </c>
    </row>
    <row r="770">
      <c r="A770" s="24" t="str">
        <f>'Landscape Trees '!A628</f>
        <v/>
      </c>
      <c r="B770" s="24" t="str">
        <f>'Landscape Trees '!C628</f>
        <v/>
      </c>
      <c r="C770" s="24" t="str">
        <f>'Landscape Trees '!D628</f>
        <v/>
      </c>
      <c r="D770" s="24" t="str">
        <f>'Landscape Trees '!E628</f>
        <v/>
      </c>
      <c r="E770" s="24" t="str">
        <f>'Landscape Trees '!F628</f>
        <v/>
      </c>
      <c r="F770" s="24" t="str">
        <f>'Landscape Trees '!G628</f>
        <v/>
      </c>
      <c r="G770" s="24" t="str">
        <f>'Landscape Trees '!H628</f>
        <v/>
      </c>
      <c r="H770" s="24" t="str">
        <f>'Landscape Trees '!I628</f>
        <v/>
      </c>
    </row>
    <row r="771">
      <c r="A771" s="24" t="str">
        <f>'Landscape Trees '!A629</f>
        <v/>
      </c>
      <c r="B771" s="24" t="str">
        <f>'Landscape Trees '!C629</f>
        <v/>
      </c>
      <c r="C771" s="24" t="str">
        <f>'Landscape Trees '!D629</f>
        <v/>
      </c>
      <c r="D771" s="24" t="str">
        <f>'Landscape Trees '!E629</f>
        <v/>
      </c>
      <c r="E771" s="24" t="str">
        <f>'Landscape Trees '!F629</f>
        <v/>
      </c>
      <c r="F771" s="24" t="str">
        <f>'Landscape Trees '!G629</f>
        <v/>
      </c>
      <c r="G771" s="24" t="str">
        <f>'Landscape Trees '!H629</f>
        <v/>
      </c>
      <c r="H771" s="24" t="str">
        <f>'Landscape Trees '!I629</f>
        <v/>
      </c>
    </row>
    <row r="772">
      <c r="A772" s="24" t="str">
        <f>'Landscape Trees '!A630</f>
        <v/>
      </c>
      <c r="B772" s="24" t="str">
        <f>'Landscape Trees '!C630</f>
        <v/>
      </c>
      <c r="C772" s="24" t="str">
        <f>'Landscape Trees '!D630</f>
        <v/>
      </c>
      <c r="D772" s="24" t="str">
        <f>'Landscape Trees '!E630</f>
        <v/>
      </c>
      <c r="E772" s="24" t="str">
        <f>'Landscape Trees '!F630</f>
        <v/>
      </c>
      <c r="F772" s="24" t="str">
        <f>'Landscape Trees '!G630</f>
        <v/>
      </c>
      <c r="G772" s="24" t="str">
        <f>'Landscape Trees '!H630</f>
        <v/>
      </c>
      <c r="H772" s="24" t="str">
        <f>'Landscape Trees '!I630</f>
        <v/>
      </c>
    </row>
    <row r="773">
      <c r="A773" s="24" t="str">
        <f>'Landscape Trees '!A631</f>
        <v/>
      </c>
      <c r="B773" s="24" t="str">
        <f>'Landscape Trees '!C631</f>
        <v/>
      </c>
      <c r="C773" s="24" t="str">
        <f>'Landscape Trees '!D631</f>
        <v/>
      </c>
      <c r="D773" s="24" t="str">
        <f>'Landscape Trees '!E631</f>
        <v/>
      </c>
      <c r="E773" s="24" t="str">
        <f>'Landscape Trees '!F631</f>
        <v/>
      </c>
      <c r="F773" s="24" t="str">
        <f>'Landscape Trees '!G631</f>
        <v/>
      </c>
      <c r="G773" s="24" t="str">
        <f>'Landscape Trees '!H631</f>
        <v/>
      </c>
      <c r="H773" s="24" t="str">
        <f>'Landscape Trees '!I631</f>
        <v/>
      </c>
    </row>
    <row r="774">
      <c r="A774" s="24" t="str">
        <f>'Landscape Trees '!A632</f>
        <v/>
      </c>
      <c r="B774" s="24" t="str">
        <f>'Landscape Trees '!C632</f>
        <v/>
      </c>
      <c r="C774" s="24" t="str">
        <f>'Landscape Trees '!D632</f>
        <v/>
      </c>
      <c r="D774" s="24" t="str">
        <f>'Landscape Trees '!E632</f>
        <v/>
      </c>
      <c r="E774" s="24" t="str">
        <f>'Landscape Trees '!F632</f>
        <v/>
      </c>
      <c r="F774" s="24" t="str">
        <f>'Landscape Trees '!G632</f>
        <v/>
      </c>
      <c r="G774" s="24" t="str">
        <f>'Landscape Trees '!H632</f>
        <v/>
      </c>
      <c r="H774" s="24" t="str">
        <f>'Landscape Trees '!I632</f>
        <v/>
      </c>
    </row>
    <row r="775">
      <c r="A775" s="24" t="str">
        <f>'Landscape Trees '!A633</f>
        <v/>
      </c>
      <c r="B775" s="24" t="str">
        <f>'Landscape Trees '!C633</f>
        <v/>
      </c>
      <c r="C775" s="24" t="str">
        <f>'Landscape Trees '!D633</f>
        <v/>
      </c>
      <c r="D775" s="24" t="str">
        <f>'Landscape Trees '!E633</f>
        <v/>
      </c>
      <c r="E775" s="24" t="str">
        <f>'Landscape Trees '!F633</f>
        <v/>
      </c>
      <c r="F775" s="24" t="str">
        <f>'Landscape Trees '!G633</f>
        <v/>
      </c>
      <c r="G775" s="24" t="str">
        <f>'Landscape Trees '!H633</f>
        <v/>
      </c>
      <c r="H775" s="24" t="str">
        <f>'Landscape Trees '!I633</f>
        <v/>
      </c>
    </row>
    <row r="776">
      <c r="A776" s="24" t="str">
        <f>'Landscape Trees '!A634</f>
        <v/>
      </c>
      <c r="B776" s="24" t="str">
        <f>'Landscape Trees '!C634</f>
        <v/>
      </c>
      <c r="C776" s="24" t="str">
        <f>'Landscape Trees '!D634</f>
        <v/>
      </c>
      <c r="D776" s="24" t="str">
        <f>'Landscape Trees '!E634</f>
        <v/>
      </c>
      <c r="E776" s="24" t="str">
        <f>'Landscape Trees '!F634</f>
        <v/>
      </c>
      <c r="F776" s="24" t="str">
        <f>'Landscape Trees '!G634</f>
        <v/>
      </c>
      <c r="G776" s="24" t="str">
        <f>'Landscape Trees '!H634</f>
        <v/>
      </c>
      <c r="H776" s="24" t="str">
        <f>'Landscape Trees '!I634</f>
        <v/>
      </c>
    </row>
    <row r="777">
      <c r="A777" s="24" t="str">
        <f>'Landscape Trees '!A635</f>
        <v/>
      </c>
      <c r="B777" s="24" t="str">
        <f>'Landscape Trees '!C635</f>
        <v/>
      </c>
      <c r="C777" s="24" t="str">
        <f>'Landscape Trees '!D635</f>
        <v/>
      </c>
      <c r="D777" s="24" t="str">
        <f>'Landscape Trees '!E635</f>
        <v/>
      </c>
      <c r="E777" s="24" t="str">
        <f>'Landscape Trees '!F635</f>
        <v/>
      </c>
      <c r="F777" s="24" t="str">
        <f>'Landscape Trees '!G635</f>
        <v/>
      </c>
      <c r="G777" s="24" t="str">
        <f>'Landscape Trees '!H635</f>
        <v/>
      </c>
      <c r="H777" s="24" t="str">
        <f>'Landscape Trees '!I635</f>
        <v/>
      </c>
    </row>
    <row r="778">
      <c r="A778" s="24" t="str">
        <f>'Landscape Trees '!A636</f>
        <v/>
      </c>
      <c r="B778" s="24" t="str">
        <f>'Landscape Trees '!C636</f>
        <v/>
      </c>
      <c r="C778" s="24" t="str">
        <f>'Landscape Trees '!D636</f>
        <v/>
      </c>
      <c r="D778" s="24" t="str">
        <f>'Landscape Trees '!E636</f>
        <v/>
      </c>
      <c r="E778" s="24" t="str">
        <f>'Landscape Trees '!F636</f>
        <v/>
      </c>
      <c r="F778" s="24" t="str">
        <f>'Landscape Trees '!G636</f>
        <v/>
      </c>
      <c r="G778" s="24" t="str">
        <f>'Landscape Trees '!H636</f>
        <v/>
      </c>
      <c r="H778" s="24" t="str">
        <f>'Landscape Trees '!I636</f>
        <v/>
      </c>
    </row>
    <row r="779">
      <c r="A779" s="24" t="str">
        <f>'Landscape Trees '!A637</f>
        <v/>
      </c>
      <c r="B779" s="24" t="str">
        <f>'Landscape Trees '!C637</f>
        <v/>
      </c>
      <c r="C779" s="24" t="str">
        <f>'Landscape Trees '!D637</f>
        <v/>
      </c>
      <c r="D779" s="24" t="str">
        <f>'Landscape Trees '!E637</f>
        <v/>
      </c>
      <c r="E779" s="24" t="str">
        <f>'Landscape Trees '!F637</f>
        <v/>
      </c>
      <c r="F779" s="24" t="str">
        <f>'Landscape Trees '!G637</f>
        <v/>
      </c>
      <c r="G779" s="24" t="str">
        <f>'Landscape Trees '!H637</f>
        <v/>
      </c>
      <c r="H779" s="24" t="str">
        <f>'Landscape Trees '!I637</f>
        <v/>
      </c>
    </row>
    <row r="780">
      <c r="A780" s="24" t="str">
        <f>'Landscape Trees '!A638</f>
        <v/>
      </c>
      <c r="B780" s="24" t="str">
        <f>'Landscape Trees '!C638</f>
        <v/>
      </c>
      <c r="C780" s="24" t="str">
        <f>'Landscape Trees '!D638</f>
        <v/>
      </c>
      <c r="D780" s="24" t="str">
        <f>'Landscape Trees '!E638</f>
        <v/>
      </c>
      <c r="E780" s="24" t="str">
        <f>'Landscape Trees '!F638</f>
        <v/>
      </c>
      <c r="F780" s="24" t="str">
        <f>'Landscape Trees '!G638</f>
        <v/>
      </c>
      <c r="G780" s="24" t="str">
        <f>'Landscape Trees '!H638</f>
        <v/>
      </c>
      <c r="H780" s="24" t="str">
        <f>'Landscape Trees '!I638</f>
        <v/>
      </c>
    </row>
    <row r="781">
      <c r="A781" s="24" t="str">
        <f>'Landscape Trees '!A639</f>
        <v/>
      </c>
      <c r="B781" s="24" t="str">
        <f>'Landscape Trees '!C639</f>
        <v/>
      </c>
      <c r="C781" s="24" t="str">
        <f>'Landscape Trees '!D639</f>
        <v/>
      </c>
      <c r="D781" s="24" t="str">
        <f>'Landscape Trees '!E639</f>
        <v/>
      </c>
      <c r="E781" s="24" t="str">
        <f>'Landscape Trees '!F639</f>
        <v/>
      </c>
      <c r="F781" s="24" t="str">
        <f>'Landscape Trees '!G639</f>
        <v/>
      </c>
      <c r="G781" s="24" t="str">
        <f>'Landscape Trees '!H639</f>
        <v/>
      </c>
      <c r="H781" s="24" t="str">
        <f>'Landscape Trees '!I639</f>
        <v/>
      </c>
    </row>
    <row r="782">
      <c r="A782" s="24" t="str">
        <f>'Landscape Trees '!A640</f>
        <v/>
      </c>
      <c r="B782" s="24" t="str">
        <f>'Landscape Trees '!C640</f>
        <v/>
      </c>
      <c r="C782" s="24" t="str">
        <f>'Landscape Trees '!D640</f>
        <v/>
      </c>
      <c r="D782" s="24" t="str">
        <f>'Landscape Trees '!E640</f>
        <v/>
      </c>
      <c r="E782" s="24" t="str">
        <f>'Landscape Trees '!F640</f>
        <v/>
      </c>
      <c r="F782" s="24" t="str">
        <f>'Landscape Trees '!G640</f>
        <v/>
      </c>
      <c r="G782" s="24" t="str">
        <f>'Landscape Trees '!H640</f>
        <v/>
      </c>
      <c r="H782" s="24" t="str">
        <f>'Landscape Trees '!I640</f>
        <v/>
      </c>
    </row>
    <row r="783">
      <c r="A783" s="24" t="str">
        <f>'Landscape Trees '!A641</f>
        <v/>
      </c>
      <c r="B783" s="24" t="str">
        <f>'Landscape Trees '!C641</f>
        <v/>
      </c>
      <c r="C783" s="24" t="str">
        <f>'Landscape Trees '!D641</f>
        <v/>
      </c>
      <c r="D783" s="24" t="str">
        <f>'Landscape Trees '!E641</f>
        <v/>
      </c>
      <c r="E783" s="24" t="str">
        <f>'Landscape Trees '!F641</f>
        <v/>
      </c>
      <c r="F783" s="24" t="str">
        <f>'Landscape Trees '!G641</f>
        <v/>
      </c>
      <c r="G783" s="24" t="str">
        <f>'Landscape Trees '!H641</f>
        <v/>
      </c>
      <c r="H783" s="24" t="str">
        <f>'Landscape Trees '!I641</f>
        <v/>
      </c>
    </row>
    <row r="784">
      <c r="A784" s="24" t="str">
        <f>'Landscape Trees '!A642</f>
        <v/>
      </c>
      <c r="B784" s="24" t="str">
        <f>'Landscape Trees '!C642</f>
        <v/>
      </c>
      <c r="C784" s="24" t="str">
        <f>'Landscape Trees '!D642</f>
        <v/>
      </c>
      <c r="D784" s="24" t="str">
        <f>'Landscape Trees '!E642</f>
        <v/>
      </c>
      <c r="E784" s="24" t="str">
        <f>'Landscape Trees '!F642</f>
        <v/>
      </c>
      <c r="F784" s="24" t="str">
        <f>'Landscape Trees '!G642</f>
        <v/>
      </c>
      <c r="G784" s="24" t="str">
        <f>'Landscape Trees '!H642</f>
        <v/>
      </c>
      <c r="H784" s="24" t="str">
        <f>'Landscape Trees '!I642</f>
        <v/>
      </c>
    </row>
    <row r="785">
      <c r="A785" s="24" t="str">
        <f>'Landscape Trees '!A643</f>
        <v/>
      </c>
      <c r="B785" s="24" t="str">
        <f>'Landscape Trees '!C643</f>
        <v/>
      </c>
      <c r="C785" s="24" t="str">
        <f>'Landscape Trees '!D643</f>
        <v/>
      </c>
      <c r="D785" s="24" t="str">
        <f>'Landscape Trees '!E643</f>
        <v/>
      </c>
      <c r="E785" s="24" t="str">
        <f>'Landscape Trees '!F643</f>
        <v/>
      </c>
      <c r="F785" s="24" t="str">
        <f>'Landscape Trees '!G643</f>
        <v/>
      </c>
      <c r="G785" s="24" t="str">
        <f>'Landscape Trees '!H643</f>
        <v/>
      </c>
      <c r="H785" s="24" t="str">
        <f>'Landscape Trees '!I643</f>
        <v/>
      </c>
    </row>
    <row r="786">
      <c r="A786" s="24" t="str">
        <f>'Landscape Trees '!A644</f>
        <v/>
      </c>
      <c r="B786" s="24" t="str">
        <f>'Landscape Trees '!C644</f>
        <v/>
      </c>
      <c r="C786" s="24" t="str">
        <f>'Landscape Trees '!D644</f>
        <v/>
      </c>
      <c r="D786" s="24" t="str">
        <f>'Landscape Trees '!E644</f>
        <v/>
      </c>
      <c r="E786" s="24" t="str">
        <f>'Landscape Trees '!F644</f>
        <v/>
      </c>
      <c r="F786" s="24" t="str">
        <f>'Landscape Trees '!G644</f>
        <v/>
      </c>
      <c r="G786" s="24" t="str">
        <f>'Landscape Trees '!H644</f>
        <v/>
      </c>
      <c r="H786" s="24" t="str">
        <f>'Landscape Trees '!I644</f>
        <v/>
      </c>
    </row>
    <row r="787">
      <c r="A787" s="24" t="str">
        <f>'Landscape Trees '!A645</f>
        <v/>
      </c>
      <c r="B787" s="24" t="str">
        <f>'Landscape Trees '!C645</f>
        <v/>
      </c>
      <c r="C787" s="24" t="str">
        <f>'Landscape Trees '!D645</f>
        <v/>
      </c>
      <c r="D787" s="24" t="str">
        <f>'Landscape Trees '!E645</f>
        <v/>
      </c>
      <c r="E787" s="24" t="str">
        <f>'Landscape Trees '!F645</f>
        <v/>
      </c>
      <c r="F787" s="24" t="str">
        <f>'Landscape Trees '!G645</f>
        <v/>
      </c>
      <c r="G787" s="24" t="str">
        <f>'Landscape Trees '!H645</f>
        <v/>
      </c>
      <c r="H787" s="24" t="str">
        <f>'Landscape Trees '!I645</f>
        <v/>
      </c>
    </row>
    <row r="788">
      <c r="A788" s="24" t="str">
        <f>'Landscape Trees '!A646</f>
        <v/>
      </c>
      <c r="B788" s="24" t="str">
        <f>'Landscape Trees '!C646</f>
        <v/>
      </c>
      <c r="C788" s="24" t="str">
        <f>'Landscape Trees '!D646</f>
        <v/>
      </c>
      <c r="D788" s="24" t="str">
        <f>'Landscape Trees '!E646</f>
        <v/>
      </c>
      <c r="E788" s="24" t="str">
        <f>'Landscape Trees '!F646</f>
        <v/>
      </c>
      <c r="F788" s="24" t="str">
        <f>'Landscape Trees '!G646</f>
        <v/>
      </c>
      <c r="G788" s="24" t="str">
        <f>'Landscape Trees '!H646</f>
        <v/>
      </c>
      <c r="H788" s="24" t="str">
        <f>'Landscape Trees '!I646</f>
        <v/>
      </c>
    </row>
    <row r="789">
      <c r="A789" s="24" t="str">
        <f>'Landscape Trees '!A647</f>
        <v/>
      </c>
      <c r="B789" s="24" t="str">
        <f>'Landscape Trees '!C647</f>
        <v/>
      </c>
      <c r="C789" s="24" t="str">
        <f>'Landscape Trees '!D647</f>
        <v/>
      </c>
      <c r="D789" s="24" t="str">
        <f>'Landscape Trees '!E647</f>
        <v/>
      </c>
      <c r="E789" s="24" t="str">
        <f>'Landscape Trees '!F647</f>
        <v/>
      </c>
      <c r="F789" s="24" t="str">
        <f>'Landscape Trees '!G647</f>
        <v/>
      </c>
      <c r="G789" s="24" t="str">
        <f>'Landscape Trees '!H647</f>
        <v/>
      </c>
      <c r="H789" s="24" t="str">
        <f>'Landscape Trees '!I647</f>
        <v/>
      </c>
    </row>
    <row r="790">
      <c r="A790" s="24" t="str">
        <f>'Landscape Trees '!A648</f>
        <v/>
      </c>
      <c r="B790" s="24" t="str">
        <f>'Landscape Trees '!C648</f>
        <v/>
      </c>
      <c r="C790" s="24" t="str">
        <f>'Landscape Trees '!D648</f>
        <v/>
      </c>
      <c r="D790" s="24" t="str">
        <f>'Landscape Trees '!E648</f>
        <v/>
      </c>
      <c r="E790" s="24" t="str">
        <f>'Landscape Trees '!F648</f>
        <v/>
      </c>
      <c r="F790" s="24" t="str">
        <f>'Landscape Trees '!G648</f>
        <v/>
      </c>
      <c r="G790" s="24" t="str">
        <f>'Landscape Trees '!H648</f>
        <v/>
      </c>
      <c r="H790" s="24" t="str">
        <f>'Landscape Trees '!I648</f>
        <v/>
      </c>
    </row>
    <row r="791">
      <c r="A791" s="24" t="str">
        <f>'Landscape Trees '!A649</f>
        <v/>
      </c>
      <c r="B791" s="24" t="str">
        <f>'Landscape Trees '!C649</f>
        <v/>
      </c>
      <c r="C791" s="24" t="str">
        <f>'Landscape Trees '!D649</f>
        <v/>
      </c>
      <c r="D791" s="24" t="str">
        <f>'Landscape Trees '!E649</f>
        <v/>
      </c>
      <c r="E791" s="24" t="str">
        <f>'Landscape Trees '!F649</f>
        <v/>
      </c>
      <c r="F791" s="24" t="str">
        <f>'Landscape Trees '!G649</f>
        <v/>
      </c>
      <c r="G791" s="24" t="str">
        <f>'Landscape Trees '!H649</f>
        <v/>
      </c>
      <c r="H791" s="24" t="str">
        <f>'Landscape Trees '!I649</f>
        <v/>
      </c>
    </row>
    <row r="792">
      <c r="A792" s="24" t="str">
        <f>'Landscape Trees '!A650</f>
        <v/>
      </c>
      <c r="B792" s="24" t="str">
        <f>'Landscape Trees '!C650</f>
        <v/>
      </c>
      <c r="C792" s="24" t="str">
        <f>'Landscape Trees '!D650</f>
        <v/>
      </c>
      <c r="D792" s="24" t="str">
        <f>'Landscape Trees '!E650</f>
        <v/>
      </c>
      <c r="E792" s="24" t="str">
        <f>'Landscape Trees '!F650</f>
        <v/>
      </c>
      <c r="F792" s="24" t="str">
        <f>'Landscape Trees '!G650</f>
        <v/>
      </c>
      <c r="G792" s="24" t="str">
        <f>'Landscape Trees '!H650</f>
        <v/>
      </c>
      <c r="H792" s="24" t="str">
        <f>'Landscape Trees '!I650</f>
        <v/>
      </c>
    </row>
    <row r="793">
      <c r="A793" s="24" t="str">
        <f>'Landscape Trees '!A651</f>
        <v/>
      </c>
      <c r="B793" s="24" t="str">
        <f>'Landscape Trees '!C651</f>
        <v/>
      </c>
      <c r="C793" s="24" t="str">
        <f>'Landscape Trees '!D651</f>
        <v/>
      </c>
      <c r="D793" s="24" t="str">
        <f>'Landscape Trees '!E651</f>
        <v/>
      </c>
      <c r="E793" s="24" t="str">
        <f>'Landscape Trees '!F651</f>
        <v/>
      </c>
      <c r="F793" s="24" t="str">
        <f>'Landscape Trees '!G651</f>
        <v/>
      </c>
      <c r="G793" s="24" t="str">
        <f>'Landscape Trees '!H651</f>
        <v/>
      </c>
      <c r="H793" s="24" t="str">
        <f>'Landscape Trees '!I651</f>
        <v/>
      </c>
    </row>
    <row r="794">
      <c r="A794" s="24" t="str">
        <f>'Landscape Trees '!A652</f>
        <v/>
      </c>
      <c r="B794" s="24" t="str">
        <f>'Landscape Trees '!C652</f>
        <v/>
      </c>
      <c r="C794" s="24" t="str">
        <f>'Landscape Trees '!D652</f>
        <v/>
      </c>
      <c r="D794" s="24" t="str">
        <f>'Landscape Trees '!E652</f>
        <v/>
      </c>
      <c r="E794" s="24" t="str">
        <f>'Landscape Trees '!F652</f>
        <v/>
      </c>
      <c r="F794" s="24" t="str">
        <f>'Landscape Trees '!G652</f>
        <v/>
      </c>
      <c r="G794" s="24" t="str">
        <f>'Landscape Trees '!H652</f>
        <v/>
      </c>
      <c r="H794" s="24" t="str">
        <f>'Landscape Trees '!I652</f>
        <v/>
      </c>
    </row>
    <row r="795">
      <c r="A795" s="24" t="str">
        <f>'Landscape Trees '!A653</f>
        <v/>
      </c>
      <c r="B795" s="24" t="str">
        <f>'Landscape Trees '!C653</f>
        <v/>
      </c>
      <c r="C795" s="24" t="str">
        <f>'Landscape Trees '!D653</f>
        <v/>
      </c>
      <c r="D795" s="24" t="str">
        <f>'Landscape Trees '!E653</f>
        <v/>
      </c>
      <c r="E795" s="24" t="str">
        <f>'Landscape Trees '!F653</f>
        <v/>
      </c>
      <c r="F795" s="24" t="str">
        <f>'Landscape Trees '!G653</f>
        <v/>
      </c>
      <c r="G795" s="24" t="str">
        <f>'Landscape Trees '!H653</f>
        <v/>
      </c>
      <c r="H795" s="24" t="str">
        <f>'Landscape Trees '!I653</f>
        <v/>
      </c>
    </row>
    <row r="796">
      <c r="A796" s="24" t="str">
        <f>'Landscape Trees '!A654</f>
        <v/>
      </c>
      <c r="B796" s="24" t="str">
        <f>'Landscape Trees '!C654</f>
        <v/>
      </c>
      <c r="C796" s="24" t="str">
        <f>'Landscape Trees '!D654</f>
        <v/>
      </c>
      <c r="D796" s="24" t="str">
        <f>'Landscape Trees '!E654</f>
        <v/>
      </c>
      <c r="E796" s="24" t="str">
        <f>'Landscape Trees '!F654</f>
        <v/>
      </c>
      <c r="F796" s="24" t="str">
        <f>'Landscape Trees '!G654</f>
        <v/>
      </c>
      <c r="G796" s="24" t="str">
        <f>'Landscape Trees '!H654</f>
        <v/>
      </c>
      <c r="H796" s="24" t="str">
        <f>'Landscape Trees '!I654</f>
        <v/>
      </c>
    </row>
    <row r="797">
      <c r="A797" s="24" t="str">
        <f>'Landscape Trees '!A655</f>
        <v/>
      </c>
      <c r="B797" s="24" t="str">
        <f>'Landscape Trees '!C655</f>
        <v/>
      </c>
      <c r="C797" s="24" t="str">
        <f>'Landscape Trees '!D655</f>
        <v/>
      </c>
      <c r="D797" s="24" t="str">
        <f>'Landscape Trees '!E655</f>
        <v/>
      </c>
      <c r="E797" s="24" t="str">
        <f>'Landscape Trees '!F655</f>
        <v/>
      </c>
      <c r="F797" s="24" t="str">
        <f>'Landscape Trees '!G655</f>
        <v/>
      </c>
      <c r="G797" s="24" t="str">
        <f>'Landscape Trees '!H655</f>
        <v/>
      </c>
      <c r="H797" s="24" t="str">
        <f>'Landscape Trees '!I655</f>
        <v/>
      </c>
    </row>
    <row r="798">
      <c r="A798" s="24" t="str">
        <f>'Landscape Trees '!A656</f>
        <v/>
      </c>
      <c r="B798" s="24" t="str">
        <f>'Landscape Trees '!C656</f>
        <v/>
      </c>
      <c r="C798" s="24" t="str">
        <f>'Landscape Trees '!D656</f>
        <v/>
      </c>
      <c r="D798" s="24" t="str">
        <f>'Landscape Trees '!E656</f>
        <v/>
      </c>
      <c r="E798" s="24" t="str">
        <f>'Landscape Trees '!F656</f>
        <v/>
      </c>
      <c r="F798" s="24" t="str">
        <f>'Landscape Trees '!G656</f>
        <v/>
      </c>
      <c r="G798" s="24" t="str">
        <f>'Landscape Trees '!H656</f>
        <v/>
      </c>
      <c r="H798" s="24" t="str">
        <f>'Landscape Trees '!I656</f>
        <v/>
      </c>
    </row>
    <row r="799">
      <c r="A799" s="24" t="str">
        <f>'Landscape Trees '!A657</f>
        <v/>
      </c>
      <c r="B799" s="24" t="str">
        <f>'Landscape Trees '!C657</f>
        <v/>
      </c>
      <c r="C799" s="24" t="str">
        <f>'Landscape Trees '!D657</f>
        <v/>
      </c>
      <c r="D799" s="24" t="str">
        <f>'Landscape Trees '!E657</f>
        <v/>
      </c>
      <c r="E799" s="24" t="str">
        <f>'Landscape Trees '!F657</f>
        <v/>
      </c>
      <c r="F799" s="24" t="str">
        <f>'Landscape Trees '!G657</f>
        <v/>
      </c>
      <c r="G799" s="24" t="str">
        <f>'Landscape Trees '!H657</f>
        <v/>
      </c>
      <c r="H799" s="24" t="str">
        <f>'Landscape Trees '!I657</f>
        <v/>
      </c>
    </row>
    <row r="800">
      <c r="A800" s="24" t="str">
        <f>'Landscape Trees '!A658</f>
        <v/>
      </c>
      <c r="B800" s="24" t="str">
        <f>'Landscape Trees '!C658</f>
        <v/>
      </c>
      <c r="C800" s="24" t="str">
        <f>'Landscape Trees '!D658</f>
        <v/>
      </c>
      <c r="D800" s="24" t="str">
        <f>'Landscape Trees '!E658</f>
        <v/>
      </c>
      <c r="E800" s="24" t="str">
        <f>'Landscape Trees '!F658</f>
        <v/>
      </c>
      <c r="F800" s="24" t="str">
        <f>'Landscape Trees '!G658</f>
        <v/>
      </c>
      <c r="G800" s="24" t="str">
        <f>'Landscape Trees '!H658</f>
        <v/>
      </c>
      <c r="H800" s="24" t="str">
        <f>'Landscape Trees '!I658</f>
        <v/>
      </c>
    </row>
    <row r="801">
      <c r="A801" s="24" t="str">
        <f>'Landscape Trees '!A659</f>
        <v/>
      </c>
      <c r="B801" s="24" t="str">
        <f>'Landscape Trees '!C659</f>
        <v/>
      </c>
      <c r="C801" s="24" t="str">
        <f>'Landscape Trees '!D659</f>
        <v/>
      </c>
      <c r="D801" s="24" t="str">
        <f>'Landscape Trees '!E659</f>
        <v/>
      </c>
      <c r="E801" s="24" t="str">
        <f>'Landscape Trees '!F659</f>
        <v/>
      </c>
      <c r="F801" s="24" t="str">
        <f>'Landscape Trees '!G659</f>
        <v/>
      </c>
      <c r="G801" s="24" t="str">
        <f>'Landscape Trees '!H659</f>
        <v/>
      </c>
      <c r="H801" s="24" t="str">
        <f>'Landscape Trees '!I659</f>
        <v/>
      </c>
    </row>
    <row r="802">
      <c r="A802" s="24" t="str">
        <f>'Landscape Trees '!A660</f>
        <v/>
      </c>
      <c r="B802" s="24" t="str">
        <f>'Landscape Trees '!C660</f>
        <v/>
      </c>
      <c r="C802" s="24" t="str">
        <f>'Landscape Trees '!D660</f>
        <v/>
      </c>
      <c r="D802" s="24" t="str">
        <f>'Landscape Trees '!E660</f>
        <v/>
      </c>
      <c r="E802" s="24" t="str">
        <f>'Landscape Trees '!F660</f>
        <v/>
      </c>
      <c r="F802" s="24" t="str">
        <f>'Landscape Trees '!G660</f>
        <v/>
      </c>
      <c r="G802" s="24" t="str">
        <f>'Landscape Trees '!H660</f>
        <v/>
      </c>
      <c r="H802" s="24" t="str">
        <f>'Landscape Trees '!I660</f>
        <v/>
      </c>
    </row>
    <row r="803">
      <c r="A803" s="24" t="str">
        <f>'Landscape Trees '!A661</f>
        <v/>
      </c>
      <c r="B803" s="24" t="str">
        <f>'Landscape Trees '!C661</f>
        <v/>
      </c>
      <c r="C803" s="24" t="str">
        <f>'Landscape Trees '!D661</f>
        <v/>
      </c>
      <c r="D803" s="24" t="str">
        <f>'Landscape Trees '!E661</f>
        <v/>
      </c>
      <c r="E803" s="24" t="str">
        <f>'Landscape Trees '!F661</f>
        <v/>
      </c>
      <c r="F803" s="24" t="str">
        <f>'Landscape Trees '!G661</f>
        <v/>
      </c>
      <c r="G803" s="24" t="str">
        <f>'Landscape Trees '!H661</f>
        <v/>
      </c>
      <c r="H803" s="24" t="str">
        <f>'Landscape Trees '!I661</f>
        <v/>
      </c>
    </row>
    <row r="804">
      <c r="A804" s="24" t="str">
        <f>'Landscape Trees '!A662</f>
        <v/>
      </c>
      <c r="B804" s="24" t="str">
        <f>'Landscape Trees '!C662</f>
        <v/>
      </c>
      <c r="C804" s="24" t="str">
        <f>'Landscape Trees '!D662</f>
        <v/>
      </c>
      <c r="D804" s="24" t="str">
        <f>'Landscape Trees '!E662</f>
        <v/>
      </c>
      <c r="E804" s="24" t="str">
        <f>'Landscape Trees '!F662</f>
        <v/>
      </c>
      <c r="F804" s="24" t="str">
        <f>'Landscape Trees '!G662</f>
        <v/>
      </c>
      <c r="G804" s="24" t="str">
        <f>'Landscape Trees '!H662</f>
        <v/>
      </c>
      <c r="H804" s="24" t="str">
        <f>'Landscape Trees '!I662</f>
        <v/>
      </c>
    </row>
    <row r="805">
      <c r="A805" s="24" t="str">
        <f>'Landscape Trees '!A663</f>
        <v/>
      </c>
      <c r="B805" s="24" t="str">
        <f>'Landscape Trees '!C663</f>
        <v/>
      </c>
      <c r="C805" s="24" t="str">
        <f>'Landscape Trees '!D663</f>
        <v/>
      </c>
      <c r="D805" s="24" t="str">
        <f>'Landscape Trees '!E663</f>
        <v/>
      </c>
      <c r="E805" s="24" t="str">
        <f>'Landscape Trees '!F663</f>
        <v/>
      </c>
      <c r="F805" s="24" t="str">
        <f>'Landscape Trees '!G663</f>
        <v/>
      </c>
      <c r="G805" s="24" t="str">
        <f>'Landscape Trees '!H663</f>
        <v/>
      </c>
      <c r="H805" s="24" t="str">
        <f>'Landscape Trees '!I663</f>
        <v/>
      </c>
    </row>
    <row r="806">
      <c r="A806" s="24" t="str">
        <f>'Landscape Trees '!A664</f>
        <v/>
      </c>
      <c r="B806" s="24" t="str">
        <f>'Landscape Trees '!C664</f>
        <v/>
      </c>
      <c r="C806" s="24" t="str">
        <f>'Landscape Trees '!D664</f>
        <v/>
      </c>
      <c r="D806" s="24" t="str">
        <f>'Landscape Trees '!E664</f>
        <v/>
      </c>
      <c r="E806" s="24" t="str">
        <f>'Landscape Trees '!F664</f>
        <v/>
      </c>
      <c r="F806" s="24" t="str">
        <f>'Landscape Trees '!G664</f>
        <v/>
      </c>
      <c r="G806" s="24" t="str">
        <f>'Landscape Trees '!H664</f>
        <v/>
      </c>
      <c r="H806" s="24" t="str">
        <f>'Landscape Trees '!I664</f>
        <v/>
      </c>
    </row>
    <row r="807">
      <c r="A807" s="24" t="str">
        <f>'Landscape Trees '!A665</f>
        <v/>
      </c>
      <c r="B807" s="24" t="str">
        <f>'Landscape Trees '!C665</f>
        <v/>
      </c>
      <c r="C807" s="24" t="str">
        <f>'Landscape Trees '!D665</f>
        <v/>
      </c>
      <c r="D807" s="24" t="str">
        <f>'Landscape Trees '!E665</f>
        <v/>
      </c>
      <c r="E807" s="24" t="str">
        <f>'Landscape Trees '!F665</f>
        <v/>
      </c>
      <c r="F807" s="24" t="str">
        <f>'Landscape Trees '!G665</f>
        <v/>
      </c>
      <c r="G807" s="24" t="str">
        <f>'Landscape Trees '!H665</f>
        <v/>
      </c>
      <c r="H807" s="24" t="str">
        <f>'Landscape Trees '!I665</f>
        <v/>
      </c>
    </row>
    <row r="808">
      <c r="A808" s="24" t="str">
        <f>'Landscape Trees '!A666</f>
        <v/>
      </c>
      <c r="B808" s="24" t="str">
        <f>'Landscape Trees '!C666</f>
        <v/>
      </c>
      <c r="C808" s="24" t="str">
        <f>'Landscape Trees '!D666</f>
        <v/>
      </c>
      <c r="D808" s="24" t="str">
        <f>'Landscape Trees '!E666</f>
        <v/>
      </c>
      <c r="E808" s="24" t="str">
        <f>'Landscape Trees '!F666</f>
        <v/>
      </c>
      <c r="F808" s="24" t="str">
        <f>'Landscape Trees '!G666</f>
        <v/>
      </c>
      <c r="G808" s="24" t="str">
        <f>'Landscape Trees '!H666</f>
        <v/>
      </c>
      <c r="H808" s="24" t="str">
        <f>'Landscape Trees '!I666</f>
        <v/>
      </c>
    </row>
    <row r="809">
      <c r="A809" s="24" t="str">
        <f>'Landscape Trees '!A667</f>
        <v/>
      </c>
      <c r="B809" s="24" t="str">
        <f>'Landscape Trees '!C667</f>
        <v/>
      </c>
      <c r="C809" s="24" t="str">
        <f>'Landscape Trees '!D667</f>
        <v/>
      </c>
      <c r="D809" s="24" t="str">
        <f>'Landscape Trees '!E667</f>
        <v/>
      </c>
      <c r="E809" s="24" t="str">
        <f>'Landscape Trees '!F667</f>
        <v/>
      </c>
      <c r="F809" s="24" t="str">
        <f>'Landscape Trees '!G667</f>
        <v/>
      </c>
      <c r="G809" s="24" t="str">
        <f>'Landscape Trees '!H667</f>
        <v/>
      </c>
      <c r="H809" s="24" t="str">
        <f>'Landscape Trees '!I667</f>
        <v/>
      </c>
    </row>
    <row r="810">
      <c r="A810" s="24" t="str">
        <f>'Landscape Trees '!A668</f>
        <v/>
      </c>
      <c r="B810" s="24" t="str">
        <f>'Landscape Trees '!C668</f>
        <v/>
      </c>
      <c r="C810" s="24" t="str">
        <f>'Landscape Trees '!D668</f>
        <v/>
      </c>
      <c r="D810" s="24" t="str">
        <f>'Landscape Trees '!E668</f>
        <v/>
      </c>
      <c r="E810" s="24" t="str">
        <f>'Landscape Trees '!F668</f>
        <v/>
      </c>
      <c r="F810" s="24" t="str">
        <f>'Landscape Trees '!G668</f>
        <v/>
      </c>
      <c r="G810" s="24" t="str">
        <f>'Landscape Trees '!H668</f>
        <v/>
      </c>
      <c r="H810" s="24" t="str">
        <f>'Landscape Trees '!I668</f>
        <v/>
      </c>
    </row>
    <row r="811">
      <c r="A811" s="24" t="str">
        <f>'Landscape Trees '!A669</f>
        <v/>
      </c>
      <c r="B811" s="24" t="str">
        <f>'Landscape Trees '!C669</f>
        <v/>
      </c>
      <c r="C811" s="24" t="str">
        <f>'Landscape Trees '!D669</f>
        <v/>
      </c>
      <c r="D811" s="24" t="str">
        <f>'Landscape Trees '!E669</f>
        <v/>
      </c>
      <c r="E811" s="24" t="str">
        <f>'Landscape Trees '!F669</f>
        <v/>
      </c>
      <c r="F811" s="24" t="str">
        <f>'Landscape Trees '!G669</f>
        <v/>
      </c>
      <c r="G811" s="24" t="str">
        <f>'Landscape Trees '!H669</f>
        <v/>
      </c>
      <c r="H811" s="24" t="str">
        <f>'Landscape Trees '!I669</f>
        <v/>
      </c>
    </row>
    <row r="812">
      <c r="A812" s="24" t="str">
        <f>'Landscape Trees '!A670</f>
        <v/>
      </c>
      <c r="B812" s="24" t="str">
        <f>'Landscape Trees '!C670</f>
        <v/>
      </c>
      <c r="C812" s="24" t="str">
        <f>'Landscape Trees '!D670</f>
        <v/>
      </c>
      <c r="D812" s="24" t="str">
        <f>'Landscape Trees '!E670</f>
        <v/>
      </c>
      <c r="E812" s="24" t="str">
        <f>'Landscape Trees '!F670</f>
        <v/>
      </c>
      <c r="F812" s="24" t="str">
        <f>'Landscape Trees '!G670</f>
        <v/>
      </c>
      <c r="G812" s="24" t="str">
        <f>'Landscape Trees '!H670</f>
        <v/>
      </c>
      <c r="H812" s="24" t="str">
        <f>'Landscape Trees '!I670</f>
        <v/>
      </c>
    </row>
    <row r="813">
      <c r="A813" s="24" t="str">
        <f>'Landscape Trees '!A671</f>
        <v/>
      </c>
      <c r="B813" s="24" t="str">
        <f>'Landscape Trees '!C671</f>
        <v/>
      </c>
      <c r="C813" s="24" t="str">
        <f>'Landscape Trees '!D671</f>
        <v/>
      </c>
      <c r="D813" s="24" t="str">
        <f>'Landscape Trees '!E671</f>
        <v/>
      </c>
      <c r="E813" s="24" t="str">
        <f>'Landscape Trees '!F671</f>
        <v/>
      </c>
      <c r="F813" s="24" t="str">
        <f>'Landscape Trees '!G671</f>
        <v/>
      </c>
      <c r="G813" s="24" t="str">
        <f>'Landscape Trees '!H671</f>
        <v/>
      </c>
      <c r="H813" s="24" t="str">
        <f>'Landscape Trees '!I671</f>
        <v/>
      </c>
    </row>
    <row r="814">
      <c r="A814" s="24" t="str">
        <f>'Landscape Trees '!A672</f>
        <v/>
      </c>
      <c r="B814" s="24" t="str">
        <f>'Landscape Trees '!C672</f>
        <v/>
      </c>
      <c r="C814" s="24" t="str">
        <f>'Landscape Trees '!D672</f>
        <v/>
      </c>
      <c r="D814" s="24" t="str">
        <f>'Landscape Trees '!E672</f>
        <v/>
      </c>
      <c r="E814" s="24" t="str">
        <f>'Landscape Trees '!F672</f>
        <v/>
      </c>
      <c r="F814" s="24" t="str">
        <f>'Landscape Trees '!G672</f>
        <v/>
      </c>
      <c r="G814" s="24" t="str">
        <f>'Landscape Trees '!H672</f>
        <v/>
      </c>
      <c r="H814" s="24" t="str">
        <f>'Landscape Trees '!I672</f>
        <v/>
      </c>
    </row>
    <row r="815">
      <c r="A815" s="24" t="str">
        <f>'Landscape Trees '!A673</f>
        <v/>
      </c>
      <c r="B815" s="24" t="str">
        <f>'Landscape Trees '!C673</f>
        <v/>
      </c>
      <c r="C815" s="24" t="str">
        <f>'Landscape Trees '!D673</f>
        <v/>
      </c>
      <c r="D815" s="24" t="str">
        <f>'Landscape Trees '!E673</f>
        <v/>
      </c>
      <c r="E815" s="24" t="str">
        <f>'Landscape Trees '!F673</f>
        <v/>
      </c>
      <c r="F815" s="24" t="str">
        <f>'Landscape Trees '!G673</f>
        <v/>
      </c>
      <c r="G815" s="24" t="str">
        <f>'Landscape Trees '!H673</f>
        <v/>
      </c>
      <c r="H815" s="24" t="str">
        <f>'Landscape Trees '!I673</f>
        <v/>
      </c>
    </row>
    <row r="816">
      <c r="A816" s="24" t="str">
        <f>'Landscape Trees '!A674</f>
        <v/>
      </c>
      <c r="B816" s="24" t="str">
        <f>'Landscape Trees '!C674</f>
        <v/>
      </c>
      <c r="C816" s="24" t="str">
        <f>'Landscape Trees '!D674</f>
        <v/>
      </c>
      <c r="D816" s="24" t="str">
        <f>'Landscape Trees '!E674</f>
        <v/>
      </c>
      <c r="E816" s="24" t="str">
        <f>'Landscape Trees '!F674</f>
        <v/>
      </c>
      <c r="F816" s="24" t="str">
        <f>'Landscape Trees '!G674</f>
        <v/>
      </c>
      <c r="G816" s="24" t="str">
        <f>'Landscape Trees '!H674</f>
        <v/>
      </c>
      <c r="H816" s="24" t="str">
        <f>'Landscape Trees '!I674</f>
        <v/>
      </c>
    </row>
    <row r="817">
      <c r="A817" s="24" t="str">
        <f>'Landscape Trees '!A675</f>
        <v/>
      </c>
      <c r="B817" s="24" t="str">
        <f>'Landscape Trees '!C675</f>
        <v/>
      </c>
      <c r="C817" s="24" t="str">
        <f>'Landscape Trees '!D675</f>
        <v/>
      </c>
      <c r="D817" s="24" t="str">
        <f>'Landscape Trees '!E675</f>
        <v/>
      </c>
      <c r="E817" s="24" t="str">
        <f>'Landscape Trees '!F675</f>
        <v/>
      </c>
      <c r="F817" s="24" t="str">
        <f>'Landscape Trees '!G675</f>
        <v/>
      </c>
      <c r="G817" s="24" t="str">
        <f>'Landscape Trees '!H675</f>
        <v/>
      </c>
      <c r="H817" s="24" t="str">
        <f>'Landscape Trees '!I675</f>
        <v/>
      </c>
    </row>
    <row r="818">
      <c r="A818" s="24" t="str">
        <f>'Landscape Trees '!A676</f>
        <v/>
      </c>
      <c r="B818" s="24" t="str">
        <f>'Landscape Trees '!C676</f>
        <v/>
      </c>
      <c r="C818" s="24" t="str">
        <f>'Landscape Trees '!D676</f>
        <v/>
      </c>
      <c r="D818" s="24" t="str">
        <f>'Landscape Trees '!E676</f>
        <v/>
      </c>
      <c r="E818" s="24" t="str">
        <f>'Landscape Trees '!F676</f>
        <v/>
      </c>
      <c r="F818" s="24" t="str">
        <f>'Landscape Trees '!G676</f>
        <v/>
      </c>
      <c r="G818" s="24" t="str">
        <f>'Landscape Trees '!H676</f>
        <v/>
      </c>
      <c r="H818" s="24" t="str">
        <f>'Landscape Trees '!I676</f>
        <v/>
      </c>
    </row>
    <row r="819">
      <c r="A819" s="24" t="str">
        <f>'Landscape Trees '!A677</f>
        <v/>
      </c>
      <c r="B819" s="24" t="str">
        <f>'Landscape Trees '!C677</f>
        <v/>
      </c>
      <c r="C819" s="24" t="str">
        <f>'Landscape Trees '!D677</f>
        <v/>
      </c>
      <c r="D819" s="24" t="str">
        <f>'Landscape Trees '!E677</f>
        <v/>
      </c>
      <c r="E819" s="24" t="str">
        <f>'Landscape Trees '!F677</f>
        <v/>
      </c>
      <c r="F819" s="24" t="str">
        <f>'Landscape Trees '!G677</f>
        <v/>
      </c>
      <c r="G819" s="24" t="str">
        <f>'Landscape Trees '!H677</f>
        <v/>
      </c>
      <c r="H819" s="24" t="str">
        <f>'Landscape Trees '!I677</f>
        <v/>
      </c>
    </row>
    <row r="820">
      <c r="A820" s="24" t="str">
        <f>'Landscape Trees '!A678</f>
        <v/>
      </c>
      <c r="B820" s="24" t="str">
        <f>'Landscape Trees '!C678</f>
        <v/>
      </c>
      <c r="C820" s="24" t="str">
        <f>'Landscape Trees '!D678</f>
        <v/>
      </c>
      <c r="D820" s="24" t="str">
        <f>'Landscape Trees '!E678</f>
        <v/>
      </c>
      <c r="E820" s="24" t="str">
        <f>'Landscape Trees '!F678</f>
        <v/>
      </c>
      <c r="F820" s="24" t="str">
        <f>'Landscape Trees '!G678</f>
        <v/>
      </c>
      <c r="G820" s="24" t="str">
        <f>'Landscape Trees '!H678</f>
        <v/>
      </c>
      <c r="H820" s="24" t="str">
        <f>'Landscape Trees '!I678</f>
        <v/>
      </c>
    </row>
    <row r="821">
      <c r="A821" s="24" t="str">
        <f>'Landscape Trees '!A679</f>
        <v/>
      </c>
      <c r="B821" s="24" t="str">
        <f>'Landscape Trees '!C679</f>
        <v/>
      </c>
      <c r="C821" s="24" t="str">
        <f>'Landscape Trees '!D679</f>
        <v/>
      </c>
      <c r="D821" s="24" t="str">
        <f>'Landscape Trees '!E679</f>
        <v/>
      </c>
      <c r="E821" s="24" t="str">
        <f>'Landscape Trees '!F679</f>
        <v/>
      </c>
      <c r="F821" s="24" t="str">
        <f>'Landscape Trees '!G679</f>
        <v/>
      </c>
      <c r="G821" s="24" t="str">
        <f>'Landscape Trees '!H679</f>
        <v/>
      </c>
      <c r="H821" s="24" t="str">
        <f>'Landscape Trees '!I679</f>
        <v/>
      </c>
    </row>
    <row r="822">
      <c r="A822" s="24" t="str">
        <f>'Landscape Trees '!A680</f>
        <v/>
      </c>
      <c r="B822" s="24" t="str">
        <f>'Landscape Trees '!C680</f>
        <v/>
      </c>
      <c r="C822" s="24" t="str">
        <f>'Landscape Trees '!D680</f>
        <v/>
      </c>
      <c r="D822" s="24" t="str">
        <f>'Landscape Trees '!E680</f>
        <v/>
      </c>
      <c r="E822" s="24" t="str">
        <f>'Landscape Trees '!F680</f>
        <v/>
      </c>
      <c r="F822" s="24" t="str">
        <f>'Landscape Trees '!G680</f>
        <v/>
      </c>
      <c r="G822" s="24" t="str">
        <f>'Landscape Trees '!H680</f>
        <v/>
      </c>
      <c r="H822" s="24" t="str">
        <f>'Landscape Trees '!I680</f>
        <v/>
      </c>
    </row>
    <row r="823">
      <c r="A823" s="24" t="str">
        <f>'Landscape Trees '!A681</f>
        <v/>
      </c>
      <c r="B823" s="24" t="str">
        <f>'Landscape Trees '!C681</f>
        <v/>
      </c>
      <c r="C823" s="24" t="str">
        <f>'Landscape Trees '!D681</f>
        <v/>
      </c>
      <c r="D823" s="24" t="str">
        <f>'Landscape Trees '!E681</f>
        <v/>
      </c>
      <c r="E823" s="24" t="str">
        <f>'Landscape Trees '!F681</f>
        <v/>
      </c>
      <c r="F823" s="24" t="str">
        <f>'Landscape Trees '!G681</f>
        <v/>
      </c>
      <c r="G823" s="24" t="str">
        <f>'Landscape Trees '!H681</f>
        <v/>
      </c>
      <c r="H823" s="24" t="str">
        <f>'Landscape Trees '!I681</f>
        <v/>
      </c>
    </row>
    <row r="824">
      <c r="A824" s="24" t="str">
        <f>'Landscape Trees '!A682</f>
        <v/>
      </c>
      <c r="B824" s="24" t="str">
        <f>'Landscape Trees '!C682</f>
        <v/>
      </c>
      <c r="C824" s="24" t="str">
        <f>'Landscape Trees '!D682</f>
        <v/>
      </c>
      <c r="D824" s="24" t="str">
        <f>'Landscape Trees '!E682</f>
        <v/>
      </c>
      <c r="E824" s="24" t="str">
        <f>'Landscape Trees '!F682</f>
        <v/>
      </c>
      <c r="F824" s="24" t="str">
        <f>'Landscape Trees '!G682</f>
        <v/>
      </c>
      <c r="G824" s="24" t="str">
        <f>'Landscape Trees '!H682</f>
        <v/>
      </c>
      <c r="H824" s="24" t="str">
        <f>'Landscape Trees '!I682</f>
        <v/>
      </c>
    </row>
    <row r="825">
      <c r="A825" s="24" t="str">
        <f>'Landscape Trees '!A683</f>
        <v/>
      </c>
      <c r="B825" s="24" t="str">
        <f>'Landscape Trees '!C683</f>
        <v/>
      </c>
      <c r="C825" s="24" t="str">
        <f>'Landscape Trees '!D683</f>
        <v/>
      </c>
      <c r="D825" s="24" t="str">
        <f>'Landscape Trees '!E683</f>
        <v/>
      </c>
      <c r="E825" s="24" t="str">
        <f>'Landscape Trees '!F683</f>
        <v/>
      </c>
      <c r="F825" s="24" t="str">
        <f>'Landscape Trees '!G683</f>
        <v/>
      </c>
      <c r="G825" s="24" t="str">
        <f>'Landscape Trees '!H683</f>
        <v/>
      </c>
      <c r="H825" s="24" t="str">
        <f>'Landscape Trees '!I683</f>
        <v/>
      </c>
    </row>
    <row r="826">
      <c r="A826" s="24" t="str">
        <f>'Landscape Trees '!A684</f>
        <v/>
      </c>
      <c r="B826" s="24" t="str">
        <f>'Landscape Trees '!C684</f>
        <v/>
      </c>
      <c r="C826" s="24" t="str">
        <f>'Landscape Trees '!D684</f>
        <v/>
      </c>
      <c r="D826" s="24" t="str">
        <f>'Landscape Trees '!E684</f>
        <v/>
      </c>
      <c r="E826" s="24" t="str">
        <f>'Landscape Trees '!F684</f>
        <v/>
      </c>
      <c r="F826" s="24" t="str">
        <f>'Landscape Trees '!G684</f>
        <v/>
      </c>
      <c r="G826" s="24" t="str">
        <f>'Landscape Trees '!H684</f>
        <v/>
      </c>
      <c r="H826" s="24" t="str">
        <f>'Landscape Trees '!I684</f>
        <v/>
      </c>
    </row>
    <row r="827">
      <c r="A827" s="24" t="str">
        <f>'Landscape Trees '!A685</f>
        <v/>
      </c>
      <c r="B827" s="24" t="str">
        <f>'Landscape Trees '!C685</f>
        <v/>
      </c>
      <c r="C827" s="24" t="str">
        <f>'Landscape Trees '!D685</f>
        <v/>
      </c>
      <c r="D827" s="24" t="str">
        <f>'Landscape Trees '!E685</f>
        <v/>
      </c>
      <c r="E827" s="24" t="str">
        <f>'Landscape Trees '!F685</f>
        <v/>
      </c>
      <c r="F827" s="24" t="str">
        <f>'Landscape Trees '!G685</f>
        <v/>
      </c>
      <c r="G827" s="24" t="str">
        <f>'Landscape Trees '!H685</f>
        <v/>
      </c>
      <c r="H827" s="24" t="str">
        <f>'Landscape Trees '!I685</f>
        <v/>
      </c>
    </row>
    <row r="828">
      <c r="A828" s="24" t="str">
        <f>'Landscape Trees '!A686</f>
        <v/>
      </c>
      <c r="B828" s="24" t="str">
        <f>'Landscape Trees '!C686</f>
        <v/>
      </c>
      <c r="C828" s="24" t="str">
        <f>'Landscape Trees '!D686</f>
        <v/>
      </c>
      <c r="D828" s="24" t="str">
        <f>'Landscape Trees '!E686</f>
        <v/>
      </c>
      <c r="E828" s="24" t="str">
        <f>'Landscape Trees '!F686</f>
        <v/>
      </c>
      <c r="F828" s="24" t="str">
        <f>'Landscape Trees '!G686</f>
        <v/>
      </c>
      <c r="G828" s="24" t="str">
        <f>'Landscape Trees '!H686</f>
        <v/>
      </c>
      <c r="H828" s="24" t="str">
        <f>'Landscape Trees '!I686</f>
        <v/>
      </c>
    </row>
    <row r="829">
      <c r="A829" s="24" t="str">
        <f>'Landscape Trees '!A687</f>
        <v/>
      </c>
      <c r="B829" s="24" t="str">
        <f>'Landscape Trees '!C687</f>
        <v/>
      </c>
      <c r="C829" s="24" t="str">
        <f>'Landscape Trees '!D687</f>
        <v/>
      </c>
      <c r="D829" s="24" t="str">
        <f>'Landscape Trees '!E687</f>
        <v/>
      </c>
      <c r="E829" s="24" t="str">
        <f>'Landscape Trees '!F687</f>
        <v/>
      </c>
      <c r="F829" s="24" t="str">
        <f>'Landscape Trees '!G687</f>
        <v/>
      </c>
      <c r="G829" s="24" t="str">
        <f>'Landscape Trees '!H687</f>
        <v/>
      </c>
      <c r="H829" s="24" t="str">
        <f>'Landscape Trees '!I687</f>
        <v/>
      </c>
    </row>
    <row r="830">
      <c r="A830" s="24" t="str">
        <f>'Landscape Trees '!A688</f>
        <v/>
      </c>
      <c r="B830" s="24" t="str">
        <f>'Landscape Trees '!C688</f>
        <v/>
      </c>
      <c r="C830" s="24" t="str">
        <f>'Landscape Trees '!D688</f>
        <v/>
      </c>
      <c r="D830" s="24" t="str">
        <f>'Landscape Trees '!E688</f>
        <v/>
      </c>
      <c r="E830" s="24" t="str">
        <f>'Landscape Trees '!F688</f>
        <v/>
      </c>
      <c r="F830" s="24" t="str">
        <f>'Landscape Trees '!G688</f>
        <v/>
      </c>
      <c r="G830" s="24" t="str">
        <f>'Landscape Trees '!H688</f>
        <v/>
      </c>
      <c r="H830" s="24" t="str">
        <f>'Landscape Trees '!I688</f>
        <v/>
      </c>
    </row>
    <row r="831">
      <c r="A831" s="24" t="str">
        <f>'Landscape Trees '!A689</f>
        <v/>
      </c>
      <c r="B831" s="24" t="str">
        <f>'Landscape Trees '!C689</f>
        <v/>
      </c>
      <c r="C831" s="24" t="str">
        <f>'Landscape Trees '!D689</f>
        <v/>
      </c>
      <c r="D831" s="24" t="str">
        <f>'Landscape Trees '!E689</f>
        <v/>
      </c>
      <c r="E831" s="24" t="str">
        <f>'Landscape Trees '!F689</f>
        <v/>
      </c>
      <c r="F831" s="24" t="str">
        <f>'Landscape Trees '!G689</f>
        <v/>
      </c>
      <c r="G831" s="24" t="str">
        <f>'Landscape Trees '!H689</f>
        <v/>
      </c>
      <c r="H831" s="24" t="str">
        <f>'Landscape Trees '!I689</f>
        <v/>
      </c>
    </row>
    <row r="832">
      <c r="A832" s="24" t="str">
        <f>'Landscape Trees '!A690</f>
        <v/>
      </c>
      <c r="B832" s="24" t="str">
        <f>'Landscape Trees '!C690</f>
        <v/>
      </c>
      <c r="C832" s="24" t="str">
        <f>'Landscape Trees '!D690</f>
        <v/>
      </c>
      <c r="D832" s="24" t="str">
        <f>'Landscape Trees '!E690</f>
        <v/>
      </c>
      <c r="E832" s="24" t="str">
        <f>'Landscape Trees '!F690</f>
        <v/>
      </c>
      <c r="F832" s="24" t="str">
        <f>'Landscape Trees '!G690</f>
        <v/>
      </c>
      <c r="G832" s="24" t="str">
        <f>'Landscape Trees '!H690</f>
        <v/>
      </c>
      <c r="H832" s="24" t="str">
        <f>'Landscape Trees '!I690</f>
        <v/>
      </c>
    </row>
    <row r="833">
      <c r="A833" s="24" t="str">
        <f>'Landscape Trees '!A691</f>
        <v/>
      </c>
      <c r="B833" s="24" t="str">
        <f>'Landscape Trees '!C691</f>
        <v/>
      </c>
      <c r="C833" s="24" t="str">
        <f>'Landscape Trees '!D691</f>
        <v/>
      </c>
      <c r="D833" s="24" t="str">
        <f>'Landscape Trees '!E691</f>
        <v/>
      </c>
      <c r="E833" s="24" t="str">
        <f>'Landscape Trees '!F691</f>
        <v/>
      </c>
      <c r="F833" s="24" t="str">
        <f>'Landscape Trees '!G691</f>
        <v/>
      </c>
      <c r="G833" s="24" t="str">
        <f>'Landscape Trees '!H691</f>
        <v/>
      </c>
      <c r="H833" s="24" t="str">
        <f>'Landscape Trees '!I691</f>
        <v/>
      </c>
    </row>
    <row r="834">
      <c r="A834" s="24" t="str">
        <f>'Landscape Trees '!A692</f>
        <v/>
      </c>
      <c r="B834" s="24" t="str">
        <f>'Landscape Trees '!C692</f>
        <v/>
      </c>
      <c r="C834" s="24" t="str">
        <f>'Landscape Trees '!D692</f>
        <v/>
      </c>
      <c r="D834" s="24" t="str">
        <f>'Landscape Trees '!E692</f>
        <v/>
      </c>
      <c r="E834" s="24" t="str">
        <f>'Landscape Trees '!F692</f>
        <v/>
      </c>
      <c r="F834" s="24" t="str">
        <f>'Landscape Trees '!G692</f>
        <v/>
      </c>
      <c r="G834" s="24" t="str">
        <f>'Landscape Trees '!H692</f>
        <v/>
      </c>
      <c r="H834" s="24" t="str">
        <f>'Landscape Trees '!I692</f>
        <v/>
      </c>
    </row>
    <row r="835">
      <c r="A835" s="24" t="str">
        <f>'Landscape Trees '!A693</f>
        <v/>
      </c>
      <c r="B835" s="24" t="str">
        <f>'Landscape Trees '!C693</f>
        <v/>
      </c>
      <c r="C835" s="24" t="str">
        <f>'Landscape Trees '!D693</f>
        <v/>
      </c>
      <c r="D835" s="24" t="str">
        <f>'Landscape Trees '!E693</f>
        <v/>
      </c>
      <c r="E835" s="24" t="str">
        <f>'Landscape Trees '!F693</f>
        <v/>
      </c>
      <c r="F835" s="24" t="str">
        <f>'Landscape Trees '!G693</f>
        <v/>
      </c>
      <c r="G835" s="24" t="str">
        <f>'Landscape Trees '!H693</f>
        <v/>
      </c>
      <c r="H835" s="24" t="str">
        <f>'Landscape Trees '!I693</f>
        <v/>
      </c>
    </row>
    <row r="836">
      <c r="A836" s="24" t="str">
        <f>'Landscape Trees '!A694</f>
        <v/>
      </c>
      <c r="B836" s="24" t="str">
        <f>'Landscape Trees '!C694</f>
        <v/>
      </c>
      <c r="C836" s="24" t="str">
        <f>'Landscape Trees '!D694</f>
        <v/>
      </c>
      <c r="D836" s="24" t="str">
        <f>'Landscape Trees '!E694</f>
        <v/>
      </c>
      <c r="E836" s="24" t="str">
        <f>'Landscape Trees '!F694</f>
        <v/>
      </c>
      <c r="F836" s="24" t="str">
        <f>'Landscape Trees '!G694</f>
        <v/>
      </c>
      <c r="G836" s="24" t="str">
        <f>'Landscape Trees '!H694</f>
        <v/>
      </c>
      <c r="H836" s="24" t="str">
        <f>'Landscape Trees '!I694</f>
        <v/>
      </c>
    </row>
    <row r="837">
      <c r="A837" s="24" t="str">
        <f>'Landscape Trees '!A695</f>
        <v/>
      </c>
      <c r="B837" s="24" t="str">
        <f>'Landscape Trees '!C695</f>
        <v/>
      </c>
      <c r="C837" s="24" t="str">
        <f>'Landscape Trees '!D695</f>
        <v/>
      </c>
      <c r="D837" s="24" t="str">
        <f>'Landscape Trees '!E695</f>
        <v/>
      </c>
      <c r="E837" s="24" t="str">
        <f>'Landscape Trees '!F695</f>
        <v/>
      </c>
      <c r="F837" s="24" t="str">
        <f>'Landscape Trees '!G695</f>
        <v/>
      </c>
      <c r="G837" s="24" t="str">
        <f>'Landscape Trees '!H695</f>
        <v/>
      </c>
      <c r="H837" s="24" t="str">
        <f>'Landscape Trees '!I695</f>
        <v/>
      </c>
    </row>
    <row r="838">
      <c r="A838" s="24" t="str">
        <f>'Landscape Trees '!A696</f>
        <v/>
      </c>
      <c r="B838" s="24" t="str">
        <f>'Landscape Trees '!C696</f>
        <v/>
      </c>
      <c r="C838" s="24" t="str">
        <f>'Landscape Trees '!D696</f>
        <v/>
      </c>
      <c r="D838" s="24" t="str">
        <f>'Landscape Trees '!E696</f>
        <v/>
      </c>
      <c r="E838" s="24" t="str">
        <f>'Landscape Trees '!F696</f>
        <v/>
      </c>
      <c r="F838" s="24" t="str">
        <f>'Landscape Trees '!G696</f>
        <v/>
      </c>
      <c r="G838" s="24" t="str">
        <f>'Landscape Trees '!H696</f>
        <v/>
      </c>
      <c r="H838" s="24" t="str">
        <f>'Landscape Trees '!I696</f>
        <v/>
      </c>
    </row>
    <row r="839">
      <c r="A839" s="24" t="str">
        <f>'Landscape Trees '!A697</f>
        <v/>
      </c>
      <c r="B839" s="24" t="str">
        <f>'Landscape Trees '!C697</f>
        <v/>
      </c>
      <c r="C839" s="24" t="str">
        <f>'Landscape Trees '!D697</f>
        <v/>
      </c>
      <c r="D839" s="24" t="str">
        <f>'Landscape Trees '!E697</f>
        <v/>
      </c>
      <c r="E839" s="24" t="str">
        <f>'Landscape Trees '!F697</f>
        <v/>
      </c>
      <c r="F839" s="24" t="str">
        <f>'Landscape Trees '!G697</f>
        <v/>
      </c>
      <c r="G839" s="24" t="str">
        <f>'Landscape Trees '!H697</f>
        <v/>
      </c>
      <c r="H839" s="24" t="str">
        <f>'Landscape Trees '!I697</f>
        <v/>
      </c>
    </row>
    <row r="840">
      <c r="A840" s="24" t="str">
        <f>'Landscape Trees '!A698</f>
        <v/>
      </c>
      <c r="B840" s="24" t="str">
        <f>'Landscape Trees '!C698</f>
        <v/>
      </c>
      <c r="C840" s="24" t="str">
        <f>'Landscape Trees '!D698</f>
        <v/>
      </c>
      <c r="D840" s="24" t="str">
        <f>'Landscape Trees '!E698</f>
        <v/>
      </c>
      <c r="E840" s="24" t="str">
        <f>'Landscape Trees '!F698</f>
        <v/>
      </c>
      <c r="F840" s="24" t="str">
        <f>'Landscape Trees '!G698</f>
        <v/>
      </c>
      <c r="G840" s="24" t="str">
        <f>'Landscape Trees '!H698</f>
        <v/>
      </c>
      <c r="H840" s="24" t="str">
        <f>'Landscape Trees '!I698</f>
        <v/>
      </c>
    </row>
    <row r="841">
      <c r="A841" s="24" t="str">
        <f>'Landscape Trees '!A699</f>
        <v/>
      </c>
      <c r="B841" s="24" t="str">
        <f>'Landscape Trees '!C699</f>
        <v/>
      </c>
      <c r="C841" s="24" t="str">
        <f>'Landscape Trees '!D699</f>
        <v/>
      </c>
      <c r="D841" s="24" t="str">
        <f>'Landscape Trees '!E699</f>
        <v/>
      </c>
      <c r="E841" s="24" t="str">
        <f>'Landscape Trees '!F699</f>
        <v/>
      </c>
      <c r="F841" s="24" t="str">
        <f>'Landscape Trees '!G699</f>
        <v/>
      </c>
      <c r="G841" s="24" t="str">
        <f>'Landscape Trees '!H699</f>
        <v/>
      </c>
      <c r="H841" s="24" t="str">
        <f>'Landscape Trees '!I699</f>
        <v/>
      </c>
    </row>
    <row r="842">
      <c r="A842" s="24" t="str">
        <f>'Landscape Trees '!A700</f>
        <v/>
      </c>
      <c r="B842" s="24" t="str">
        <f>'Landscape Trees '!C700</f>
        <v/>
      </c>
      <c r="C842" s="24" t="str">
        <f>'Landscape Trees '!D700</f>
        <v/>
      </c>
      <c r="D842" s="24" t="str">
        <f>'Landscape Trees '!E700</f>
        <v/>
      </c>
      <c r="E842" s="24" t="str">
        <f>'Landscape Trees '!F700</f>
        <v/>
      </c>
      <c r="F842" s="24" t="str">
        <f>'Landscape Trees '!G700</f>
        <v/>
      </c>
      <c r="G842" s="24" t="str">
        <f>'Landscape Trees '!H700</f>
        <v/>
      </c>
      <c r="H842" s="24" t="str">
        <f>'Landscape Trees '!I700</f>
        <v/>
      </c>
    </row>
    <row r="843">
      <c r="A843" s="24" t="str">
        <f>'Landscape Trees '!A701</f>
        <v/>
      </c>
      <c r="B843" s="24" t="str">
        <f>'Landscape Trees '!C701</f>
        <v/>
      </c>
      <c r="C843" s="24" t="str">
        <f>'Landscape Trees '!D701</f>
        <v/>
      </c>
      <c r="D843" s="24" t="str">
        <f>'Landscape Trees '!E701</f>
        <v/>
      </c>
      <c r="E843" s="24" t="str">
        <f>'Landscape Trees '!F701</f>
        <v/>
      </c>
      <c r="F843" s="24" t="str">
        <f>'Landscape Trees '!G701</f>
        <v/>
      </c>
      <c r="G843" s="24" t="str">
        <f>'Landscape Trees '!H701</f>
        <v/>
      </c>
      <c r="H843" s="24" t="str">
        <f>'Landscape Trees '!I701</f>
        <v/>
      </c>
    </row>
    <row r="844">
      <c r="A844" s="24" t="str">
        <f>'Landscape Trees '!A702</f>
        <v/>
      </c>
      <c r="B844" s="24" t="str">
        <f>'Landscape Trees '!C702</f>
        <v/>
      </c>
      <c r="C844" s="24" t="str">
        <f>'Landscape Trees '!D702</f>
        <v/>
      </c>
      <c r="D844" s="24" t="str">
        <f>'Landscape Trees '!E702</f>
        <v/>
      </c>
      <c r="E844" s="24" t="str">
        <f>'Landscape Trees '!F702</f>
        <v/>
      </c>
      <c r="F844" s="24" t="str">
        <f>'Landscape Trees '!G702</f>
        <v/>
      </c>
      <c r="G844" s="24" t="str">
        <f>'Landscape Trees '!H702</f>
        <v/>
      </c>
      <c r="H844" s="24" t="str">
        <f>'Landscape Trees '!I702</f>
        <v/>
      </c>
    </row>
    <row r="845">
      <c r="A845" s="24" t="str">
        <f>'Landscape Trees '!A703</f>
        <v/>
      </c>
      <c r="B845" s="24" t="str">
        <f>'Landscape Trees '!C703</f>
        <v/>
      </c>
      <c r="C845" s="24" t="str">
        <f>'Landscape Trees '!D703</f>
        <v/>
      </c>
      <c r="D845" s="24" t="str">
        <f>'Landscape Trees '!E703</f>
        <v/>
      </c>
      <c r="E845" s="24" t="str">
        <f>'Landscape Trees '!F703</f>
        <v/>
      </c>
      <c r="F845" s="24" t="str">
        <f>'Landscape Trees '!G703</f>
        <v/>
      </c>
      <c r="G845" s="24" t="str">
        <f>'Landscape Trees '!H703</f>
        <v/>
      </c>
      <c r="H845" s="24" t="str">
        <f>'Landscape Trees '!I703</f>
        <v/>
      </c>
    </row>
    <row r="846">
      <c r="A846" s="24" t="str">
        <f>'Landscape Trees '!A704</f>
        <v/>
      </c>
      <c r="B846" s="24" t="str">
        <f>'Landscape Trees '!C704</f>
        <v/>
      </c>
      <c r="C846" s="24" t="str">
        <f>'Landscape Trees '!D704</f>
        <v/>
      </c>
      <c r="D846" s="24" t="str">
        <f>'Landscape Trees '!E704</f>
        <v/>
      </c>
      <c r="E846" s="24" t="str">
        <f>'Landscape Trees '!F704</f>
        <v/>
      </c>
      <c r="F846" s="24" t="str">
        <f>'Landscape Trees '!G704</f>
        <v/>
      </c>
      <c r="G846" s="24" t="str">
        <f>'Landscape Trees '!H704</f>
        <v/>
      </c>
      <c r="H846" s="24" t="str">
        <f>'Landscape Trees '!I704</f>
        <v/>
      </c>
    </row>
    <row r="847">
      <c r="A847" s="24" t="str">
        <f>'Landscape Trees '!A705</f>
        <v/>
      </c>
      <c r="B847" s="24" t="str">
        <f>'Landscape Trees '!C705</f>
        <v/>
      </c>
      <c r="C847" s="24" t="str">
        <f>'Landscape Trees '!D705</f>
        <v/>
      </c>
      <c r="D847" s="24" t="str">
        <f>'Landscape Trees '!E705</f>
        <v/>
      </c>
      <c r="E847" s="24" t="str">
        <f>'Landscape Trees '!F705</f>
        <v/>
      </c>
      <c r="F847" s="24" t="str">
        <f>'Landscape Trees '!G705</f>
        <v/>
      </c>
      <c r="G847" s="24" t="str">
        <f>'Landscape Trees '!H705</f>
        <v/>
      </c>
      <c r="H847" s="24" t="str">
        <f>'Landscape Trees '!I705</f>
        <v/>
      </c>
    </row>
    <row r="848">
      <c r="A848" s="24" t="str">
        <f>'Landscape Trees '!A706</f>
        <v/>
      </c>
      <c r="B848" s="24" t="str">
        <f>'Landscape Trees '!C706</f>
        <v/>
      </c>
      <c r="C848" s="24" t="str">
        <f>'Landscape Trees '!D706</f>
        <v/>
      </c>
      <c r="D848" s="24" t="str">
        <f>'Landscape Trees '!E706</f>
        <v/>
      </c>
      <c r="E848" s="24" t="str">
        <f>'Landscape Trees '!F706</f>
        <v/>
      </c>
      <c r="F848" s="24" t="str">
        <f>'Landscape Trees '!G706</f>
        <v/>
      </c>
      <c r="G848" s="24" t="str">
        <f>'Landscape Trees '!H706</f>
        <v/>
      </c>
      <c r="H848" s="24" t="str">
        <f>'Landscape Trees '!I706</f>
        <v/>
      </c>
    </row>
    <row r="849">
      <c r="A849" s="24" t="str">
        <f>'Landscape Trees '!A707</f>
        <v/>
      </c>
      <c r="B849" s="24" t="str">
        <f>'Landscape Trees '!C707</f>
        <v/>
      </c>
      <c r="C849" s="24" t="str">
        <f>'Landscape Trees '!D707</f>
        <v/>
      </c>
      <c r="D849" s="24" t="str">
        <f>'Landscape Trees '!E707</f>
        <v/>
      </c>
      <c r="E849" s="24" t="str">
        <f>'Landscape Trees '!F707</f>
        <v/>
      </c>
      <c r="F849" s="24" t="str">
        <f>'Landscape Trees '!G707</f>
        <v/>
      </c>
      <c r="G849" s="24" t="str">
        <f>'Landscape Trees '!H707</f>
        <v/>
      </c>
      <c r="H849" s="24" t="str">
        <f>'Landscape Trees '!I707</f>
        <v/>
      </c>
    </row>
    <row r="850">
      <c r="A850" s="24" t="str">
        <f>'Landscape Trees '!A708</f>
        <v/>
      </c>
      <c r="B850" s="24" t="str">
        <f>'Landscape Trees '!C708</f>
        <v/>
      </c>
      <c r="C850" s="24" t="str">
        <f>'Landscape Trees '!D708</f>
        <v/>
      </c>
      <c r="D850" s="24" t="str">
        <f>'Landscape Trees '!E708</f>
        <v/>
      </c>
      <c r="E850" s="24" t="str">
        <f>'Landscape Trees '!F708</f>
        <v/>
      </c>
      <c r="F850" s="24" t="str">
        <f>'Landscape Trees '!G708</f>
        <v/>
      </c>
      <c r="G850" s="24" t="str">
        <f>'Landscape Trees '!H708</f>
        <v/>
      </c>
      <c r="H850" s="24" t="str">
        <f>'Landscape Trees '!I708</f>
        <v/>
      </c>
    </row>
    <row r="851">
      <c r="A851" s="24" t="str">
        <f>'Landscape Trees '!A709</f>
        <v/>
      </c>
      <c r="B851" s="24" t="str">
        <f>'Landscape Trees '!C709</f>
        <v/>
      </c>
      <c r="C851" s="24" t="str">
        <f>'Landscape Trees '!D709</f>
        <v/>
      </c>
      <c r="D851" s="24" t="str">
        <f>'Landscape Trees '!E709</f>
        <v/>
      </c>
      <c r="E851" s="24" t="str">
        <f>'Landscape Trees '!F709</f>
        <v/>
      </c>
      <c r="F851" s="24" t="str">
        <f>'Landscape Trees '!G709</f>
        <v/>
      </c>
      <c r="G851" s="24" t="str">
        <f>'Landscape Trees '!H709</f>
        <v/>
      </c>
      <c r="H851" s="24" t="str">
        <f>'Landscape Trees '!I709</f>
        <v/>
      </c>
    </row>
    <row r="852">
      <c r="A852" s="24" t="str">
        <f>'Landscape Trees '!A710</f>
        <v/>
      </c>
      <c r="B852" s="24" t="str">
        <f>'Landscape Trees '!C710</f>
        <v/>
      </c>
      <c r="C852" s="24" t="str">
        <f>'Landscape Trees '!D710</f>
        <v/>
      </c>
      <c r="D852" s="24" t="str">
        <f>'Landscape Trees '!E710</f>
        <v/>
      </c>
      <c r="E852" s="24" t="str">
        <f>'Landscape Trees '!F710</f>
        <v/>
      </c>
      <c r="F852" s="24" t="str">
        <f>'Landscape Trees '!G710</f>
        <v/>
      </c>
      <c r="G852" s="24" t="str">
        <f>'Landscape Trees '!H710</f>
        <v/>
      </c>
      <c r="H852" s="24" t="str">
        <f>'Landscape Trees '!I710</f>
        <v/>
      </c>
    </row>
    <row r="853">
      <c r="A853" s="24" t="str">
        <f>'Landscape Trees '!A711</f>
        <v/>
      </c>
      <c r="B853" s="24" t="str">
        <f>'Landscape Trees '!C711</f>
        <v/>
      </c>
      <c r="C853" s="24" t="str">
        <f>'Landscape Trees '!D711</f>
        <v/>
      </c>
      <c r="D853" s="24" t="str">
        <f>'Landscape Trees '!E711</f>
        <v/>
      </c>
      <c r="E853" s="24" t="str">
        <f>'Landscape Trees '!F711</f>
        <v/>
      </c>
      <c r="F853" s="24" t="str">
        <f>'Landscape Trees '!G711</f>
        <v/>
      </c>
      <c r="G853" s="24" t="str">
        <f>'Landscape Trees '!H711</f>
        <v/>
      </c>
      <c r="H853" s="24" t="str">
        <f>'Landscape Trees '!I711</f>
        <v/>
      </c>
    </row>
    <row r="854">
      <c r="A854" s="24" t="str">
        <f>'Landscape Trees '!A712</f>
        <v/>
      </c>
      <c r="B854" s="24" t="str">
        <f>'Landscape Trees '!C712</f>
        <v/>
      </c>
      <c r="C854" s="24" t="str">
        <f>'Landscape Trees '!D712</f>
        <v/>
      </c>
      <c r="D854" s="24" t="str">
        <f>'Landscape Trees '!E712</f>
        <v/>
      </c>
      <c r="E854" s="24" t="str">
        <f>'Landscape Trees '!F712</f>
        <v/>
      </c>
      <c r="F854" s="24" t="str">
        <f>'Landscape Trees '!G712</f>
        <v/>
      </c>
      <c r="G854" s="24" t="str">
        <f>'Landscape Trees '!H712</f>
        <v/>
      </c>
      <c r="H854" s="24" t="str">
        <f>'Landscape Trees '!I712</f>
        <v/>
      </c>
    </row>
    <row r="855">
      <c r="A855" s="24" t="str">
        <f>'Landscape Trees '!A713</f>
        <v/>
      </c>
      <c r="B855" s="24" t="str">
        <f>'Landscape Trees '!C713</f>
        <v/>
      </c>
      <c r="C855" s="24" t="str">
        <f>'Landscape Trees '!D713</f>
        <v/>
      </c>
      <c r="D855" s="24" t="str">
        <f>'Landscape Trees '!E713</f>
        <v/>
      </c>
      <c r="E855" s="24" t="str">
        <f>'Landscape Trees '!F713</f>
        <v/>
      </c>
      <c r="F855" s="24" t="str">
        <f>'Landscape Trees '!G713</f>
        <v/>
      </c>
      <c r="G855" s="24" t="str">
        <f>'Landscape Trees '!H713</f>
        <v/>
      </c>
      <c r="H855" s="24" t="str">
        <f>'Landscape Trees '!I713</f>
        <v/>
      </c>
    </row>
    <row r="856">
      <c r="A856" s="24" t="str">
        <f>'Landscape Trees '!A714</f>
        <v/>
      </c>
      <c r="B856" s="24" t="str">
        <f>'Landscape Trees '!C714</f>
        <v/>
      </c>
      <c r="C856" s="24" t="str">
        <f>'Landscape Trees '!D714</f>
        <v/>
      </c>
      <c r="D856" s="24" t="str">
        <f>'Landscape Trees '!E714</f>
        <v/>
      </c>
      <c r="E856" s="24" t="str">
        <f>'Landscape Trees '!F714</f>
        <v/>
      </c>
      <c r="F856" s="24" t="str">
        <f>'Landscape Trees '!G714</f>
        <v/>
      </c>
      <c r="G856" s="24" t="str">
        <f>'Landscape Trees '!H714</f>
        <v/>
      </c>
      <c r="H856" s="24" t="str">
        <f>'Landscape Trees '!I714</f>
        <v/>
      </c>
    </row>
    <row r="857">
      <c r="A857" s="24" t="str">
        <f>'Landscape Trees '!A715</f>
        <v/>
      </c>
      <c r="B857" s="24" t="str">
        <f>'Landscape Trees '!C715</f>
        <v/>
      </c>
      <c r="C857" s="24" t="str">
        <f>'Landscape Trees '!D715</f>
        <v/>
      </c>
      <c r="D857" s="24" t="str">
        <f>'Landscape Trees '!E715</f>
        <v/>
      </c>
      <c r="E857" s="24" t="str">
        <f>'Landscape Trees '!F715</f>
        <v/>
      </c>
      <c r="F857" s="24" t="str">
        <f>'Landscape Trees '!G715</f>
        <v/>
      </c>
      <c r="G857" s="24" t="str">
        <f>'Landscape Trees '!H715</f>
        <v/>
      </c>
      <c r="H857" s="24" t="str">
        <f>'Landscape Trees '!I715</f>
        <v/>
      </c>
    </row>
    <row r="858">
      <c r="A858" s="24" t="str">
        <f>'Landscape Trees '!A716</f>
        <v/>
      </c>
      <c r="B858" s="24" t="str">
        <f>'Landscape Trees '!C716</f>
        <v/>
      </c>
      <c r="C858" s="24" t="str">
        <f>'Landscape Trees '!D716</f>
        <v/>
      </c>
      <c r="D858" s="24" t="str">
        <f>'Landscape Trees '!E716</f>
        <v/>
      </c>
      <c r="E858" s="24" t="str">
        <f>'Landscape Trees '!F716</f>
        <v/>
      </c>
      <c r="F858" s="24" t="str">
        <f>'Landscape Trees '!G716</f>
        <v/>
      </c>
      <c r="G858" s="24" t="str">
        <f>'Landscape Trees '!H716</f>
        <v/>
      </c>
      <c r="H858" s="24" t="str">
        <f>'Landscape Trees '!I716</f>
        <v/>
      </c>
    </row>
    <row r="859">
      <c r="A859" s="24" t="str">
        <f>'Landscape Trees '!A717</f>
        <v/>
      </c>
      <c r="B859" s="24" t="str">
        <f>'Landscape Trees '!C717</f>
        <v/>
      </c>
      <c r="C859" s="24" t="str">
        <f>'Landscape Trees '!D717</f>
        <v/>
      </c>
      <c r="D859" s="24" t="str">
        <f>'Landscape Trees '!E717</f>
        <v/>
      </c>
      <c r="E859" s="24" t="str">
        <f>'Landscape Trees '!F717</f>
        <v/>
      </c>
      <c r="F859" s="24" t="str">
        <f>'Landscape Trees '!G717</f>
        <v/>
      </c>
      <c r="G859" s="24" t="str">
        <f>'Landscape Trees '!H717</f>
        <v/>
      </c>
      <c r="H859" s="24" t="str">
        <f>'Landscape Trees '!I717</f>
        <v/>
      </c>
    </row>
    <row r="860">
      <c r="A860" s="24" t="str">
        <f>'Landscape Trees '!A718</f>
        <v/>
      </c>
      <c r="B860" s="24" t="str">
        <f>'Landscape Trees '!C718</f>
        <v/>
      </c>
      <c r="C860" s="24" t="str">
        <f>'Landscape Trees '!D718</f>
        <v/>
      </c>
      <c r="D860" s="24" t="str">
        <f>'Landscape Trees '!E718</f>
        <v/>
      </c>
      <c r="E860" s="24" t="str">
        <f>'Landscape Trees '!F718</f>
        <v/>
      </c>
      <c r="F860" s="24" t="str">
        <f>'Landscape Trees '!G718</f>
        <v/>
      </c>
      <c r="G860" s="24" t="str">
        <f>'Landscape Trees '!H718</f>
        <v/>
      </c>
      <c r="H860" s="24" t="str">
        <f>'Landscape Trees '!I718</f>
        <v/>
      </c>
    </row>
    <row r="861">
      <c r="A861" s="24" t="str">
        <f>'Landscape Trees '!A719</f>
        <v/>
      </c>
      <c r="B861" s="24" t="str">
        <f>'Landscape Trees '!C719</f>
        <v/>
      </c>
      <c r="C861" s="24" t="str">
        <f>'Landscape Trees '!D719</f>
        <v/>
      </c>
      <c r="D861" s="24" t="str">
        <f>'Landscape Trees '!E719</f>
        <v/>
      </c>
      <c r="E861" s="24" t="str">
        <f>'Landscape Trees '!F719</f>
        <v/>
      </c>
      <c r="F861" s="24" t="str">
        <f>'Landscape Trees '!G719</f>
        <v/>
      </c>
      <c r="G861" s="24" t="str">
        <f>'Landscape Trees '!H719</f>
        <v/>
      </c>
      <c r="H861" s="24" t="str">
        <f>'Landscape Trees '!I719</f>
        <v/>
      </c>
    </row>
    <row r="862">
      <c r="A862" s="24" t="str">
        <f>'Landscape Trees '!A720</f>
        <v/>
      </c>
      <c r="B862" s="24" t="str">
        <f>'Landscape Trees '!C720</f>
        <v/>
      </c>
      <c r="C862" s="24" t="str">
        <f>'Landscape Trees '!D720</f>
        <v/>
      </c>
      <c r="D862" s="24" t="str">
        <f>'Landscape Trees '!E720</f>
        <v/>
      </c>
      <c r="E862" s="24" t="str">
        <f>'Landscape Trees '!F720</f>
        <v/>
      </c>
      <c r="F862" s="24" t="str">
        <f>'Landscape Trees '!G720</f>
        <v/>
      </c>
      <c r="G862" s="24" t="str">
        <f>'Landscape Trees '!H720</f>
        <v/>
      </c>
      <c r="H862" s="24" t="str">
        <f>'Landscape Trees '!I720</f>
        <v/>
      </c>
    </row>
    <row r="863">
      <c r="A863" s="24" t="str">
        <f>'Landscape Trees '!A721</f>
        <v/>
      </c>
      <c r="B863" s="24" t="str">
        <f>'Landscape Trees '!C721</f>
        <v/>
      </c>
      <c r="C863" s="24" t="str">
        <f>'Landscape Trees '!D721</f>
        <v/>
      </c>
      <c r="D863" s="24" t="str">
        <f>'Landscape Trees '!E721</f>
        <v/>
      </c>
      <c r="E863" s="24" t="str">
        <f>'Landscape Trees '!F721</f>
        <v/>
      </c>
      <c r="F863" s="24" t="str">
        <f>'Landscape Trees '!G721</f>
        <v/>
      </c>
      <c r="G863" s="24" t="str">
        <f>'Landscape Trees '!H721</f>
        <v/>
      </c>
      <c r="H863" s="24" t="str">
        <f>'Landscape Trees '!I721</f>
        <v/>
      </c>
    </row>
    <row r="864">
      <c r="A864" s="24" t="str">
        <f>'Landscape Trees '!A722</f>
        <v/>
      </c>
      <c r="B864" s="24" t="str">
        <f>'Landscape Trees '!C722</f>
        <v/>
      </c>
      <c r="C864" s="24" t="str">
        <f>'Landscape Trees '!D722</f>
        <v/>
      </c>
      <c r="D864" s="24" t="str">
        <f>'Landscape Trees '!E722</f>
        <v/>
      </c>
      <c r="E864" s="24" t="str">
        <f>'Landscape Trees '!F722</f>
        <v/>
      </c>
      <c r="F864" s="24" t="str">
        <f>'Landscape Trees '!G722</f>
        <v/>
      </c>
      <c r="G864" s="24" t="str">
        <f>'Landscape Trees '!H722</f>
        <v/>
      </c>
      <c r="H864" s="24" t="str">
        <f>'Landscape Trees '!I722</f>
        <v/>
      </c>
    </row>
    <row r="865">
      <c r="A865" s="24" t="str">
        <f>'Landscape Trees '!A723</f>
        <v/>
      </c>
      <c r="B865" s="24" t="str">
        <f>'Landscape Trees '!C723</f>
        <v/>
      </c>
      <c r="C865" s="24" t="str">
        <f>'Landscape Trees '!D723</f>
        <v/>
      </c>
      <c r="D865" s="24" t="str">
        <f>'Landscape Trees '!E723</f>
        <v/>
      </c>
      <c r="E865" s="24" t="str">
        <f>'Landscape Trees '!F723</f>
        <v/>
      </c>
      <c r="F865" s="24" t="str">
        <f>'Landscape Trees '!G723</f>
        <v/>
      </c>
      <c r="G865" s="24" t="str">
        <f>'Landscape Trees '!H723</f>
        <v/>
      </c>
      <c r="H865" s="24" t="str">
        <f>'Landscape Trees '!I723</f>
        <v/>
      </c>
    </row>
    <row r="866">
      <c r="A866" s="24" t="str">
        <f>'Landscape Trees '!A724</f>
        <v/>
      </c>
      <c r="B866" s="24" t="str">
        <f>'Landscape Trees '!C724</f>
        <v/>
      </c>
      <c r="C866" s="24" t="str">
        <f>'Landscape Trees '!D724</f>
        <v/>
      </c>
      <c r="D866" s="24" t="str">
        <f>'Landscape Trees '!E724</f>
        <v/>
      </c>
      <c r="E866" s="24" t="str">
        <f>'Landscape Trees '!F724</f>
        <v/>
      </c>
      <c r="F866" s="24" t="str">
        <f>'Landscape Trees '!G724</f>
        <v/>
      </c>
      <c r="G866" s="24" t="str">
        <f>'Landscape Trees '!H724</f>
        <v/>
      </c>
      <c r="H866" s="24" t="str">
        <f>'Landscape Trees '!I724</f>
        <v/>
      </c>
    </row>
    <row r="867">
      <c r="A867" s="24" t="str">
        <f>'Landscape Trees '!A725</f>
        <v/>
      </c>
      <c r="B867" s="24" t="str">
        <f>'Landscape Trees '!C725</f>
        <v/>
      </c>
      <c r="C867" s="24" t="str">
        <f>'Landscape Trees '!D725</f>
        <v/>
      </c>
      <c r="D867" s="24" t="str">
        <f>'Landscape Trees '!E725</f>
        <v/>
      </c>
      <c r="E867" s="24" t="str">
        <f>'Landscape Trees '!F725</f>
        <v/>
      </c>
      <c r="F867" s="24" t="str">
        <f>'Landscape Trees '!G725</f>
        <v/>
      </c>
      <c r="G867" s="24" t="str">
        <f>'Landscape Trees '!H725</f>
        <v/>
      </c>
      <c r="H867" s="24" t="str">
        <f>'Landscape Trees '!I725</f>
        <v/>
      </c>
    </row>
    <row r="868">
      <c r="A868" s="24" t="str">
        <f>'Landscape Trees '!A726</f>
        <v/>
      </c>
      <c r="B868" s="24" t="str">
        <f>'Landscape Trees '!C726</f>
        <v/>
      </c>
      <c r="C868" s="24" t="str">
        <f>'Landscape Trees '!D726</f>
        <v/>
      </c>
      <c r="D868" s="24" t="str">
        <f>'Landscape Trees '!E726</f>
        <v/>
      </c>
      <c r="E868" s="24" t="str">
        <f>'Landscape Trees '!F726</f>
        <v/>
      </c>
      <c r="F868" s="24" t="str">
        <f>'Landscape Trees '!G726</f>
        <v/>
      </c>
      <c r="G868" s="24" t="str">
        <f>'Landscape Trees '!H726</f>
        <v/>
      </c>
      <c r="H868" s="24" t="str">
        <f>'Landscape Trees '!I726</f>
        <v/>
      </c>
    </row>
    <row r="869">
      <c r="A869" s="24" t="str">
        <f>'Landscape Trees '!A727</f>
        <v/>
      </c>
      <c r="B869" s="24" t="str">
        <f>'Landscape Trees '!C727</f>
        <v/>
      </c>
      <c r="C869" s="24" t="str">
        <f>'Landscape Trees '!D727</f>
        <v/>
      </c>
      <c r="D869" s="24" t="str">
        <f>'Landscape Trees '!E727</f>
        <v/>
      </c>
      <c r="E869" s="24" t="str">
        <f>'Landscape Trees '!F727</f>
        <v/>
      </c>
      <c r="F869" s="24" t="str">
        <f>'Landscape Trees '!G727</f>
        <v/>
      </c>
      <c r="G869" s="24" t="str">
        <f>'Landscape Trees '!H727</f>
        <v/>
      </c>
      <c r="H869" s="24" t="str">
        <f>'Landscape Trees '!I727</f>
        <v/>
      </c>
    </row>
    <row r="870">
      <c r="A870" s="24" t="str">
        <f>'Landscape Trees '!A728</f>
        <v/>
      </c>
      <c r="B870" s="24" t="str">
        <f>'Landscape Trees '!C728</f>
        <v/>
      </c>
      <c r="C870" s="24" t="str">
        <f>'Landscape Trees '!D728</f>
        <v/>
      </c>
      <c r="D870" s="24" t="str">
        <f>'Landscape Trees '!E728</f>
        <v/>
      </c>
      <c r="E870" s="24" t="str">
        <f>'Landscape Trees '!F728</f>
        <v/>
      </c>
      <c r="F870" s="24" t="str">
        <f>'Landscape Trees '!G728</f>
        <v/>
      </c>
      <c r="G870" s="24" t="str">
        <f>'Landscape Trees '!H728</f>
        <v/>
      </c>
      <c r="H870" s="24" t="str">
        <f>'Landscape Trees '!I728</f>
        <v/>
      </c>
    </row>
    <row r="871">
      <c r="A871" s="24" t="str">
        <f>'Landscape Trees '!A729</f>
        <v/>
      </c>
      <c r="B871" s="24" t="str">
        <f>'Landscape Trees '!C729</f>
        <v/>
      </c>
      <c r="C871" s="24" t="str">
        <f>'Landscape Trees '!D729</f>
        <v/>
      </c>
      <c r="D871" s="24" t="str">
        <f>'Landscape Trees '!E729</f>
        <v/>
      </c>
      <c r="E871" s="24" t="str">
        <f>'Landscape Trees '!F729</f>
        <v/>
      </c>
      <c r="F871" s="24" t="str">
        <f>'Landscape Trees '!G729</f>
        <v/>
      </c>
      <c r="G871" s="24" t="str">
        <f>'Landscape Trees '!H729</f>
        <v/>
      </c>
      <c r="H871" s="24" t="str">
        <f>'Landscape Trees '!I729</f>
        <v/>
      </c>
    </row>
    <row r="872">
      <c r="A872" s="24" t="str">
        <f>'Landscape Trees '!A730</f>
        <v/>
      </c>
      <c r="B872" s="24" t="str">
        <f>'Landscape Trees '!C730</f>
        <v/>
      </c>
      <c r="C872" s="24" t="str">
        <f>'Landscape Trees '!D730</f>
        <v/>
      </c>
      <c r="D872" s="24" t="str">
        <f>'Landscape Trees '!E730</f>
        <v/>
      </c>
      <c r="E872" s="24" t="str">
        <f>'Landscape Trees '!F730</f>
        <v/>
      </c>
      <c r="F872" s="24" t="str">
        <f>'Landscape Trees '!G730</f>
        <v/>
      </c>
      <c r="G872" s="24" t="str">
        <f>'Landscape Trees '!H730</f>
        <v/>
      </c>
      <c r="H872" s="24" t="str">
        <f>'Landscape Trees '!I730</f>
        <v/>
      </c>
    </row>
    <row r="873">
      <c r="A873" s="24" t="str">
        <f>'Landscape Trees '!A731</f>
        <v/>
      </c>
      <c r="B873" s="24" t="str">
        <f>'Landscape Trees '!C731</f>
        <v/>
      </c>
      <c r="C873" s="24" t="str">
        <f>'Landscape Trees '!D731</f>
        <v/>
      </c>
      <c r="D873" s="24" t="str">
        <f>'Landscape Trees '!E731</f>
        <v/>
      </c>
      <c r="E873" s="24" t="str">
        <f>'Landscape Trees '!F731</f>
        <v/>
      </c>
      <c r="F873" s="24" t="str">
        <f>'Landscape Trees '!G731</f>
        <v/>
      </c>
      <c r="G873" s="24" t="str">
        <f>'Landscape Trees '!H731</f>
        <v/>
      </c>
      <c r="H873" s="24" t="str">
        <f>'Landscape Trees '!I731</f>
        <v/>
      </c>
    </row>
    <row r="874">
      <c r="A874" s="24" t="str">
        <f>'Landscape Trees '!A732</f>
        <v/>
      </c>
      <c r="B874" s="24" t="str">
        <f>'Landscape Trees '!C732</f>
        <v/>
      </c>
      <c r="C874" s="24" t="str">
        <f>'Landscape Trees '!D732</f>
        <v/>
      </c>
      <c r="D874" s="24" t="str">
        <f>'Landscape Trees '!E732</f>
        <v/>
      </c>
      <c r="E874" s="24" t="str">
        <f>'Landscape Trees '!F732</f>
        <v/>
      </c>
      <c r="F874" s="24" t="str">
        <f>'Landscape Trees '!G732</f>
        <v/>
      </c>
      <c r="G874" s="24" t="str">
        <f>'Landscape Trees '!H732</f>
        <v/>
      </c>
      <c r="H874" s="24" t="str">
        <f>'Landscape Trees '!I732</f>
        <v/>
      </c>
    </row>
    <row r="875">
      <c r="A875" s="24" t="str">
        <f>'Landscape Trees '!A733</f>
        <v/>
      </c>
      <c r="B875" s="24" t="str">
        <f>'Landscape Trees '!C733</f>
        <v/>
      </c>
      <c r="C875" s="24" t="str">
        <f>'Landscape Trees '!D733</f>
        <v/>
      </c>
      <c r="D875" s="24" t="str">
        <f>'Landscape Trees '!E733</f>
        <v/>
      </c>
      <c r="E875" s="24" t="str">
        <f>'Landscape Trees '!F733</f>
        <v/>
      </c>
      <c r="F875" s="24" t="str">
        <f>'Landscape Trees '!G733</f>
        <v/>
      </c>
      <c r="G875" s="24" t="str">
        <f>'Landscape Trees '!H733</f>
        <v/>
      </c>
      <c r="H875" s="24" t="str">
        <f>'Landscape Trees '!I733</f>
        <v/>
      </c>
    </row>
    <row r="876">
      <c r="A876" s="24" t="str">
        <f>'Landscape Trees '!A734</f>
        <v/>
      </c>
      <c r="B876" s="24" t="str">
        <f>'Landscape Trees '!C734</f>
        <v/>
      </c>
      <c r="C876" s="24" t="str">
        <f>'Landscape Trees '!D734</f>
        <v/>
      </c>
      <c r="D876" s="24" t="str">
        <f>'Landscape Trees '!E734</f>
        <v/>
      </c>
      <c r="E876" s="24" t="str">
        <f>'Landscape Trees '!F734</f>
        <v/>
      </c>
      <c r="F876" s="24" t="str">
        <f>'Landscape Trees '!G734</f>
        <v/>
      </c>
      <c r="G876" s="24" t="str">
        <f>'Landscape Trees '!H734</f>
        <v/>
      </c>
      <c r="H876" s="24" t="str">
        <f>'Landscape Trees '!I734</f>
        <v/>
      </c>
    </row>
    <row r="877">
      <c r="A877" s="24" t="str">
        <f>'Landscape Trees '!A735</f>
        <v/>
      </c>
      <c r="B877" s="24" t="str">
        <f>'Landscape Trees '!C735</f>
        <v/>
      </c>
      <c r="C877" s="24" t="str">
        <f>'Landscape Trees '!D735</f>
        <v/>
      </c>
      <c r="D877" s="24" t="str">
        <f>'Landscape Trees '!E735</f>
        <v/>
      </c>
      <c r="E877" s="24" t="str">
        <f>'Landscape Trees '!F735</f>
        <v/>
      </c>
      <c r="F877" s="24" t="str">
        <f>'Landscape Trees '!G735</f>
        <v/>
      </c>
      <c r="G877" s="24" t="str">
        <f>'Landscape Trees '!H735</f>
        <v/>
      </c>
      <c r="H877" s="24" t="str">
        <f>'Landscape Trees '!I735</f>
        <v/>
      </c>
    </row>
    <row r="878">
      <c r="A878" s="24" t="str">
        <f>'Landscape Trees '!A736</f>
        <v/>
      </c>
      <c r="B878" s="24" t="str">
        <f>'Landscape Trees '!C736</f>
        <v/>
      </c>
      <c r="C878" s="24" t="str">
        <f>'Landscape Trees '!D736</f>
        <v/>
      </c>
      <c r="D878" s="24" t="str">
        <f>'Landscape Trees '!E736</f>
        <v/>
      </c>
      <c r="E878" s="24" t="str">
        <f>'Landscape Trees '!F736</f>
        <v/>
      </c>
      <c r="F878" s="24" t="str">
        <f>'Landscape Trees '!G736</f>
        <v/>
      </c>
      <c r="G878" s="24" t="str">
        <f>'Landscape Trees '!H736</f>
        <v/>
      </c>
      <c r="H878" s="24" t="str">
        <f>'Landscape Trees '!I736</f>
        <v/>
      </c>
    </row>
    <row r="879">
      <c r="A879" s="24" t="str">
        <f>'Landscape Trees '!A737</f>
        <v/>
      </c>
      <c r="B879" s="24" t="str">
        <f>'Landscape Trees '!C737</f>
        <v/>
      </c>
      <c r="C879" s="24" t="str">
        <f>'Landscape Trees '!D737</f>
        <v/>
      </c>
      <c r="D879" s="24" t="str">
        <f>'Landscape Trees '!E737</f>
        <v/>
      </c>
      <c r="E879" s="24" t="str">
        <f>'Landscape Trees '!F737</f>
        <v/>
      </c>
      <c r="F879" s="24" t="str">
        <f>'Landscape Trees '!G737</f>
        <v/>
      </c>
      <c r="G879" s="24" t="str">
        <f>'Landscape Trees '!H737</f>
        <v/>
      </c>
      <c r="H879" s="24" t="str">
        <f>'Landscape Trees '!I737</f>
        <v/>
      </c>
    </row>
    <row r="880">
      <c r="A880" s="24" t="str">
        <f>'Landscape Trees '!A738</f>
        <v/>
      </c>
      <c r="B880" s="24" t="str">
        <f>'Landscape Trees '!C738</f>
        <v/>
      </c>
      <c r="C880" s="24" t="str">
        <f>'Landscape Trees '!D738</f>
        <v/>
      </c>
      <c r="D880" s="24" t="str">
        <f>'Landscape Trees '!E738</f>
        <v/>
      </c>
      <c r="E880" s="24" t="str">
        <f>'Landscape Trees '!F738</f>
        <v/>
      </c>
      <c r="F880" s="24" t="str">
        <f>'Landscape Trees '!G738</f>
        <v/>
      </c>
      <c r="G880" s="24" t="str">
        <f>'Landscape Trees '!H738</f>
        <v/>
      </c>
      <c r="H880" s="24" t="str">
        <f>'Landscape Trees '!I738</f>
        <v/>
      </c>
    </row>
    <row r="881">
      <c r="A881" s="24" t="str">
        <f>'Landscape Trees '!A739</f>
        <v/>
      </c>
      <c r="B881" s="24" t="str">
        <f>'Landscape Trees '!C739</f>
        <v/>
      </c>
      <c r="C881" s="24" t="str">
        <f>'Landscape Trees '!D739</f>
        <v/>
      </c>
      <c r="D881" s="24" t="str">
        <f>'Landscape Trees '!E739</f>
        <v/>
      </c>
      <c r="E881" s="24" t="str">
        <f>'Landscape Trees '!F739</f>
        <v/>
      </c>
      <c r="F881" s="24" t="str">
        <f>'Landscape Trees '!G739</f>
        <v/>
      </c>
      <c r="G881" s="24" t="str">
        <f>'Landscape Trees '!H739</f>
        <v/>
      </c>
      <c r="H881" s="24" t="str">
        <f>'Landscape Trees '!I739</f>
        <v/>
      </c>
    </row>
    <row r="882">
      <c r="A882" s="24" t="str">
        <f>'Landscape Trees '!A740</f>
        <v/>
      </c>
      <c r="B882" s="24" t="str">
        <f>'Landscape Trees '!C740</f>
        <v/>
      </c>
      <c r="C882" s="24" t="str">
        <f>'Landscape Trees '!D740</f>
        <v/>
      </c>
      <c r="D882" s="24" t="str">
        <f>'Landscape Trees '!E740</f>
        <v/>
      </c>
      <c r="E882" s="24" t="str">
        <f>'Landscape Trees '!F740</f>
        <v/>
      </c>
      <c r="F882" s="24" t="str">
        <f>'Landscape Trees '!G740</f>
        <v/>
      </c>
      <c r="G882" s="24" t="str">
        <f>'Landscape Trees '!H740</f>
        <v/>
      </c>
      <c r="H882" s="24" t="str">
        <f>'Landscape Trees '!I740</f>
        <v/>
      </c>
    </row>
    <row r="883">
      <c r="A883" s="24" t="str">
        <f>'Landscape Trees '!A741</f>
        <v/>
      </c>
      <c r="B883" s="24" t="str">
        <f>'Landscape Trees '!C741</f>
        <v/>
      </c>
      <c r="C883" s="24" t="str">
        <f>'Landscape Trees '!D741</f>
        <v/>
      </c>
      <c r="D883" s="24" t="str">
        <f>'Landscape Trees '!E741</f>
        <v/>
      </c>
      <c r="E883" s="24" t="str">
        <f>'Landscape Trees '!F741</f>
        <v/>
      </c>
      <c r="F883" s="24" t="str">
        <f>'Landscape Trees '!G741</f>
        <v/>
      </c>
      <c r="G883" s="24" t="str">
        <f>'Landscape Trees '!H741</f>
        <v/>
      </c>
      <c r="H883" s="24" t="str">
        <f>'Landscape Trees '!I741</f>
        <v/>
      </c>
    </row>
    <row r="884">
      <c r="A884" s="24" t="str">
        <f>'Landscape Trees '!A742</f>
        <v/>
      </c>
      <c r="B884" s="24" t="str">
        <f>'Landscape Trees '!C742</f>
        <v/>
      </c>
      <c r="C884" s="24" t="str">
        <f>'Landscape Trees '!D742</f>
        <v/>
      </c>
      <c r="D884" s="24" t="str">
        <f>'Landscape Trees '!E742</f>
        <v/>
      </c>
      <c r="E884" s="24" t="str">
        <f>'Landscape Trees '!F742</f>
        <v/>
      </c>
      <c r="F884" s="24" t="str">
        <f>'Landscape Trees '!G742</f>
        <v/>
      </c>
      <c r="G884" s="24" t="str">
        <f>'Landscape Trees '!H742</f>
        <v/>
      </c>
      <c r="H884" s="24" t="str">
        <f>'Landscape Trees '!I742</f>
        <v/>
      </c>
    </row>
    <row r="885">
      <c r="A885" s="24" t="str">
        <f>'Landscape Trees '!A743</f>
        <v/>
      </c>
      <c r="B885" s="24" t="str">
        <f>'Landscape Trees '!C743</f>
        <v/>
      </c>
      <c r="C885" s="24" t="str">
        <f>'Landscape Trees '!D743</f>
        <v/>
      </c>
      <c r="D885" s="24" t="str">
        <f>'Landscape Trees '!E743</f>
        <v/>
      </c>
      <c r="E885" s="24" t="str">
        <f>'Landscape Trees '!F743</f>
        <v/>
      </c>
      <c r="F885" s="24" t="str">
        <f>'Landscape Trees '!G743</f>
        <v/>
      </c>
      <c r="G885" s="24" t="str">
        <f>'Landscape Trees '!H743</f>
        <v/>
      </c>
      <c r="H885" s="24" t="str">
        <f>'Landscape Trees '!I743</f>
        <v/>
      </c>
    </row>
    <row r="886">
      <c r="A886" s="24" t="str">
        <f>'Landscape Trees '!A744</f>
        <v/>
      </c>
      <c r="B886" s="24" t="str">
        <f>'Landscape Trees '!C744</f>
        <v/>
      </c>
      <c r="C886" s="24" t="str">
        <f>'Landscape Trees '!D744</f>
        <v/>
      </c>
      <c r="D886" s="24" t="str">
        <f>'Landscape Trees '!E744</f>
        <v/>
      </c>
      <c r="E886" s="24" t="str">
        <f>'Landscape Trees '!F744</f>
        <v/>
      </c>
      <c r="F886" s="24" t="str">
        <f>'Landscape Trees '!G744</f>
        <v/>
      </c>
      <c r="G886" s="24" t="str">
        <f>'Landscape Trees '!H744</f>
        <v/>
      </c>
      <c r="H886" s="24" t="str">
        <f>'Landscape Trees '!I744</f>
        <v/>
      </c>
    </row>
    <row r="887">
      <c r="A887" s="24" t="str">
        <f>'Landscape Trees '!A745</f>
        <v/>
      </c>
      <c r="B887" s="24" t="str">
        <f>'Landscape Trees '!C745</f>
        <v/>
      </c>
      <c r="C887" s="24" t="str">
        <f>'Landscape Trees '!D745</f>
        <v/>
      </c>
      <c r="D887" s="24" t="str">
        <f>'Landscape Trees '!E745</f>
        <v/>
      </c>
      <c r="E887" s="24" t="str">
        <f>'Landscape Trees '!F745</f>
        <v/>
      </c>
      <c r="F887" s="24" t="str">
        <f>'Landscape Trees '!G745</f>
        <v/>
      </c>
      <c r="G887" s="24" t="str">
        <f>'Landscape Trees '!H745</f>
        <v/>
      </c>
      <c r="H887" s="24" t="str">
        <f>'Landscape Trees '!I745</f>
        <v/>
      </c>
    </row>
    <row r="888">
      <c r="A888" s="24" t="str">
        <f>'Landscape Trees '!A746</f>
        <v/>
      </c>
      <c r="B888" s="24" t="str">
        <f>'Landscape Trees '!C746</f>
        <v/>
      </c>
      <c r="C888" s="24" t="str">
        <f>'Landscape Trees '!D746</f>
        <v/>
      </c>
      <c r="D888" s="24" t="str">
        <f>'Landscape Trees '!E746</f>
        <v/>
      </c>
      <c r="E888" s="24" t="str">
        <f>'Landscape Trees '!F746</f>
        <v/>
      </c>
      <c r="F888" s="24" t="str">
        <f>'Landscape Trees '!G746</f>
        <v/>
      </c>
      <c r="G888" s="24" t="str">
        <f>'Landscape Trees '!H746</f>
        <v/>
      </c>
      <c r="H888" s="24" t="str">
        <f>'Landscape Trees '!I746</f>
        <v/>
      </c>
    </row>
    <row r="889">
      <c r="A889" s="24" t="str">
        <f>'Landscape Trees '!A747</f>
        <v/>
      </c>
      <c r="B889" s="24" t="str">
        <f>'Landscape Trees '!C747</f>
        <v/>
      </c>
      <c r="C889" s="24" t="str">
        <f>'Landscape Trees '!D747</f>
        <v/>
      </c>
      <c r="D889" s="24" t="str">
        <f>'Landscape Trees '!E747</f>
        <v/>
      </c>
      <c r="E889" s="24" t="str">
        <f>'Landscape Trees '!F747</f>
        <v/>
      </c>
      <c r="F889" s="24" t="str">
        <f>'Landscape Trees '!G747</f>
        <v/>
      </c>
      <c r="G889" s="24" t="str">
        <f>'Landscape Trees '!H747</f>
        <v/>
      </c>
      <c r="H889" s="24" t="str">
        <f>'Landscape Trees '!I747</f>
        <v/>
      </c>
    </row>
    <row r="890">
      <c r="A890" s="24" t="str">
        <f>'Landscape Trees '!A748</f>
        <v/>
      </c>
      <c r="B890" s="24" t="str">
        <f>'Landscape Trees '!C748</f>
        <v/>
      </c>
      <c r="C890" s="24" t="str">
        <f>'Landscape Trees '!D748</f>
        <v/>
      </c>
      <c r="D890" s="24" t="str">
        <f>'Landscape Trees '!E748</f>
        <v/>
      </c>
      <c r="E890" s="24" t="str">
        <f>'Landscape Trees '!F748</f>
        <v/>
      </c>
      <c r="F890" s="24" t="str">
        <f>'Landscape Trees '!G748</f>
        <v/>
      </c>
      <c r="G890" s="24" t="str">
        <f>'Landscape Trees '!H748</f>
        <v/>
      </c>
      <c r="H890" s="24" t="str">
        <f>'Landscape Trees '!I748</f>
        <v/>
      </c>
    </row>
    <row r="891">
      <c r="A891" s="24" t="str">
        <f>'Landscape Trees '!A749</f>
        <v/>
      </c>
      <c r="B891" s="24" t="str">
        <f>'Landscape Trees '!C749</f>
        <v/>
      </c>
      <c r="C891" s="24" t="str">
        <f>'Landscape Trees '!D749</f>
        <v/>
      </c>
      <c r="D891" s="24" t="str">
        <f>'Landscape Trees '!E749</f>
        <v/>
      </c>
      <c r="E891" s="24" t="str">
        <f>'Landscape Trees '!F749</f>
        <v/>
      </c>
      <c r="F891" s="24" t="str">
        <f>'Landscape Trees '!G749</f>
        <v/>
      </c>
      <c r="G891" s="24" t="str">
        <f>'Landscape Trees '!H749</f>
        <v/>
      </c>
      <c r="H891" s="24" t="str">
        <f>'Landscape Trees '!I749</f>
        <v/>
      </c>
    </row>
    <row r="892">
      <c r="A892" s="24" t="str">
        <f>'Landscape Trees '!A750</f>
        <v/>
      </c>
      <c r="B892" s="24" t="str">
        <f>'Landscape Trees '!C750</f>
        <v/>
      </c>
      <c r="C892" s="24" t="str">
        <f>'Landscape Trees '!D750</f>
        <v/>
      </c>
      <c r="D892" s="24" t="str">
        <f>'Landscape Trees '!E750</f>
        <v/>
      </c>
      <c r="E892" s="24" t="str">
        <f>'Landscape Trees '!F750</f>
        <v/>
      </c>
      <c r="F892" s="24" t="str">
        <f>'Landscape Trees '!G750</f>
        <v/>
      </c>
      <c r="G892" s="24" t="str">
        <f>'Landscape Trees '!H750</f>
        <v/>
      </c>
      <c r="H892" s="24" t="str">
        <f>'Landscape Trees '!I750</f>
        <v/>
      </c>
    </row>
    <row r="893">
      <c r="A893" s="24" t="str">
        <f>'Landscape Trees '!A751</f>
        <v/>
      </c>
      <c r="B893" s="24" t="str">
        <f>'Landscape Trees '!C751</f>
        <v/>
      </c>
      <c r="C893" s="24" t="str">
        <f>'Landscape Trees '!D751</f>
        <v/>
      </c>
      <c r="D893" s="24" t="str">
        <f>'Landscape Trees '!E751</f>
        <v/>
      </c>
      <c r="E893" s="24" t="str">
        <f>'Landscape Trees '!F751</f>
        <v/>
      </c>
      <c r="F893" s="24" t="str">
        <f>'Landscape Trees '!G751</f>
        <v/>
      </c>
      <c r="G893" s="24" t="str">
        <f>'Landscape Trees '!H751</f>
        <v/>
      </c>
      <c r="H893" s="24" t="str">
        <f>'Landscape Trees '!I751</f>
        <v/>
      </c>
    </row>
    <row r="894">
      <c r="A894" s="24" t="str">
        <f>'Landscape Trees '!A752</f>
        <v/>
      </c>
      <c r="B894" s="24" t="str">
        <f>'Landscape Trees '!C752</f>
        <v/>
      </c>
      <c r="C894" s="24" t="str">
        <f>'Landscape Trees '!D752</f>
        <v/>
      </c>
      <c r="D894" s="24" t="str">
        <f>'Landscape Trees '!E752</f>
        <v/>
      </c>
      <c r="E894" s="24" t="str">
        <f>'Landscape Trees '!F752</f>
        <v/>
      </c>
      <c r="F894" s="24" t="str">
        <f>'Landscape Trees '!G752</f>
        <v/>
      </c>
      <c r="G894" s="24" t="str">
        <f>'Landscape Trees '!H752</f>
        <v/>
      </c>
      <c r="H894" s="24" t="str">
        <f>'Landscape Trees '!I752</f>
        <v/>
      </c>
    </row>
    <row r="895">
      <c r="A895" s="24" t="str">
        <f>'Landscape Trees '!A753</f>
        <v/>
      </c>
      <c r="B895" s="24" t="str">
        <f>'Landscape Trees '!C753</f>
        <v/>
      </c>
      <c r="C895" s="24" t="str">
        <f>'Landscape Trees '!D753</f>
        <v/>
      </c>
      <c r="D895" s="24" t="str">
        <f>'Landscape Trees '!E753</f>
        <v/>
      </c>
      <c r="E895" s="24" t="str">
        <f>'Landscape Trees '!F753</f>
        <v/>
      </c>
      <c r="F895" s="24" t="str">
        <f>'Landscape Trees '!G753</f>
        <v/>
      </c>
      <c r="G895" s="24" t="str">
        <f>'Landscape Trees '!H753</f>
        <v/>
      </c>
      <c r="H895" s="24" t="str">
        <f>'Landscape Trees '!I753</f>
        <v/>
      </c>
    </row>
    <row r="896">
      <c r="A896" s="24" t="str">
        <f>'Landscape Trees '!A754</f>
        <v/>
      </c>
      <c r="B896" s="24" t="str">
        <f>'Landscape Trees '!C754</f>
        <v/>
      </c>
      <c r="C896" s="24" t="str">
        <f>'Landscape Trees '!D754</f>
        <v/>
      </c>
      <c r="D896" s="24" t="str">
        <f>'Landscape Trees '!E754</f>
        <v/>
      </c>
      <c r="E896" s="24" t="str">
        <f>'Landscape Trees '!F754</f>
        <v/>
      </c>
      <c r="F896" s="24" t="str">
        <f>'Landscape Trees '!G754</f>
        <v/>
      </c>
      <c r="G896" s="24" t="str">
        <f>'Landscape Trees '!H754</f>
        <v/>
      </c>
      <c r="H896" s="24" t="str">
        <f>'Landscape Trees '!I754</f>
        <v/>
      </c>
    </row>
    <row r="897">
      <c r="A897" s="24" t="str">
        <f>'Landscape Trees '!A755</f>
        <v/>
      </c>
      <c r="B897" s="24" t="str">
        <f>'Landscape Trees '!C755</f>
        <v/>
      </c>
      <c r="C897" s="24" t="str">
        <f>'Landscape Trees '!D755</f>
        <v/>
      </c>
      <c r="D897" s="24" t="str">
        <f>'Landscape Trees '!E755</f>
        <v/>
      </c>
      <c r="E897" s="24" t="str">
        <f>'Landscape Trees '!F755</f>
        <v/>
      </c>
      <c r="F897" s="24" t="str">
        <f>'Landscape Trees '!G755</f>
        <v/>
      </c>
      <c r="G897" s="24" t="str">
        <f>'Landscape Trees '!H755</f>
        <v/>
      </c>
      <c r="H897" s="24" t="str">
        <f>'Landscape Trees '!I755</f>
        <v/>
      </c>
    </row>
    <row r="898">
      <c r="A898" s="24" t="str">
        <f>'Landscape Trees '!A756</f>
        <v/>
      </c>
      <c r="B898" s="24" t="str">
        <f>'Landscape Trees '!C756</f>
        <v/>
      </c>
      <c r="C898" s="24" t="str">
        <f>'Landscape Trees '!D756</f>
        <v/>
      </c>
      <c r="D898" s="24" t="str">
        <f>'Landscape Trees '!E756</f>
        <v/>
      </c>
      <c r="E898" s="24" t="str">
        <f>'Landscape Trees '!F756</f>
        <v/>
      </c>
      <c r="F898" s="24" t="str">
        <f>'Landscape Trees '!G756</f>
        <v/>
      </c>
      <c r="G898" s="24" t="str">
        <f>'Landscape Trees '!H756</f>
        <v/>
      </c>
      <c r="H898" s="24" t="str">
        <f>'Landscape Trees '!I756</f>
        <v/>
      </c>
    </row>
    <row r="899">
      <c r="A899" s="24" t="str">
        <f>'Landscape Trees '!A757</f>
        <v/>
      </c>
      <c r="B899" s="24" t="str">
        <f>'Landscape Trees '!C757</f>
        <v/>
      </c>
      <c r="C899" s="24" t="str">
        <f>'Landscape Trees '!D757</f>
        <v/>
      </c>
      <c r="D899" s="24" t="str">
        <f>'Landscape Trees '!E757</f>
        <v/>
      </c>
      <c r="E899" s="24" t="str">
        <f>'Landscape Trees '!F757</f>
        <v/>
      </c>
      <c r="F899" s="24" t="str">
        <f>'Landscape Trees '!G757</f>
        <v/>
      </c>
      <c r="G899" s="24" t="str">
        <f>'Landscape Trees '!H757</f>
        <v/>
      </c>
      <c r="H899" s="24" t="str">
        <f>'Landscape Trees '!I757</f>
        <v/>
      </c>
    </row>
    <row r="900">
      <c r="A900" s="24" t="str">
        <f>'Landscape Trees '!A758</f>
        <v/>
      </c>
      <c r="B900" s="24" t="str">
        <f>'Landscape Trees '!C758</f>
        <v/>
      </c>
      <c r="C900" s="24" t="str">
        <f>'Landscape Trees '!D758</f>
        <v/>
      </c>
      <c r="D900" s="24" t="str">
        <f>'Landscape Trees '!E758</f>
        <v/>
      </c>
      <c r="E900" s="24" t="str">
        <f>'Landscape Trees '!F758</f>
        <v/>
      </c>
      <c r="F900" s="24" t="str">
        <f>'Landscape Trees '!G758</f>
        <v/>
      </c>
      <c r="G900" s="24" t="str">
        <f>'Landscape Trees '!H758</f>
        <v/>
      </c>
      <c r="H900" s="24" t="str">
        <f>'Landscape Trees '!I758</f>
        <v/>
      </c>
    </row>
    <row r="901">
      <c r="A901" s="24" t="str">
        <f>'Landscape Trees '!A759</f>
        <v/>
      </c>
      <c r="B901" s="24" t="str">
        <f>'Landscape Trees '!C759</f>
        <v/>
      </c>
      <c r="C901" s="24" t="str">
        <f>'Landscape Trees '!D759</f>
        <v/>
      </c>
      <c r="D901" s="24" t="str">
        <f>'Landscape Trees '!E759</f>
        <v/>
      </c>
      <c r="E901" s="24" t="str">
        <f>'Landscape Trees '!F759</f>
        <v/>
      </c>
      <c r="F901" s="24" t="str">
        <f>'Landscape Trees '!G759</f>
        <v/>
      </c>
      <c r="G901" s="24" t="str">
        <f>'Landscape Trees '!H759</f>
        <v/>
      </c>
      <c r="H901" s="24" t="str">
        <f>'Landscape Trees '!I759</f>
        <v/>
      </c>
    </row>
    <row r="902">
      <c r="A902" s="24" t="str">
        <f>'Landscape Trees '!A760</f>
        <v/>
      </c>
      <c r="B902" s="24" t="str">
        <f>'Landscape Trees '!C760</f>
        <v/>
      </c>
      <c r="C902" s="24" t="str">
        <f>'Landscape Trees '!D760</f>
        <v/>
      </c>
      <c r="D902" s="24" t="str">
        <f>'Landscape Trees '!E760</f>
        <v/>
      </c>
      <c r="E902" s="24" t="str">
        <f>'Landscape Trees '!F760</f>
        <v/>
      </c>
      <c r="F902" s="24" t="str">
        <f>'Landscape Trees '!G760</f>
        <v/>
      </c>
      <c r="G902" s="24" t="str">
        <f>'Landscape Trees '!H760</f>
        <v/>
      </c>
      <c r="H902" s="24" t="str">
        <f>'Landscape Trees '!I760</f>
        <v/>
      </c>
    </row>
    <row r="903">
      <c r="A903" s="24" t="str">
        <f>'Landscape Trees '!A761</f>
        <v/>
      </c>
      <c r="B903" s="24" t="str">
        <f>'Landscape Trees '!C761</f>
        <v/>
      </c>
      <c r="C903" s="24" t="str">
        <f>'Landscape Trees '!D761</f>
        <v/>
      </c>
      <c r="D903" s="24" t="str">
        <f>'Landscape Trees '!E761</f>
        <v/>
      </c>
      <c r="E903" s="24" t="str">
        <f>'Landscape Trees '!F761</f>
        <v/>
      </c>
      <c r="F903" s="24" t="str">
        <f>'Landscape Trees '!G761</f>
        <v/>
      </c>
      <c r="G903" s="24" t="str">
        <f>'Landscape Trees '!H761</f>
        <v/>
      </c>
      <c r="H903" s="24" t="str">
        <f>'Landscape Trees '!I761</f>
        <v/>
      </c>
    </row>
    <row r="904">
      <c r="A904" s="24" t="str">
        <f>'Landscape Trees '!A762</f>
        <v/>
      </c>
      <c r="B904" s="24" t="str">
        <f>'Landscape Trees '!C762</f>
        <v/>
      </c>
      <c r="C904" s="24" t="str">
        <f>'Landscape Trees '!D762</f>
        <v/>
      </c>
      <c r="D904" s="24" t="str">
        <f>'Landscape Trees '!E762</f>
        <v/>
      </c>
      <c r="E904" s="24" t="str">
        <f>'Landscape Trees '!F762</f>
        <v/>
      </c>
      <c r="F904" s="24" t="str">
        <f>'Landscape Trees '!G762</f>
        <v/>
      </c>
      <c r="G904" s="24" t="str">
        <f>'Landscape Trees '!H762</f>
        <v/>
      </c>
      <c r="H904" s="24" t="str">
        <f>'Landscape Trees '!I762</f>
        <v/>
      </c>
    </row>
    <row r="905">
      <c r="A905" s="24" t="str">
        <f>'Landscape Trees '!A763</f>
        <v/>
      </c>
      <c r="B905" s="24" t="str">
        <f>'Landscape Trees '!C763</f>
        <v/>
      </c>
      <c r="C905" s="24" t="str">
        <f>'Landscape Trees '!D763</f>
        <v/>
      </c>
      <c r="D905" s="24" t="str">
        <f>'Landscape Trees '!E763</f>
        <v/>
      </c>
      <c r="E905" s="24" t="str">
        <f>'Landscape Trees '!F763</f>
        <v/>
      </c>
      <c r="F905" s="24" t="str">
        <f>'Landscape Trees '!G763</f>
        <v/>
      </c>
      <c r="G905" s="24" t="str">
        <f>'Landscape Trees '!H763</f>
        <v/>
      </c>
      <c r="H905" s="24" t="str">
        <f>'Landscape Trees '!I763</f>
        <v/>
      </c>
    </row>
    <row r="906">
      <c r="A906" s="24" t="str">
        <f>'Landscape Trees '!A764</f>
        <v/>
      </c>
      <c r="B906" s="24" t="str">
        <f>'Landscape Trees '!C764</f>
        <v/>
      </c>
      <c r="C906" s="24" t="str">
        <f>'Landscape Trees '!D764</f>
        <v/>
      </c>
      <c r="D906" s="24" t="str">
        <f>'Landscape Trees '!E764</f>
        <v/>
      </c>
      <c r="E906" s="24" t="str">
        <f>'Landscape Trees '!F764</f>
        <v/>
      </c>
      <c r="F906" s="24" t="str">
        <f>'Landscape Trees '!G764</f>
        <v/>
      </c>
      <c r="G906" s="24" t="str">
        <f>'Landscape Trees '!H764</f>
        <v/>
      </c>
      <c r="H906" s="24" t="str">
        <f>'Landscape Trees '!I764</f>
        <v/>
      </c>
    </row>
    <row r="907">
      <c r="A907" s="24" t="str">
        <f>'Landscape Trees '!A765</f>
        <v/>
      </c>
      <c r="B907" s="24" t="str">
        <f>'Landscape Trees '!C765</f>
        <v/>
      </c>
      <c r="C907" s="24" t="str">
        <f>'Landscape Trees '!D765</f>
        <v/>
      </c>
      <c r="D907" s="24" t="str">
        <f>'Landscape Trees '!E765</f>
        <v/>
      </c>
      <c r="E907" s="24" t="str">
        <f>'Landscape Trees '!F765</f>
        <v/>
      </c>
      <c r="F907" s="24" t="str">
        <f>'Landscape Trees '!G765</f>
        <v/>
      </c>
      <c r="G907" s="24" t="str">
        <f>'Landscape Trees '!H765</f>
        <v/>
      </c>
      <c r="H907" s="24" t="str">
        <f>'Landscape Trees '!I765</f>
        <v/>
      </c>
    </row>
    <row r="908">
      <c r="A908" s="24" t="str">
        <f>'Landscape Trees '!A766</f>
        <v/>
      </c>
      <c r="B908" s="24" t="str">
        <f>'Landscape Trees '!C766</f>
        <v/>
      </c>
      <c r="C908" s="24" t="str">
        <f>'Landscape Trees '!D766</f>
        <v/>
      </c>
      <c r="D908" s="24" t="str">
        <f>'Landscape Trees '!E766</f>
        <v/>
      </c>
      <c r="E908" s="24" t="str">
        <f>'Landscape Trees '!F766</f>
        <v/>
      </c>
      <c r="F908" s="24" t="str">
        <f>'Landscape Trees '!G766</f>
        <v/>
      </c>
      <c r="G908" s="24" t="str">
        <f>'Landscape Trees '!H766</f>
        <v/>
      </c>
      <c r="H908" s="24" t="str">
        <f>'Landscape Trees '!I766</f>
        <v/>
      </c>
    </row>
    <row r="909">
      <c r="A909" s="24" t="str">
        <f>'Landscape Trees '!A767</f>
        <v/>
      </c>
      <c r="B909" s="24" t="str">
        <f>'Landscape Trees '!C767</f>
        <v/>
      </c>
      <c r="C909" s="24" t="str">
        <f>'Landscape Trees '!D767</f>
        <v/>
      </c>
      <c r="D909" s="24" t="str">
        <f>'Landscape Trees '!E767</f>
        <v/>
      </c>
      <c r="E909" s="24" t="str">
        <f>'Landscape Trees '!F767</f>
        <v/>
      </c>
      <c r="F909" s="24" t="str">
        <f>'Landscape Trees '!G767</f>
        <v/>
      </c>
      <c r="G909" s="24" t="str">
        <f>'Landscape Trees '!H767</f>
        <v/>
      </c>
      <c r="H909" s="24" t="str">
        <f>'Landscape Trees '!I767</f>
        <v/>
      </c>
    </row>
    <row r="910">
      <c r="A910" s="24" t="str">
        <f>'Landscape Trees '!A768</f>
        <v/>
      </c>
      <c r="B910" s="24" t="str">
        <f>'Landscape Trees '!C768</f>
        <v/>
      </c>
      <c r="C910" s="24" t="str">
        <f>'Landscape Trees '!D768</f>
        <v/>
      </c>
      <c r="D910" s="24" t="str">
        <f>'Landscape Trees '!E768</f>
        <v/>
      </c>
      <c r="E910" s="24" t="str">
        <f>'Landscape Trees '!F768</f>
        <v/>
      </c>
      <c r="F910" s="24" t="str">
        <f>'Landscape Trees '!G768</f>
        <v/>
      </c>
      <c r="G910" s="24" t="str">
        <f>'Landscape Trees '!H768</f>
        <v/>
      </c>
      <c r="H910" s="24" t="str">
        <f>'Landscape Trees '!I768</f>
        <v/>
      </c>
    </row>
    <row r="911">
      <c r="A911" s="24" t="str">
        <f>'Landscape Trees '!A769</f>
        <v/>
      </c>
      <c r="B911" s="24" t="str">
        <f>'Landscape Trees '!C769</f>
        <v/>
      </c>
      <c r="C911" s="24" t="str">
        <f>'Landscape Trees '!D769</f>
        <v/>
      </c>
      <c r="D911" s="24" t="str">
        <f>'Landscape Trees '!E769</f>
        <v/>
      </c>
      <c r="E911" s="24" t="str">
        <f>'Landscape Trees '!F769</f>
        <v/>
      </c>
      <c r="F911" s="24" t="str">
        <f>'Landscape Trees '!G769</f>
        <v/>
      </c>
      <c r="G911" s="24" t="str">
        <f>'Landscape Trees '!H769</f>
        <v/>
      </c>
      <c r="H911" s="24" t="str">
        <f>'Landscape Trees '!I769</f>
        <v/>
      </c>
    </row>
    <row r="912">
      <c r="A912" s="24" t="str">
        <f>'Landscape Trees '!A770</f>
        <v/>
      </c>
      <c r="B912" s="24" t="str">
        <f>'Landscape Trees '!C770</f>
        <v/>
      </c>
      <c r="C912" s="24" t="str">
        <f>'Landscape Trees '!D770</f>
        <v/>
      </c>
      <c r="D912" s="24" t="str">
        <f>'Landscape Trees '!E770</f>
        <v/>
      </c>
      <c r="E912" s="24" t="str">
        <f>'Landscape Trees '!F770</f>
        <v/>
      </c>
      <c r="F912" s="24" t="str">
        <f>'Landscape Trees '!G770</f>
        <v/>
      </c>
      <c r="G912" s="24" t="str">
        <f>'Landscape Trees '!H770</f>
        <v/>
      </c>
      <c r="H912" s="24" t="str">
        <f>'Landscape Trees '!I770</f>
        <v/>
      </c>
    </row>
    <row r="913">
      <c r="A913" s="24" t="str">
        <f>'Landscape Trees '!A771</f>
        <v/>
      </c>
      <c r="B913" s="24" t="str">
        <f>'Landscape Trees '!C771</f>
        <v/>
      </c>
      <c r="C913" s="24" t="str">
        <f>'Landscape Trees '!D771</f>
        <v/>
      </c>
      <c r="D913" s="24" t="str">
        <f>'Landscape Trees '!E771</f>
        <v/>
      </c>
      <c r="E913" s="24" t="str">
        <f>'Landscape Trees '!F771</f>
        <v/>
      </c>
      <c r="F913" s="24" t="str">
        <f>'Landscape Trees '!G771</f>
        <v/>
      </c>
      <c r="G913" s="24" t="str">
        <f>'Landscape Trees '!H771</f>
        <v/>
      </c>
      <c r="H913" s="24" t="str">
        <f>'Landscape Trees '!I771</f>
        <v/>
      </c>
    </row>
    <row r="914">
      <c r="A914" s="24" t="str">
        <f>'Landscape Trees '!A772</f>
        <v/>
      </c>
      <c r="B914" s="24" t="str">
        <f>'Landscape Trees '!C772</f>
        <v/>
      </c>
      <c r="C914" s="24" t="str">
        <f>'Landscape Trees '!D772</f>
        <v/>
      </c>
      <c r="D914" s="24" t="str">
        <f>'Landscape Trees '!E772</f>
        <v/>
      </c>
      <c r="E914" s="24" t="str">
        <f>'Landscape Trees '!F772</f>
        <v/>
      </c>
      <c r="F914" s="24" t="str">
        <f>'Landscape Trees '!G772</f>
        <v/>
      </c>
      <c r="G914" s="24" t="str">
        <f>'Landscape Trees '!H772</f>
        <v/>
      </c>
      <c r="H914" s="24" t="str">
        <f>'Landscape Trees '!I772</f>
        <v/>
      </c>
    </row>
    <row r="915">
      <c r="A915" s="24" t="str">
        <f>'Landscape Trees '!A773</f>
        <v/>
      </c>
      <c r="B915" s="24" t="str">
        <f>'Landscape Trees '!C773</f>
        <v/>
      </c>
      <c r="C915" s="24" t="str">
        <f>'Landscape Trees '!D773</f>
        <v/>
      </c>
      <c r="D915" s="24" t="str">
        <f>'Landscape Trees '!E773</f>
        <v/>
      </c>
      <c r="E915" s="24" t="str">
        <f>'Landscape Trees '!F773</f>
        <v/>
      </c>
      <c r="F915" s="24" t="str">
        <f>'Landscape Trees '!G773</f>
        <v/>
      </c>
      <c r="G915" s="24" t="str">
        <f>'Landscape Trees '!H773</f>
        <v/>
      </c>
      <c r="H915" s="24" t="str">
        <f>'Landscape Trees '!I773</f>
        <v/>
      </c>
    </row>
    <row r="916">
      <c r="A916" s="24" t="str">
        <f>'Landscape Trees '!A774</f>
        <v/>
      </c>
      <c r="B916" s="24" t="str">
        <f>'Landscape Trees '!C774</f>
        <v/>
      </c>
      <c r="C916" s="24" t="str">
        <f>'Landscape Trees '!D774</f>
        <v/>
      </c>
      <c r="D916" s="24" t="str">
        <f>'Landscape Trees '!E774</f>
        <v/>
      </c>
      <c r="E916" s="24" t="str">
        <f>'Landscape Trees '!F774</f>
        <v/>
      </c>
      <c r="F916" s="24" t="str">
        <f>'Landscape Trees '!G774</f>
        <v/>
      </c>
      <c r="G916" s="24" t="str">
        <f>'Landscape Trees '!H774</f>
        <v/>
      </c>
      <c r="H916" s="24" t="str">
        <f>'Landscape Trees '!I774</f>
        <v/>
      </c>
    </row>
    <row r="917">
      <c r="A917" s="24" t="str">
        <f>'Landscape Trees '!A775</f>
        <v/>
      </c>
      <c r="B917" s="24" t="str">
        <f>'Landscape Trees '!C775</f>
        <v/>
      </c>
      <c r="C917" s="24" t="str">
        <f>'Landscape Trees '!D775</f>
        <v/>
      </c>
      <c r="D917" s="24" t="str">
        <f>'Landscape Trees '!E775</f>
        <v/>
      </c>
      <c r="E917" s="24" t="str">
        <f>'Landscape Trees '!F775</f>
        <v/>
      </c>
      <c r="F917" s="24" t="str">
        <f>'Landscape Trees '!G775</f>
        <v/>
      </c>
      <c r="G917" s="24" t="str">
        <f>'Landscape Trees '!H775</f>
        <v/>
      </c>
      <c r="H917" s="24" t="str">
        <f>'Landscape Trees '!I775</f>
        <v/>
      </c>
    </row>
    <row r="918">
      <c r="A918" s="24" t="str">
        <f>'Landscape Trees '!A776</f>
        <v/>
      </c>
      <c r="B918" s="24" t="str">
        <f>'Landscape Trees '!C776</f>
        <v/>
      </c>
      <c r="C918" s="24" t="str">
        <f>'Landscape Trees '!D776</f>
        <v/>
      </c>
      <c r="D918" s="24" t="str">
        <f>'Landscape Trees '!E776</f>
        <v/>
      </c>
      <c r="E918" s="24" t="str">
        <f>'Landscape Trees '!F776</f>
        <v/>
      </c>
      <c r="F918" s="24" t="str">
        <f>'Landscape Trees '!G776</f>
        <v/>
      </c>
      <c r="G918" s="24" t="str">
        <f>'Landscape Trees '!H776</f>
        <v/>
      </c>
      <c r="H918" s="24" t="str">
        <f>'Landscape Trees '!I776</f>
        <v/>
      </c>
    </row>
    <row r="919">
      <c r="A919" s="24" t="str">
        <f>'Landscape Trees '!A777</f>
        <v/>
      </c>
      <c r="B919" s="24" t="str">
        <f>'Landscape Trees '!C777</f>
        <v/>
      </c>
      <c r="C919" s="24" t="str">
        <f>'Landscape Trees '!D777</f>
        <v/>
      </c>
      <c r="D919" s="24" t="str">
        <f>'Landscape Trees '!E777</f>
        <v/>
      </c>
      <c r="E919" s="24" t="str">
        <f>'Landscape Trees '!F777</f>
        <v/>
      </c>
      <c r="F919" s="24" t="str">
        <f>'Landscape Trees '!G777</f>
        <v/>
      </c>
      <c r="G919" s="24" t="str">
        <f>'Landscape Trees '!H777</f>
        <v/>
      </c>
      <c r="H919" s="24" t="str">
        <f>'Landscape Trees '!I777</f>
        <v/>
      </c>
    </row>
    <row r="920">
      <c r="A920" s="24" t="str">
        <f>'Landscape Trees '!A778</f>
        <v/>
      </c>
      <c r="B920" s="24" t="str">
        <f>'Landscape Trees '!C778</f>
        <v/>
      </c>
      <c r="C920" s="24" t="str">
        <f>'Landscape Trees '!D778</f>
        <v/>
      </c>
      <c r="D920" s="24" t="str">
        <f>'Landscape Trees '!E778</f>
        <v/>
      </c>
      <c r="E920" s="24" t="str">
        <f>'Landscape Trees '!F778</f>
        <v/>
      </c>
      <c r="F920" s="24" t="str">
        <f>'Landscape Trees '!G778</f>
        <v/>
      </c>
      <c r="G920" s="24" t="str">
        <f>'Landscape Trees '!H778</f>
        <v/>
      </c>
      <c r="H920" s="24" t="str">
        <f>'Landscape Trees '!I778</f>
        <v/>
      </c>
    </row>
    <row r="921">
      <c r="A921" s="24" t="str">
        <f>'Landscape Trees '!A779</f>
        <v/>
      </c>
      <c r="B921" s="24" t="str">
        <f>'Landscape Trees '!C779</f>
        <v/>
      </c>
      <c r="C921" s="24" t="str">
        <f>'Landscape Trees '!D779</f>
        <v/>
      </c>
      <c r="D921" s="24" t="str">
        <f>'Landscape Trees '!E779</f>
        <v/>
      </c>
      <c r="E921" s="24" t="str">
        <f>'Landscape Trees '!F779</f>
        <v/>
      </c>
      <c r="F921" s="24" t="str">
        <f>'Landscape Trees '!G779</f>
        <v/>
      </c>
      <c r="G921" s="24" t="str">
        <f>'Landscape Trees '!H779</f>
        <v/>
      </c>
      <c r="H921" s="24" t="str">
        <f>'Landscape Trees '!I779</f>
        <v/>
      </c>
    </row>
    <row r="922">
      <c r="A922" s="24" t="str">
        <f>'Landscape Trees '!A780</f>
        <v/>
      </c>
      <c r="B922" s="24" t="str">
        <f>'Landscape Trees '!C780</f>
        <v/>
      </c>
      <c r="C922" s="24" t="str">
        <f>'Landscape Trees '!D780</f>
        <v/>
      </c>
      <c r="D922" s="24" t="str">
        <f>'Landscape Trees '!E780</f>
        <v/>
      </c>
      <c r="E922" s="24" t="str">
        <f>'Landscape Trees '!F780</f>
        <v/>
      </c>
      <c r="F922" s="24" t="str">
        <f>'Landscape Trees '!G780</f>
        <v/>
      </c>
      <c r="G922" s="24" t="str">
        <f>'Landscape Trees '!H780</f>
        <v/>
      </c>
      <c r="H922" s="24" t="str">
        <f>'Landscape Trees '!I780</f>
        <v/>
      </c>
    </row>
    <row r="923">
      <c r="A923" s="24" t="str">
        <f>'Landscape Trees '!A781</f>
        <v/>
      </c>
      <c r="B923" s="24" t="str">
        <f>'Landscape Trees '!C781</f>
        <v/>
      </c>
      <c r="C923" s="24" t="str">
        <f>'Landscape Trees '!D781</f>
        <v/>
      </c>
      <c r="D923" s="24" t="str">
        <f>'Landscape Trees '!E781</f>
        <v/>
      </c>
      <c r="E923" s="24" t="str">
        <f>'Landscape Trees '!F781</f>
        <v/>
      </c>
      <c r="F923" s="24" t="str">
        <f>'Landscape Trees '!G781</f>
        <v/>
      </c>
      <c r="G923" s="24" t="str">
        <f>'Landscape Trees '!H781</f>
        <v/>
      </c>
      <c r="H923" s="24" t="str">
        <f>'Landscape Trees '!I781</f>
        <v/>
      </c>
    </row>
    <row r="924">
      <c r="A924" s="24" t="str">
        <f>'Landscape Trees '!A782</f>
        <v/>
      </c>
      <c r="B924" s="24" t="str">
        <f>'Landscape Trees '!C782</f>
        <v/>
      </c>
      <c r="C924" s="24" t="str">
        <f>'Landscape Trees '!D782</f>
        <v/>
      </c>
      <c r="D924" s="24" t="str">
        <f>'Landscape Trees '!E782</f>
        <v/>
      </c>
      <c r="E924" s="24" t="str">
        <f>'Landscape Trees '!F782</f>
        <v/>
      </c>
      <c r="F924" s="24" t="str">
        <f>'Landscape Trees '!G782</f>
        <v/>
      </c>
      <c r="G924" s="24" t="str">
        <f>'Landscape Trees '!H782</f>
        <v/>
      </c>
      <c r="H924" s="24" t="str">
        <f>'Landscape Trees '!I782</f>
        <v/>
      </c>
    </row>
    <row r="925">
      <c r="A925" s="24" t="str">
        <f>'Landscape Trees '!A783</f>
        <v/>
      </c>
      <c r="B925" s="24" t="str">
        <f>'Landscape Trees '!C783</f>
        <v/>
      </c>
      <c r="C925" s="24" t="str">
        <f>'Landscape Trees '!D783</f>
        <v/>
      </c>
      <c r="D925" s="24" t="str">
        <f>'Landscape Trees '!E783</f>
        <v/>
      </c>
      <c r="E925" s="24" t="str">
        <f>'Landscape Trees '!F783</f>
        <v/>
      </c>
      <c r="F925" s="24" t="str">
        <f>'Landscape Trees '!G783</f>
        <v/>
      </c>
      <c r="G925" s="24" t="str">
        <f>'Landscape Trees '!H783</f>
        <v/>
      </c>
      <c r="H925" s="24" t="str">
        <f>'Landscape Trees '!I783</f>
        <v/>
      </c>
    </row>
    <row r="926">
      <c r="A926" s="24" t="str">
        <f>'Landscape Trees '!A784</f>
        <v/>
      </c>
      <c r="B926" s="24" t="str">
        <f>'Landscape Trees '!C784</f>
        <v/>
      </c>
      <c r="C926" s="24" t="str">
        <f>'Landscape Trees '!D784</f>
        <v/>
      </c>
      <c r="D926" s="24" t="str">
        <f>'Landscape Trees '!E784</f>
        <v/>
      </c>
      <c r="E926" s="24" t="str">
        <f>'Landscape Trees '!F784</f>
        <v/>
      </c>
      <c r="F926" s="24" t="str">
        <f>'Landscape Trees '!G784</f>
        <v/>
      </c>
      <c r="G926" s="24" t="str">
        <f>'Landscape Trees '!H784</f>
        <v/>
      </c>
      <c r="H926" s="24" t="str">
        <f>'Landscape Trees '!I784</f>
        <v/>
      </c>
    </row>
    <row r="927">
      <c r="A927" s="24" t="str">
        <f>'Landscape Trees '!A785</f>
        <v/>
      </c>
      <c r="B927" s="24" t="str">
        <f>'Landscape Trees '!C785</f>
        <v/>
      </c>
      <c r="C927" s="24" t="str">
        <f>'Landscape Trees '!D785</f>
        <v/>
      </c>
      <c r="D927" s="24" t="str">
        <f>'Landscape Trees '!E785</f>
        <v/>
      </c>
      <c r="E927" s="24" t="str">
        <f>'Landscape Trees '!F785</f>
        <v/>
      </c>
      <c r="F927" s="24" t="str">
        <f>'Landscape Trees '!G785</f>
        <v/>
      </c>
      <c r="G927" s="24" t="str">
        <f>'Landscape Trees '!H785</f>
        <v/>
      </c>
      <c r="H927" s="24" t="str">
        <f>'Landscape Trees '!I785</f>
        <v/>
      </c>
    </row>
    <row r="928">
      <c r="A928" s="24" t="str">
        <f>'Landscape Trees '!A786</f>
        <v/>
      </c>
      <c r="B928" s="24" t="str">
        <f>'Landscape Trees '!C786</f>
        <v/>
      </c>
      <c r="C928" s="24" t="str">
        <f>'Landscape Trees '!D786</f>
        <v/>
      </c>
      <c r="D928" s="24" t="str">
        <f>'Landscape Trees '!E786</f>
        <v/>
      </c>
      <c r="E928" s="24" t="str">
        <f>'Landscape Trees '!F786</f>
        <v/>
      </c>
      <c r="F928" s="24" t="str">
        <f>'Landscape Trees '!G786</f>
        <v/>
      </c>
      <c r="G928" s="24" t="str">
        <f>'Landscape Trees '!H786</f>
        <v/>
      </c>
      <c r="H928" s="24" t="str">
        <f>'Landscape Trees '!I786</f>
        <v/>
      </c>
    </row>
    <row r="929">
      <c r="A929" s="24" t="str">
        <f>'Landscape Trees '!A787</f>
        <v/>
      </c>
      <c r="B929" s="24" t="str">
        <f>'Landscape Trees '!C787</f>
        <v/>
      </c>
      <c r="C929" s="24" t="str">
        <f>'Landscape Trees '!D787</f>
        <v/>
      </c>
      <c r="D929" s="24" t="str">
        <f>'Landscape Trees '!E787</f>
        <v/>
      </c>
      <c r="E929" s="24" t="str">
        <f>'Landscape Trees '!F787</f>
        <v/>
      </c>
      <c r="F929" s="24" t="str">
        <f>'Landscape Trees '!G787</f>
        <v/>
      </c>
      <c r="G929" s="24" t="str">
        <f>'Landscape Trees '!H787</f>
        <v/>
      </c>
      <c r="H929" s="24" t="str">
        <f>'Landscape Trees '!I787</f>
        <v/>
      </c>
    </row>
    <row r="930">
      <c r="A930" s="24" t="str">
        <f>'Landscape Trees '!A788</f>
        <v/>
      </c>
      <c r="B930" s="24" t="str">
        <f>'Landscape Trees '!C788</f>
        <v/>
      </c>
      <c r="C930" s="24" t="str">
        <f>'Landscape Trees '!D788</f>
        <v/>
      </c>
      <c r="D930" s="24" t="str">
        <f>'Landscape Trees '!E788</f>
        <v/>
      </c>
      <c r="E930" s="24" t="str">
        <f>'Landscape Trees '!F788</f>
        <v/>
      </c>
      <c r="F930" s="24" t="str">
        <f>'Landscape Trees '!G788</f>
        <v/>
      </c>
      <c r="G930" s="24" t="str">
        <f>'Landscape Trees '!H788</f>
        <v/>
      </c>
      <c r="H930" s="24" t="str">
        <f>'Landscape Trees '!I788</f>
        <v/>
      </c>
    </row>
    <row r="931">
      <c r="A931" s="24" t="str">
        <f>'Landscape Trees '!A789</f>
        <v/>
      </c>
      <c r="B931" s="24" t="str">
        <f>'Landscape Trees '!C789</f>
        <v/>
      </c>
      <c r="C931" s="24" t="str">
        <f>'Landscape Trees '!D789</f>
        <v/>
      </c>
      <c r="D931" s="24" t="str">
        <f>'Landscape Trees '!E789</f>
        <v/>
      </c>
      <c r="E931" s="24" t="str">
        <f>'Landscape Trees '!F789</f>
        <v/>
      </c>
      <c r="F931" s="24" t="str">
        <f>'Landscape Trees '!G789</f>
        <v/>
      </c>
      <c r="G931" s="24" t="str">
        <f>'Landscape Trees '!H789</f>
        <v/>
      </c>
      <c r="H931" s="24" t="str">
        <f>'Landscape Trees '!I789</f>
        <v/>
      </c>
    </row>
    <row r="932">
      <c r="A932" s="24" t="str">
        <f>'Landscape Trees '!A790</f>
        <v/>
      </c>
      <c r="B932" s="24" t="str">
        <f>'Landscape Trees '!C790</f>
        <v/>
      </c>
      <c r="C932" s="24" t="str">
        <f>'Landscape Trees '!D790</f>
        <v/>
      </c>
      <c r="D932" s="24" t="str">
        <f>'Landscape Trees '!E790</f>
        <v/>
      </c>
      <c r="E932" s="24" t="str">
        <f>'Landscape Trees '!F790</f>
        <v/>
      </c>
      <c r="F932" s="24" t="str">
        <f>'Landscape Trees '!G790</f>
        <v/>
      </c>
      <c r="G932" s="24" t="str">
        <f>'Landscape Trees '!H790</f>
        <v/>
      </c>
      <c r="H932" s="24" t="str">
        <f>'Landscape Trees '!I790</f>
        <v/>
      </c>
    </row>
    <row r="933">
      <c r="A933" s="24" t="str">
        <f>'Landscape Trees '!A791</f>
        <v/>
      </c>
      <c r="B933" s="24" t="str">
        <f>'Landscape Trees '!C791</f>
        <v/>
      </c>
      <c r="C933" s="24" t="str">
        <f>'Landscape Trees '!D791</f>
        <v/>
      </c>
      <c r="D933" s="24" t="str">
        <f>'Landscape Trees '!E791</f>
        <v/>
      </c>
      <c r="E933" s="24" t="str">
        <f>'Landscape Trees '!F791</f>
        <v/>
      </c>
      <c r="F933" s="24" t="str">
        <f>'Landscape Trees '!G791</f>
        <v/>
      </c>
      <c r="G933" s="24" t="str">
        <f>'Landscape Trees '!H791</f>
        <v/>
      </c>
      <c r="H933" s="24" t="str">
        <f>'Landscape Trees '!I791</f>
        <v/>
      </c>
    </row>
    <row r="934">
      <c r="A934" s="24" t="str">
        <f>'Landscape Trees '!A792</f>
        <v/>
      </c>
      <c r="B934" s="24" t="str">
        <f>'Landscape Trees '!C792</f>
        <v/>
      </c>
      <c r="C934" s="24" t="str">
        <f>'Landscape Trees '!D792</f>
        <v/>
      </c>
      <c r="D934" s="24" t="str">
        <f>'Landscape Trees '!E792</f>
        <v/>
      </c>
      <c r="E934" s="24" t="str">
        <f>'Landscape Trees '!F792</f>
        <v/>
      </c>
      <c r="F934" s="24" t="str">
        <f>'Landscape Trees '!G792</f>
        <v/>
      </c>
      <c r="G934" s="24" t="str">
        <f>'Landscape Trees '!H792</f>
        <v/>
      </c>
      <c r="H934" s="24" t="str">
        <f>'Landscape Trees '!I792</f>
        <v/>
      </c>
    </row>
    <row r="935">
      <c r="A935" s="24" t="str">
        <f>'Landscape Trees '!A793</f>
        <v/>
      </c>
      <c r="B935" s="24" t="str">
        <f>'Landscape Trees '!C793</f>
        <v/>
      </c>
      <c r="C935" s="24" t="str">
        <f>'Landscape Trees '!D793</f>
        <v/>
      </c>
      <c r="D935" s="24" t="str">
        <f>'Landscape Trees '!E793</f>
        <v/>
      </c>
      <c r="E935" s="24" t="str">
        <f>'Landscape Trees '!F793</f>
        <v/>
      </c>
      <c r="F935" s="24" t="str">
        <f>'Landscape Trees '!G793</f>
        <v/>
      </c>
      <c r="G935" s="24" t="str">
        <f>'Landscape Trees '!H793</f>
        <v/>
      </c>
      <c r="H935" s="24" t="str">
        <f>'Landscape Trees '!I793</f>
        <v/>
      </c>
    </row>
    <row r="936">
      <c r="A936" s="24" t="str">
        <f>'Landscape Trees '!A794</f>
        <v/>
      </c>
      <c r="B936" s="24" t="str">
        <f>'Landscape Trees '!C794</f>
        <v/>
      </c>
      <c r="C936" s="24" t="str">
        <f>'Landscape Trees '!D794</f>
        <v/>
      </c>
      <c r="D936" s="24" t="str">
        <f>'Landscape Trees '!E794</f>
        <v/>
      </c>
      <c r="E936" s="24" t="str">
        <f>'Landscape Trees '!F794</f>
        <v/>
      </c>
      <c r="F936" s="24" t="str">
        <f>'Landscape Trees '!G794</f>
        <v/>
      </c>
      <c r="G936" s="24" t="str">
        <f>'Landscape Trees '!H794</f>
        <v/>
      </c>
      <c r="H936" s="24" t="str">
        <f>'Landscape Trees '!I794</f>
        <v/>
      </c>
    </row>
    <row r="937">
      <c r="A937" s="24" t="str">
        <f>'Landscape Trees '!A795</f>
        <v/>
      </c>
      <c r="B937" s="24" t="str">
        <f>'Landscape Trees '!C795</f>
        <v/>
      </c>
      <c r="C937" s="24" t="str">
        <f>'Landscape Trees '!D795</f>
        <v/>
      </c>
      <c r="D937" s="24" t="str">
        <f>'Landscape Trees '!E795</f>
        <v/>
      </c>
      <c r="E937" s="24" t="str">
        <f>'Landscape Trees '!F795</f>
        <v/>
      </c>
      <c r="F937" s="24" t="str">
        <f>'Landscape Trees '!G795</f>
        <v/>
      </c>
      <c r="G937" s="24" t="str">
        <f>'Landscape Trees '!H795</f>
        <v/>
      </c>
      <c r="H937" s="24" t="str">
        <f>'Landscape Trees '!I795</f>
        <v/>
      </c>
    </row>
    <row r="938">
      <c r="A938" s="24" t="str">
        <f>'Landscape Trees '!A796</f>
        <v/>
      </c>
      <c r="B938" s="24" t="str">
        <f>'Landscape Trees '!C796</f>
        <v/>
      </c>
      <c r="C938" s="24" t="str">
        <f>'Landscape Trees '!D796</f>
        <v/>
      </c>
      <c r="D938" s="24" t="str">
        <f>'Landscape Trees '!E796</f>
        <v/>
      </c>
      <c r="E938" s="24" t="str">
        <f>'Landscape Trees '!F796</f>
        <v/>
      </c>
      <c r="F938" s="24" t="str">
        <f>'Landscape Trees '!G796</f>
        <v/>
      </c>
      <c r="G938" s="24" t="str">
        <f>'Landscape Trees '!H796</f>
        <v/>
      </c>
      <c r="H938" s="24" t="str">
        <f>'Landscape Trees '!I796</f>
        <v/>
      </c>
    </row>
    <row r="939">
      <c r="A939" s="24" t="str">
        <f>'Landscape Trees '!A797</f>
        <v/>
      </c>
      <c r="B939" s="24" t="str">
        <f>'Landscape Trees '!C797</f>
        <v/>
      </c>
      <c r="C939" s="24" t="str">
        <f>'Landscape Trees '!D797</f>
        <v/>
      </c>
      <c r="D939" s="24" t="str">
        <f>'Landscape Trees '!E797</f>
        <v/>
      </c>
      <c r="E939" s="24" t="str">
        <f>'Landscape Trees '!F797</f>
        <v/>
      </c>
      <c r="F939" s="24" t="str">
        <f>'Landscape Trees '!G797</f>
        <v/>
      </c>
      <c r="G939" s="24" t="str">
        <f>'Landscape Trees '!H797</f>
        <v/>
      </c>
      <c r="H939" s="24" t="str">
        <f>'Landscape Trees '!I797</f>
        <v/>
      </c>
    </row>
    <row r="940">
      <c r="A940" s="24" t="str">
        <f>'Landscape Trees '!A798</f>
        <v/>
      </c>
      <c r="B940" s="24" t="str">
        <f>'Landscape Trees '!C798</f>
        <v/>
      </c>
      <c r="C940" s="24" t="str">
        <f>'Landscape Trees '!D798</f>
        <v/>
      </c>
      <c r="D940" s="24" t="str">
        <f>'Landscape Trees '!E798</f>
        <v/>
      </c>
      <c r="E940" s="24" t="str">
        <f>'Landscape Trees '!F798</f>
        <v/>
      </c>
      <c r="F940" s="24" t="str">
        <f>'Landscape Trees '!G798</f>
        <v/>
      </c>
      <c r="G940" s="24" t="str">
        <f>'Landscape Trees '!H798</f>
        <v/>
      </c>
      <c r="H940" s="24" t="str">
        <f>'Landscape Trees '!I798</f>
        <v/>
      </c>
    </row>
    <row r="941">
      <c r="A941" s="24" t="str">
        <f>'Landscape Trees '!A799</f>
        <v/>
      </c>
      <c r="B941" s="24" t="str">
        <f>'Landscape Trees '!C799</f>
        <v/>
      </c>
      <c r="C941" s="24" t="str">
        <f>'Landscape Trees '!D799</f>
        <v/>
      </c>
      <c r="D941" s="24" t="str">
        <f>'Landscape Trees '!E799</f>
        <v/>
      </c>
      <c r="E941" s="24" t="str">
        <f>'Landscape Trees '!F799</f>
        <v/>
      </c>
      <c r="F941" s="24" t="str">
        <f>'Landscape Trees '!G799</f>
        <v/>
      </c>
      <c r="G941" s="24" t="str">
        <f>'Landscape Trees '!H799</f>
        <v/>
      </c>
      <c r="H941" s="24" t="str">
        <f>'Landscape Trees '!I799</f>
        <v/>
      </c>
    </row>
    <row r="942">
      <c r="A942" s="24" t="str">
        <f>'Landscape Trees '!A800</f>
        <v/>
      </c>
      <c r="B942" s="24" t="str">
        <f>'Landscape Trees '!C800</f>
        <v/>
      </c>
      <c r="C942" s="24" t="str">
        <f>'Landscape Trees '!D800</f>
        <v/>
      </c>
      <c r="D942" s="24" t="str">
        <f>'Landscape Trees '!E800</f>
        <v/>
      </c>
      <c r="E942" s="24" t="str">
        <f>'Landscape Trees '!F800</f>
        <v/>
      </c>
      <c r="F942" s="24" t="str">
        <f>'Landscape Trees '!G800</f>
        <v/>
      </c>
      <c r="G942" s="24" t="str">
        <f>'Landscape Trees '!H800</f>
        <v/>
      </c>
      <c r="H942" s="24" t="str">
        <f>'Landscape Trees '!I800</f>
        <v/>
      </c>
    </row>
    <row r="943">
      <c r="A943" s="24" t="str">
        <f>'Landscape Trees '!A801</f>
        <v/>
      </c>
      <c r="B943" s="24" t="str">
        <f>'Landscape Trees '!C801</f>
        <v/>
      </c>
      <c r="C943" s="24" t="str">
        <f>'Landscape Trees '!D801</f>
        <v/>
      </c>
      <c r="D943" s="24" t="str">
        <f>'Landscape Trees '!E801</f>
        <v/>
      </c>
      <c r="E943" s="24" t="str">
        <f>'Landscape Trees '!F801</f>
        <v/>
      </c>
      <c r="F943" s="24" t="str">
        <f>'Landscape Trees '!G801</f>
        <v/>
      </c>
      <c r="G943" s="24" t="str">
        <f>'Landscape Trees '!H801</f>
        <v/>
      </c>
      <c r="H943" s="24" t="str">
        <f>'Landscape Trees '!I801</f>
        <v/>
      </c>
    </row>
    <row r="944">
      <c r="A944" s="24" t="str">
        <f>'Landscape Trees '!A802</f>
        <v/>
      </c>
      <c r="B944" s="24" t="str">
        <f>'Landscape Trees '!C802</f>
        <v/>
      </c>
      <c r="C944" s="24" t="str">
        <f>'Landscape Trees '!D802</f>
        <v/>
      </c>
      <c r="D944" s="24" t="str">
        <f>'Landscape Trees '!E802</f>
        <v/>
      </c>
      <c r="E944" s="24" t="str">
        <f>'Landscape Trees '!F802</f>
        <v/>
      </c>
      <c r="F944" s="24" t="str">
        <f>'Landscape Trees '!G802</f>
        <v/>
      </c>
      <c r="G944" s="24" t="str">
        <f>'Landscape Trees '!H802</f>
        <v/>
      </c>
      <c r="H944" s="24" t="str">
        <f>'Landscape Trees '!I802</f>
        <v/>
      </c>
    </row>
    <row r="945">
      <c r="A945" s="24" t="str">
        <f>'Landscape Trees '!A803</f>
        <v/>
      </c>
      <c r="B945" s="24" t="str">
        <f>'Landscape Trees '!C803</f>
        <v/>
      </c>
      <c r="C945" s="24" t="str">
        <f>'Landscape Trees '!D803</f>
        <v/>
      </c>
      <c r="D945" s="24" t="str">
        <f>'Landscape Trees '!E803</f>
        <v/>
      </c>
      <c r="E945" s="24" t="str">
        <f>'Landscape Trees '!F803</f>
        <v/>
      </c>
      <c r="F945" s="24" t="str">
        <f>'Landscape Trees '!G803</f>
        <v/>
      </c>
      <c r="G945" s="24" t="str">
        <f>'Landscape Trees '!H803</f>
        <v/>
      </c>
      <c r="H945" s="24" t="str">
        <f>'Landscape Trees '!I803</f>
        <v/>
      </c>
    </row>
    <row r="946">
      <c r="A946" s="24" t="str">
        <f>'Landscape Trees '!A804</f>
        <v/>
      </c>
      <c r="B946" s="24" t="str">
        <f>'Landscape Trees '!C804</f>
        <v/>
      </c>
      <c r="C946" s="24" t="str">
        <f>'Landscape Trees '!D804</f>
        <v/>
      </c>
      <c r="D946" s="24" t="str">
        <f>'Landscape Trees '!E804</f>
        <v/>
      </c>
      <c r="E946" s="24" t="str">
        <f>'Landscape Trees '!F804</f>
        <v/>
      </c>
      <c r="F946" s="24" t="str">
        <f>'Landscape Trees '!G804</f>
        <v/>
      </c>
      <c r="G946" s="24" t="str">
        <f>'Landscape Trees '!H804</f>
        <v/>
      </c>
      <c r="H946" s="24" t="str">
        <f>'Landscape Trees '!I804</f>
        <v/>
      </c>
    </row>
    <row r="947">
      <c r="A947" s="24" t="str">
        <f>'Landscape Trees '!A805</f>
        <v/>
      </c>
      <c r="B947" s="24" t="str">
        <f>'Landscape Trees '!C805</f>
        <v/>
      </c>
      <c r="C947" s="24" t="str">
        <f>'Landscape Trees '!D805</f>
        <v/>
      </c>
      <c r="D947" s="24" t="str">
        <f>'Landscape Trees '!E805</f>
        <v/>
      </c>
      <c r="E947" s="24" t="str">
        <f>'Landscape Trees '!F805</f>
        <v/>
      </c>
      <c r="F947" s="24" t="str">
        <f>'Landscape Trees '!G805</f>
        <v/>
      </c>
      <c r="G947" s="24" t="str">
        <f>'Landscape Trees '!H805</f>
        <v/>
      </c>
      <c r="H947" s="24" t="str">
        <f>'Landscape Trees '!I805</f>
        <v/>
      </c>
    </row>
    <row r="948">
      <c r="A948" s="24" t="str">
        <f>'Landscape Trees '!A806</f>
        <v/>
      </c>
      <c r="B948" s="24" t="str">
        <f>'Landscape Trees '!C806</f>
        <v/>
      </c>
      <c r="C948" s="24" t="str">
        <f>'Landscape Trees '!D806</f>
        <v/>
      </c>
      <c r="D948" s="24" t="str">
        <f>'Landscape Trees '!E806</f>
        <v/>
      </c>
      <c r="E948" s="24" t="str">
        <f>'Landscape Trees '!F806</f>
        <v/>
      </c>
      <c r="F948" s="24" t="str">
        <f>'Landscape Trees '!G806</f>
        <v/>
      </c>
      <c r="G948" s="24" t="str">
        <f>'Landscape Trees '!H806</f>
        <v/>
      </c>
      <c r="H948" s="24" t="str">
        <f>'Landscape Trees '!I806</f>
        <v/>
      </c>
    </row>
    <row r="949">
      <c r="A949" s="24" t="str">
        <f>'Landscape Trees '!A807</f>
        <v/>
      </c>
      <c r="B949" s="24" t="str">
        <f>'Landscape Trees '!C807</f>
        <v/>
      </c>
      <c r="C949" s="24" t="str">
        <f>'Landscape Trees '!D807</f>
        <v/>
      </c>
      <c r="D949" s="24" t="str">
        <f>'Landscape Trees '!E807</f>
        <v/>
      </c>
      <c r="E949" s="24" t="str">
        <f>'Landscape Trees '!F807</f>
        <v/>
      </c>
      <c r="F949" s="24" t="str">
        <f>'Landscape Trees '!G807</f>
        <v/>
      </c>
      <c r="G949" s="24" t="str">
        <f>'Landscape Trees '!H807</f>
        <v/>
      </c>
      <c r="H949" s="24" t="str">
        <f>'Landscape Trees '!I807</f>
        <v/>
      </c>
    </row>
    <row r="950">
      <c r="A950" s="24" t="str">
        <f>'Landscape Trees '!A808</f>
        <v/>
      </c>
      <c r="B950" s="24" t="str">
        <f>'Landscape Trees '!C808</f>
        <v/>
      </c>
      <c r="C950" s="24" t="str">
        <f>'Landscape Trees '!D808</f>
        <v/>
      </c>
      <c r="D950" s="24" t="str">
        <f>'Landscape Trees '!E808</f>
        <v/>
      </c>
      <c r="E950" s="24" t="str">
        <f>'Landscape Trees '!F808</f>
        <v/>
      </c>
      <c r="F950" s="24" t="str">
        <f>'Landscape Trees '!G808</f>
        <v/>
      </c>
      <c r="G950" s="24" t="str">
        <f>'Landscape Trees '!H808</f>
        <v/>
      </c>
      <c r="H950" s="24" t="str">
        <f>'Landscape Trees '!I808</f>
        <v/>
      </c>
    </row>
    <row r="951">
      <c r="A951" s="24" t="str">
        <f>'Landscape Trees '!A809</f>
        <v/>
      </c>
      <c r="B951" s="24" t="str">
        <f>'Landscape Trees '!C809</f>
        <v/>
      </c>
      <c r="C951" s="24" t="str">
        <f>'Landscape Trees '!D809</f>
        <v/>
      </c>
      <c r="D951" s="24" t="str">
        <f>'Landscape Trees '!E809</f>
        <v/>
      </c>
      <c r="E951" s="24" t="str">
        <f>'Landscape Trees '!F809</f>
        <v/>
      </c>
      <c r="F951" s="24" t="str">
        <f>'Landscape Trees '!G809</f>
        <v/>
      </c>
      <c r="G951" s="24" t="str">
        <f>'Landscape Trees '!H809</f>
        <v/>
      </c>
      <c r="H951" s="24" t="str">
        <f>'Landscape Trees '!I809</f>
        <v/>
      </c>
    </row>
    <row r="952">
      <c r="A952" s="24" t="str">
        <f>'Landscape Trees '!A810</f>
        <v/>
      </c>
      <c r="B952" s="24" t="str">
        <f>'Landscape Trees '!C810</f>
        <v/>
      </c>
      <c r="C952" s="24" t="str">
        <f>'Landscape Trees '!D810</f>
        <v/>
      </c>
      <c r="D952" s="24" t="str">
        <f>'Landscape Trees '!E810</f>
        <v/>
      </c>
      <c r="E952" s="24" t="str">
        <f>'Landscape Trees '!F810</f>
        <v/>
      </c>
      <c r="F952" s="24" t="str">
        <f>'Landscape Trees '!G810</f>
        <v/>
      </c>
      <c r="G952" s="24" t="str">
        <f>'Landscape Trees '!H810</f>
        <v/>
      </c>
      <c r="H952" s="24" t="str">
        <f>'Landscape Trees '!I810</f>
        <v/>
      </c>
    </row>
    <row r="953">
      <c r="A953" s="24" t="str">
        <f>'Landscape Trees '!A811</f>
        <v/>
      </c>
      <c r="B953" s="24" t="str">
        <f>'Landscape Trees '!C811</f>
        <v/>
      </c>
      <c r="C953" s="24" t="str">
        <f>'Landscape Trees '!D811</f>
        <v/>
      </c>
      <c r="D953" s="24" t="str">
        <f>'Landscape Trees '!E811</f>
        <v/>
      </c>
      <c r="E953" s="24" t="str">
        <f>'Landscape Trees '!F811</f>
        <v/>
      </c>
      <c r="F953" s="24" t="str">
        <f>'Landscape Trees '!G811</f>
        <v/>
      </c>
      <c r="G953" s="24" t="str">
        <f>'Landscape Trees '!H811</f>
        <v/>
      </c>
      <c r="H953" s="24" t="str">
        <f>'Landscape Trees '!I811</f>
        <v/>
      </c>
    </row>
    <row r="954">
      <c r="A954" s="24" t="str">
        <f>'Landscape Trees '!A812</f>
        <v/>
      </c>
      <c r="B954" s="24" t="str">
        <f>'Landscape Trees '!C812</f>
        <v/>
      </c>
      <c r="C954" s="24" t="str">
        <f>'Landscape Trees '!D812</f>
        <v/>
      </c>
      <c r="D954" s="24" t="str">
        <f>'Landscape Trees '!E812</f>
        <v/>
      </c>
      <c r="E954" s="24" t="str">
        <f>'Landscape Trees '!F812</f>
        <v/>
      </c>
      <c r="F954" s="24" t="str">
        <f>'Landscape Trees '!G812</f>
        <v/>
      </c>
      <c r="G954" s="24" t="str">
        <f>'Landscape Trees '!H812</f>
        <v/>
      </c>
      <c r="H954" s="24" t="str">
        <f>'Landscape Trees '!I812</f>
        <v/>
      </c>
    </row>
    <row r="955">
      <c r="A955" s="24" t="str">
        <f>'Landscape Trees '!A813</f>
        <v/>
      </c>
      <c r="B955" s="24" t="str">
        <f>'Landscape Trees '!C813</f>
        <v/>
      </c>
      <c r="C955" s="24" t="str">
        <f>'Landscape Trees '!D813</f>
        <v/>
      </c>
      <c r="D955" s="24" t="str">
        <f>'Landscape Trees '!E813</f>
        <v/>
      </c>
      <c r="E955" s="24" t="str">
        <f>'Landscape Trees '!F813</f>
        <v/>
      </c>
      <c r="F955" s="24" t="str">
        <f>'Landscape Trees '!G813</f>
        <v/>
      </c>
      <c r="G955" s="24" t="str">
        <f>'Landscape Trees '!H813</f>
        <v/>
      </c>
      <c r="H955" s="24" t="str">
        <f>'Landscape Trees '!I813</f>
        <v/>
      </c>
    </row>
    <row r="956">
      <c r="A956" s="24" t="str">
        <f>'Landscape Trees '!A814</f>
        <v/>
      </c>
      <c r="B956" s="24" t="str">
        <f>'Landscape Trees '!C814</f>
        <v/>
      </c>
      <c r="C956" s="24" t="str">
        <f>'Landscape Trees '!D814</f>
        <v/>
      </c>
      <c r="D956" s="24" t="str">
        <f>'Landscape Trees '!E814</f>
        <v/>
      </c>
      <c r="E956" s="24" t="str">
        <f>'Landscape Trees '!F814</f>
        <v/>
      </c>
      <c r="F956" s="24" t="str">
        <f>'Landscape Trees '!G814</f>
        <v/>
      </c>
      <c r="G956" s="24" t="str">
        <f>'Landscape Trees '!H814</f>
        <v/>
      </c>
      <c r="H956" s="24" t="str">
        <f>'Landscape Trees '!I814</f>
        <v/>
      </c>
    </row>
    <row r="957">
      <c r="A957" s="24" t="str">
        <f>'Landscape Trees '!A815</f>
        <v/>
      </c>
      <c r="B957" s="24" t="str">
        <f>'Landscape Trees '!C815</f>
        <v/>
      </c>
      <c r="C957" s="24" t="str">
        <f>'Landscape Trees '!D815</f>
        <v/>
      </c>
      <c r="D957" s="24" t="str">
        <f>'Landscape Trees '!E815</f>
        <v/>
      </c>
      <c r="E957" s="24" t="str">
        <f>'Landscape Trees '!F815</f>
        <v/>
      </c>
      <c r="F957" s="24" t="str">
        <f>'Landscape Trees '!G815</f>
        <v/>
      </c>
      <c r="G957" s="24" t="str">
        <f>'Landscape Trees '!H815</f>
        <v/>
      </c>
      <c r="H957" s="24" t="str">
        <f>'Landscape Trees '!I815</f>
        <v/>
      </c>
    </row>
    <row r="958">
      <c r="A958" s="24" t="str">
        <f>'Landscape Trees '!A816</f>
        <v/>
      </c>
      <c r="B958" s="24" t="str">
        <f>'Landscape Trees '!C816</f>
        <v/>
      </c>
      <c r="C958" s="24" t="str">
        <f>'Landscape Trees '!D816</f>
        <v/>
      </c>
      <c r="D958" s="24" t="str">
        <f>'Landscape Trees '!E816</f>
        <v/>
      </c>
      <c r="E958" s="24" t="str">
        <f>'Landscape Trees '!F816</f>
        <v/>
      </c>
      <c r="F958" s="24" t="str">
        <f>'Landscape Trees '!G816</f>
        <v/>
      </c>
      <c r="G958" s="24" t="str">
        <f>'Landscape Trees '!H816</f>
        <v/>
      </c>
      <c r="H958" s="24" t="str">
        <f>'Landscape Trees '!I816</f>
        <v/>
      </c>
    </row>
    <row r="959">
      <c r="A959" s="24" t="str">
        <f>'Landscape Trees '!A817</f>
        <v/>
      </c>
      <c r="B959" s="24" t="str">
        <f>'Landscape Trees '!C817</f>
        <v/>
      </c>
      <c r="C959" s="24" t="str">
        <f>'Landscape Trees '!D817</f>
        <v/>
      </c>
      <c r="D959" s="24" t="str">
        <f>'Landscape Trees '!E817</f>
        <v/>
      </c>
      <c r="E959" s="24" t="str">
        <f>'Landscape Trees '!F817</f>
        <v/>
      </c>
      <c r="F959" s="24" t="str">
        <f>'Landscape Trees '!G817</f>
        <v/>
      </c>
      <c r="G959" s="24" t="str">
        <f>'Landscape Trees '!H817</f>
        <v/>
      </c>
      <c r="H959" s="24" t="str">
        <f>'Landscape Trees '!I817</f>
        <v/>
      </c>
    </row>
    <row r="960">
      <c r="A960" s="24" t="str">
        <f>'Landscape Trees '!A818</f>
        <v/>
      </c>
      <c r="B960" s="24" t="str">
        <f>'Landscape Trees '!C818</f>
        <v/>
      </c>
      <c r="C960" s="24" t="str">
        <f>'Landscape Trees '!D818</f>
        <v/>
      </c>
      <c r="D960" s="24" t="str">
        <f>'Landscape Trees '!E818</f>
        <v/>
      </c>
      <c r="E960" s="24" t="str">
        <f>'Landscape Trees '!F818</f>
        <v/>
      </c>
      <c r="F960" s="24" t="str">
        <f>'Landscape Trees '!G818</f>
        <v/>
      </c>
      <c r="G960" s="24" t="str">
        <f>'Landscape Trees '!H818</f>
        <v/>
      </c>
      <c r="H960" s="24" t="str">
        <f>'Landscape Trees '!I818</f>
        <v/>
      </c>
    </row>
    <row r="961">
      <c r="A961" s="24" t="str">
        <f>'Landscape Trees '!A819</f>
        <v/>
      </c>
      <c r="B961" s="24" t="str">
        <f>'Landscape Trees '!C819</f>
        <v/>
      </c>
      <c r="C961" s="24" t="str">
        <f>'Landscape Trees '!D819</f>
        <v/>
      </c>
      <c r="D961" s="24" t="str">
        <f>'Landscape Trees '!E819</f>
        <v/>
      </c>
      <c r="E961" s="24" t="str">
        <f>'Landscape Trees '!F819</f>
        <v/>
      </c>
      <c r="F961" s="24" t="str">
        <f>'Landscape Trees '!G819</f>
        <v/>
      </c>
      <c r="G961" s="24" t="str">
        <f>'Landscape Trees '!H819</f>
        <v/>
      </c>
      <c r="H961" s="24" t="str">
        <f>'Landscape Trees '!I819</f>
        <v/>
      </c>
    </row>
    <row r="962">
      <c r="A962" s="24" t="str">
        <f>'Landscape Trees '!A820</f>
        <v/>
      </c>
      <c r="B962" s="24" t="str">
        <f>'Landscape Trees '!C820</f>
        <v/>
      </c>
      <c r="C962" s="24" t="str">
        <f>'Landscape Trees '!D820</f>
        <v/>
      </c>
      <c r="D962" s="24" t="str">
        <f>'Landscape Trees '!E820</f>
        <v/>
      </c>
      <c r="E962" s="24" t="str">
        <f>'Landscape Trees '!F820</f>
        <v/>
      </c>
      <c r="F962" s="24" t="str">
        <f>'Landscape Trees '!G820</f>
        <v/>
      </c>
      <c r="G962" s="24" t="str">
        <f>'Landscape Trees '!H820</f>
        <v/>
      </c>
      <c r="H962" s="24" t="str">
        <f>'Landscape Trees '!I820</f>
        <v/>
      </c>
    </row>
    <row r="963">
      <c r="A963" s="24" t="str">
        <f>'Landscape Trees '!A821</f>
        <v/>
      </c>
      <c r="B963" s="24" t="str">
        <f>'Landscape Trees '!C821</f>
        <v/>
      </c>
      <c r="C963" s="24" t="str">
        <f>'Landscape Trees '!D821</f>
        <v/>
      </c>
      <c r="D963" s="24" t="str">
        <f>'Landscape Trees '!E821</f>
        <v/>
      </c>
      <c r="E963" s="24" t="str">
        <f>'Landscape Trees '!F821</f>
        <v/>
      </c>
      <c r="F963" s="24" t="str">
        <f>'Landscape Trees '!G821</f>
        <v/>
      </c>
      <c r="G963" s="24" t="str">
        <f>'Landscape Trees '!H821</f>
        <v/>
      </c>
      <c r="H963" s="24" t="str">
        <f>'Landscape Trees '!I821</f>
        <v/>
      </c>
    </row>
    <row r="964">
      <c r="A964" s="24" t="str">
        <f>'Landscape Trees '!A822</f>
        <v/>
      </c>
      <c r="B964" s="24" t="str">
        <f>'Landscape Trees '!C822</f>
        <v/>
      </c>
      <c r="C964" s="24" t="str">
        <f>'Landscape Trees '!D822</f>
        <v/>
      </c>
      <c r="D964" s="24" t="str">
        <f>'Landscape Trees '!E822</f>
        <v/>
      </c>
      <c r="E964" s="24" t="str">
        <f>'Landscape Trees '!F822</f>
        <v/>
      </c>
      <c r="F964" s="24" t="str">
        <f>'Landscape Trees '!G822</f>
        <v/>
      </c>
      <c r="G964" s="24" t="str">
        <f>'Landscape Trees '!H822</f>
        <v/>
      </c>
      <c r="H964" s="24" t="str">
        <f>'Landscape Trees '!I822</f>
        <v/>
      </c>
    </row>
    <row r="965">
      <c r="A965" s="24" t="str">
        <f>'Landscape Trees '!A823</f>
        <v/>
      </c>
      <c r="B965" s="24" t="str">
        <f>'Landscape Trees '!C823</f>
        <v/>
      </c>
      <c r="C965" s="24" t="str">
        <f>'Landscape Trees '!D823</f>
        <v/>
      </c>
      <c r="D965" s="24" t="str">
        <f>'Landscape Trees '!E823</f>
        <v/>
      </c>
      <c r="E965" s="24" t="str">
        <f>'Landscape Trees '!F823</f>
        <v/>
      </c>
      <c r="F965" s="24" t="str">
        <f>'Landscape Trees '!G823</f>
        <v/>
      </c>
      <c r="G965" s="24" t="str">
        <f>'Landscape Trees '!H823</f>
        <v/>
      </c>
      <c r="H965" s="24" t="str">
        <f>'Landscape Trees '!I823</f>
        <v/>
      </c>
    </row>
    <row r="966">
      <c r="A966" s="24" t="str">
        <f>'Landscape Trees '!A824</f>
        <v/>
      </c>
      <c r="B966" s="24" t="str">
        <f>'Landscape Trees '!C824</f>
        <v/>
      </c>
      <c r="C966" s="24" t="str">
        <f>'Landscape Trees '!D824</f>
        <v/>
      </c>
      <c r="D966" s="24" t="str">
        <f>'Landscape Trees '!E824</f>
        <v/>
      </c>
      <c r="E966" s="24" t="str">
        <f>'Landscape Trees '!F824</f>
        <v/>
      </c>
      <c r="F966" s="24" t="str">
        <f>'Landscape Trees '!G824</f>
        <v/>
      </c>
      <c r="G966" s="24" t="str">
        <f>'Landscape Trees '!H824</f>
        <v/>
      </c>
      <c r="H966" s="24" t="str">
        <f>'Landscape Trees '!I824</f>
        <v/>
      </c>
    </row>
    <row r="967">
      <c r="A967" s="24" t="str">
        <f>'Landscape Trees '!A825</f>
        <v/>
      </c>
      <c r="B967" s="24" t="str">
        <f>'Landscape Trees '!C825</f>
        <v/>
      </c>
      <c r="C967" s="24" t="str">
        <f>'Landscape Trees '!D825</f>
        <v/>
      </c>
      <c r="D967" s="24" t="str">
        <f>'Landscape Trees '!E825</f>
        <v/>
      </c>
      <c r="E967" s="24" t="str">
        <f>'Landscape Trees '!F825</f>
        <v/>
      </c>
      <c r="F967" s="24" t="str">
        <f>'Landscape Trees '!G825</f>
        <v/>
      </c>
      <c r="G967" s="24" t="str">
        <f>'Landscape Trees '!H825</f>
        <v/>
      </c>
      <c r="H967" s="24" t="str">
        <f>'Landscape Trees '!I825</f>
        <v/>
      </c>
    </row>
    <row r="968">
      <c r="A968" s="24" t="str">
        <f>'Landscape Trees '!A826</f>
        <v/>
      </c>
      <c r="B968" s="24" t="str">
        <f>'Landscape Trees '!C826</f>
        <v/>
      </c>
      <c r="C968" s="24" t="str">
        <f>'Landscape Trees '!D826</f>
        <v/>
      </c>
      <c r="D968" s="24" t="str">
        <f>'Landscape Trees '!E826</f>
        <v/>
      </c>
      <c r="E968" s="24" t="str">
        <f>'Landscape Trees '!F826</f>
        <v/>
      </c>
      <c r="F968" s="24" t="str">
        <f>'Landscape Trees '!G826</f>
        <v/>
      </c>
      <c r="G968" s="24" t="str">
        <f>'Landscape Trees '!H826</f>
        <v/>
      </c>
      <c r="H968" s="24" t="str">
        <f>'Landscape Trees '!I826</f>
        <v/>
      </c>
    </row>
    <row r="969">
      <c r="A969" s="24" t="str">
        <f>'Landscape Trees '!A827</f>
        <v/>
      </c>
      <c r="B969" s="24" t="str">
        <f>'Landscape Trees '!C827</f>
        <v/>
      </c>
      <c r="C969" s="24" t="str">
        <f>'Landscape Trees '!D827</f>
        <v/>
      </c>
      <c r="D969" s="24" t="str">
        <f>'Landscape Trees '!E827</f>
        <v/>
      </c>
      <c r="E969" s="24" t="str">
        <f>'Landscape Trees '!F827</f>
        <v/>
      </c>
      <c r="F969" s="24" t="str">
        <f>'Landscape Trees '!G827</f>
        <v/>
      </c>
      <c r="G969" s="24" t="str">
        <f>'Landscape Trees '!H827</f>
        <v/>
      </c>
      <c r="H969" s="24" t="str">
        <f>'Landscape Trees '!I827</f>
        <v/>
      </c>
    </row>
    <row r="970">
      <c r="A970" s="24" t="str">
        <f>'Landscape Trees '!A828</f>
        <v/>
      </c>
      <c r="B970" s="24" t="str">
        <f>'Landscape Trees '!C828</f>
        <v/>
      </c>
      <c r="C970" s="24" t="str">
        <f>'Landscape Trees '!D828</f>
        <v/>
      </c>
      <c r="D970" s="24" t="str">
        <f>'Landscape Trees '!E828</f>
        <v/>
      </c>
      <c r="E970" s="24" t="str">
        <f>'Landscape Trees '!F828</f>
        <v/>
      </c>
      <c r="F970" s="24" t="str">
        <f>'Landscape Trees '!G828</f>
        <v/>
      </c>
      <c r="G970" s="24" t="str">
        <f>'Landscape Trees '!H828</f>
        <v/>
      </c>
      <c r="H970" s="24" t="str">
        <f>'Landscape Trees '!I828</f>
        <v/>
      </c>
    </row>
    <row r="971">
      <c r="A971" s="24" t="str">
        <f>'Landscape Trees '!A829</f>
        <v/>
      </c>
      <c r="B971" s="24" t="str">
        <f>'Landscape Trees '!C829</f>
        <v/>
      </c>
      <c r="C971" s="24" t="str">
        <f>'Landscape Trees '!D829</f>
        <v/>
      </c>
      <c r="D971" s="24" t="str">
        <f>'Landscape Trees '!E829</f>
        <v/>
      </c>
      <c r="E971" s="24" t="str">
        <f>'Landscape Trees '!F829</f>
        <v/>
      </c>
      <c r="F971" s="24" t="str">
        <f>'Landscape Trees '!G829</f>
        <v/>
      </c>
      <c r="G971" s="24" t="str">
        <f>'Landscape Trees '!H829</f>
        <v/>
      </c>
      <c r="H971" s="24" t="str">
        <f>'Landscape Trees '!I829</f>
        <v/>
      </c>
    </row>
    <row r="972">
      <c r="A972" s="24" t="str">
        <f>'Landscape Trees '!A830</f>
        <v/>
      </c>
      <c r="B972" s="24" t="str">
        <f>'Landscape Trees '!C830</f>
        <v/>
      </c>
      <c r="C972" s="24" t="str">
        <f>'Landscape Trees '!D830</f>
        <v/>
      </c>
      <c r="D972" s="24" t="str">
        <f>'Landscape Trees '!E830</f>
        <v/>
      </c>
      <c r="E972" s="24" t="str">
        <f>'Landscape Trees '!F830</f>
        <v/>
      </c>
      <c r="F972" s="24" t="str">
        <f>'Landscape Trees '!G830</f>
        <v/>
      </c>
      <c r="G972" s="24" t="str">
        <f>'Landscape Trees '!H830</f>
        <v/>
      </c>
      <c r="H972" s="24" t="str">
        <f>'Landscape Trees '!I830</f>
        <v/>
      </c>
    </row>
    <row r="973">
      <c r="A973" s="24" t="str">
        <f>'Landscape Trees '!A831</f>
        <v/>
      </c>
      <c r="B973" s="24" t="str">
        <f>'Landscape Trees '!C831</f>
        <v/>
      </c>
      <c r="C973" s="24" t="str">
        <f>'Landscape Trees '!D831</f>
        <v/>
      </c>
      <c r="D973" s="24" t="str">
        <f>'Landscape Trees '!E831</f>
        <v/>
      </c>
      <c r="E973" s="24" t="str">
        <f>'Landscape Trees '!F831</f>
        <v/>
      </c>
      <c r="F973" s="24" t="str">
        <f>'Landscape Trees '!G831</f>
        <v/>
      </c>
      <c r="G973" s="24" t="str">
        <f>'Landscape Trees '!H831</f>
        <v/>
      </c>
      <c r="H973" s="24" t="str">
        <f>'Landscape Trees '!I831</f>
        <v/>
      </c>
    </row>
    <row r="974">
      <c r="A974" s="24" t="str">
        <f>'Landscape Trees '!A832</f>
        <v/>
      </c>
      <c r="B974" s="24" t="str">
        <f>'Landscape Trees '!C832</f>
        <v/>
      </c>
      <c r="C974" s="24" t="str">
        <f>'Landscape Trees '!D832</f>
        <v/>
      </c>
      <c r="D974" s="24" t="str">
        <f>'Landscape Trees '!E832</f>
        <v/>
      </c>
      <c r="E974" s="24" t="str">
        <f>'Landscape Trees '!F832</f>
        <v/>
      </c>
      <c r="F974" s="24" t="str">
        <f>'Landscape Trees '!G832</f>
        <v/>
      </c>
      <c r="G974" s="24" t="str">
        <f>'Landscape Trees '!H832</f>
        <v/>
      </c>
      <c r="H974" s="24" t="str">
        <f>'Landscape Trees '!I832</f>
        <v/>
      </c>
    </row>
    <row r="975">
      <c r="A975" s="24" t="str">
        <f>'Landscape Trees '!A833</f>
        <v/>
      </c>
      <c r="B975" s="24" t="str">
        <f>'Landscape Trees '!C833</f>
        <v/>
      </c>
      <c r="C975" s="24" t="str">
        <f>'Landscape Trees '!D833</f>
        <v/>
      </c>
      <c r="D975" s="24" t="str">
        <f>'Landscape Trees '!E833</f>
        <v/>
      </c>
      <c r="E975" s="24" t="str">
        <f>'Landscape Trees '!F833</f>
        <v/>
      </c>
      <c r="F975" s="24" t="str">
        <f>'Landscape Trees '!G833</f>
        <v/>
      </c>
      <c r="G975" s="24" t="str">
        <f>'Landscape Trees '!H833</f>
        <v/>
      </c>
      <c r="H975" s="24" t="str">
        <f>'Landscape Trees '!I833</f>
        <v/>
      </c>
    </row>
    <row r="976">
      <c r="A976" s="24" t="str">
        <f>'Landscape Trees '!A834</f>
        <v/>
      </c>
      <c r="B976" s="24" t="str">
        <f>'Landscape Trees '!C834</f>
        <v/>
      </c>
      <c r="C976" s="24" t="str">
        <f>'Landscape Trees '!D834</f>
        <v/>
      </c>
      <c r="D976" s="24" t="str">
        <f>'Landscape Trees '!E834</f>
        <v/>
      </c>
      <c r="E976" s="24" t="str">
        <f>'Landscape Trees '!F834</f>
        <v/>
      </c>
      <c r="F976" s="24" t="str">
        <f>'Landscape Trees '!G834</f>
        <v/>
      </c>
      <c r="G976" s="24" t="str">
        <f>'Landscape Trees '!H834</f>
        <v/>
      </c>
      <c r="H976" s="24" t="str">
        <f>'Landscape Trees '!I834</f>
        <v/>
      </c>
    </row>
    <row r="977">
      <c r="A977" s="24" t="str">
        <f>'Landscape Trees '!A835</f>
        <v/>
      </c>
      <c r="B977" s="24" t="str">
        <f>'Landscape Trees '!C835</f>
        <v/>
      </c>
      <c r="C977" s="24" t="str">
        <f>'Landscape Trees '!D835</f>
        <v/>
      </c>
      <c r="D977" s="24" t="str">
        <f>'Landscape Trees '!E835</f>
        <v/>
      </c>
      <c r="E977" s="24" t="str">
        <f>'Landscape Trees '!F835</f>
        <v/>
      </c>
      <c r="F977" s="24" t="str">
        <f>'Landscape Trees '!G835</f>
        <v/>
      </c>
      <c r="G977" s="24" t="str">
        <f>'Landscape Trees '!H835</f>
        <v/>
      </c>
      <c r="H977" s="24" t="str">
        <f>'Landscape Trees '!I835</f>
        <v/>
      </c>
    </row>
    <row r="978">
      <c r="A978" s="24" t="str">
        <f>'Landscape Trees '!A836</f>
        <v/>
      </c>
      <c r="B978" s="24" t="str">
        <f>'Landscape Trees '!C836</f>
        <v/>
      </c>
      <c r="C978" s="24" t="str">
        <f>'Landscape Trees '!D836</f>
        <v/>
      </c>
      <c r="D978" s="24" t="str">
        <f>'Landscape Trees '!E836</f>
        <v/>
      </c>
      <c r="E978" s="24" t="str">
        <f>'Landscape Trees '!F836</f>
        <v/>
      </c>
      <c r="F978" s="24" t="str">
        <f>'Landscape Trees '!G836</f>
        <v/>
      </c>
      <c r="G978" s="24" t="str">
        <f>'Landscape Trees '!H836</f>
        <v/>
      </c>
      <c r="H978" s="24" t="str">
        <f>'Landscape Trees '!I836</f>
        <v/>
      </c>
    </row>
    <row r="979">
      <c r="A979" s="24" t="str">
        <f>'Landscape Trees '!A837</f>
        <v/>
      </c>
      <c r="B979" s="24" t="str">
        <f>'Landscape Trees '!C837</f>
        <v/>
      </c>
      <c r="C979" s="24" t="str">
        <f>'Landscape Trees '!D837</f>
        <v/>
      </c>
      <c r="D979" s="24" t="str">
        <f>'Landscape Trees '!E837</f>
        <v/>
      </c>
      <c r="E979" s="24" t="str">
        <f>'Landscape Trees '!F837</f>
        <v/>
      </c>
      <c r="F979" s="24" t="str">
        <f>'Landscape Trees '!G837</f>
        <v/>
      </c>
      <c r="G979" s="24" t="str">
        <f>'Landscape Trees '!H837</f>
        <v/>
      </c>
      <c r="H979" s="24" t="str">
        <f>'Landscape Trees '!I837</f>
        <v/>
      </c>
    </row>
    <row r="980">
      <c r="A980" s="24" t="str">
        <f>'Landscape Trees '!A838</f>
        <v/>
      </c>
      <c r="B980" s="24" t="str">
        <f>'Landscape Trees '!C838</f>
        <v/>
      </c>
      <c r="C980" s="24" t="str">
        <f>'Landscape Trees '!D838</f>
        <v/>
      </c>
      <c r="D980" s="24" t="str">
        <f>'Landscape Trees '!E838</f>
        <v/>
      </c>
      <c r="E980" s="24" t="str">
        <f>'Landscape Trees '!F838</f>
        <v/>
      </c>
      <c r="F980" s="24" t="str">
        <f>'Landscape Trees '!G838</f>
        <v/>
      </c>
      <c r="G980" s="24" t="str">
        <f>'Landscape Trees '!H838</f>
        <v/>
      </c>
      <c r="H980" s="24" t="str">
        <f>'Landscape Trees '!I838</f>
        <v/>
      </c>
    </row>
    <row r="981">
      <c r="A981" s="24" t="str">
        <f>'Landscape Trees '!A839</f>
        <v/>
      </c>
      <c r="B981" s="24" t="str">
        <f>'Landscape Trees '!C839</f>
        <v/>
      </c>
      <c r="C981" s="24" t="str">
        <f>'Landscape Trees '!D839</f>
        <v/>
      </c>
      <c r="D981" s="24" t="str">
        <f>'Landscape Trees '!E839</f>
        <v/>
      </c>
      <c r="E981" s="24" t="str">
        <f>'Landscape Trees '!F839</f>
        <v/>
      </c>
      <c r="F981" s="24" t="str">
        <f>'Landscape Trees '!G839</f>
        <v/>
      </c>
      <c r="G981" s="24" t="str">
        <f>'Landscape Trees '!H839</f>
        <v/>
      </c>
      <c r="H981" s="24" t="str">
        <f>'Landscape Trees '!I839</f>
        <v/>
      </c>
    </row>
    <row r="982">
      <c r="A982" s="24" t="str">
        <f>'Landscape Trees '!A840</f>
        <v/>
      </c>
      <c r="B982" s="24" t="str">
        <f>'Landscape Trees '!C840</f>
        <v/>
      </c>
      <c r="C982" s="24" t="str">
        <f>'Landscape Trees '!D840</f>
        <v/>
      </c>
      <c r="D982" s="24" t="str">
        <f>'Landscape Trees '!E840</f>
        <v/>
      </c>
      <c r="E982" s="24" t="str">
        <f>'Landscape Trees '!F840</f>
        <v/>
      </c>
      <c r="F982" s="24" t="str">
        <f>'Landscape Trees '!G840</f>
        <v/>
      </c>
      <c r="G982" s="24" t="str">
        <f>'Landscape Trees '!H840</f>
        <v/>
      </c>
      <c r="H982" s="24" t="str">
        <f>'Landscape Trees '!I840</f>
        <v/>
      </c>
    </row>
    <row r="983">
      <c r="A983" s="24" t="str">
        <f>'Landscape Trees '!A841</f>
        <v/>
      </c>
      <c r="B983" s="24" t="str">
        <f>'Landscape Trees '!C841</f>
        <v/>
      </c>
      <c r="C983" s="24" t="str">
        <f>'Landscape Trees '!D841</f>
        <v/>
      </c>
      <c r="D983" s="24" t="str">
        <f>'Landscape Trees '!E841</f>
        <v/>
      </c>
      <c r="E983" s="24" t="str">
        <f>'Landscape Trees '!F841</f>
        <v/>
      </c>
      <c r="F983" s="24" t="str">
        <f>'Landscape Trees '!G841</f>
        <v/>
      </c>
      <c r="G983" s="24" t="str">
        <f>'Landscape Trees '!H841</f>
        <v/>
      </c>
      <c r="H983" s="24" t="str">
        <f>'Landscape Trees '!I841</f>
        <v/>
      </c>
    </row>
    <row r="984">
      <c r="A984" s="24" t="str">
        <f>'Landscape Trees '!A842</f>
        <v/>
      </c>
      <c r="B984" s="24" t="str">
        <f>'Landscape Trees '!C842</f>
        <v/>
      </c>
      <c r="C984" s="24" t="str">
        <f>'Landscape Trees '!D842</f>
        <v/>
      </c>
      <c r="D984" s="24" t="str">
        <f>'Landscape Trees '!E842</f>
        <v/>
      </c>
      <c r="E984" s="24" t="str">
        <f>'Landscape Trees '!F842</f>
        <v/>
      </c>
      <c r="F984" s="24" t="str">
        <f>'Landscape Trees '!G842</f>
        <v/>
      </c>
      <c r="G984" s="24" t="str">
        <f>'Landscape Trees '!H842</f>
        <v/>
      </c>
      <c r="H984" s="24" t="str">
        <f>'Landscape Trees '!I842</f>
        <v/>
      </c>
    </row>
    <row r="985">
      <c r="A985" s="24" t="str">
        <f>'Landscape Trees '!A843</f>
        <v/>
      </c>
      <c r="B985" s="24" t="str">
        <f>'Landscape Trees '!C843</f>
        <v/>
      </c>
      <c r="C985" s="24" t="str">
        <f>'Landscape Trees '!D843</f>
        <v/>
      </c>
      <c r="D985" s="24" t="str">
        <f>'Landscape Trees '!E843</f>
        <v/>
      </c>
      <c r="E985" s="24" t="str">
        <f>'Landscape Trees '!F843</f>
        <v/>
      </c>
      <c r="F985" s="24" t="str">
        <f>'Landscape Trees '!G843</f>
        <v/>
      </c>
      <c r="G985" s="24" t="str">
        <f>'Landscape Trees '!H843</f>
        <v/>
      </c>
      <c r="H985" s="24" t="str">
        <f>'Landscape Trees '!I843</f>
        <v/>
      </c>
    </row>
    <row r="986">
      <c r="A986" s="24" t="str">
        <f>'Landscape Trees '!A844</f>
        <v/>
      </c>
      <c r="B986" s="24" t="str">
        <f>'Landscape Trees '!C844</f>
        <v/>
      </c>
      <c r="C986" s="24" t="str">
        <f>'Landscape Trees '!D844</f>
        <v/>
      </c>
      <c r="D986" s="24" t="str">
        <f>'Landscape Trees '!E844</f>
        <v/>
      </c>
      <c r="E986" s="24" t="str">
        <f>'Landscape Trees '!F844</f>
        <v/>
      </c>
      <c r="F986" s="24" t="str">
        <f>'Landscape Trees '!G844</f>
        <v/>
      </c>
      <c r="G986" s="24" t="str">
        <f>'Landscape Trees '!H844</f>
        <v/>
      </c>
      <c r="H986" s="24" t="str">
        <f>'Landscape Trees '!I844</f>
        <v/>
      </c>
    </row>
    <row r="987">
      <c r="A987" s="24" t="str">
        <f>'Landscape Trees '!A845</f>
        <v/>
      </c>
      <c r="B987" s="24" t="str">
        <f>'Landscape Trees '!C845</f>
        <v/>
      </c>
      <c r="C987" s="24" t="str">
        <f>'Landscape Trees '!D845</f>
        <v/>
      </c>
      <c r="D987" s="24" t="str">
        <f>'Landscape Trees '!E845</f>
        <v/>
      </c>
      <c r="E987" s="24" t="str">
        <f>'Landscape Trees '!F845</f>
        <v/>
      </c>
      <c r="F987" s="24" t="str">
        <f>'Landscape Trees '!G845</f>
        <v/>
      </c>
      <c r="G987" s="24" t="str">
        <f>'Landscape Trees '!H845</f>
        <v/>
      </c>
      <c r="H987" s="24" t="str">
        <f>'Landscape Trees '!I845</f>
        <v/>
      </c>
    </row>
    <row r="988">
      <c r="A988" s="24" t="str">
        <f>'Landscape Trees '!A846</f>
        <v/>
      </c>
      <c r="B988" s="24" t="str">
        <f>'Landscape Trees '!C846</f>
        <v/>
      </c>
      <c r="C988" s="24" t="str">
        <f>'Landscape Trees '!D846</f>
        <v/>
      </c>
      <c r="D988" s="24" t="str">
        <f>'Landscape Trees '!E846</f>
        <v/>
      </c>
      <c r="E988" s="24" t="str">
        <f>'Landscape Trees '!F846</f>
        <v/>
      </c>
      <c r="F988" s="24" t="str">
        <f>'Landscape Trees '!G846</f>
        <v/>
      </c>
      <c r="G988" s="24" t="str">
        <f>'Landscape Trees '!H846</f>
        <v/>
      </c>
      <c r="H988" s="24" t="str">
        <f>'Landscape Trees '!I846</f>
        <v/>
      </c>
    </row>
    <row r="989">
      <c r="A989" s="24" t="str">
        <f>'Landscape Trees '!A847</f>
        <v/>
      </c>
      <c r="B989" s="24" t="str">
        <f>'Landscape Trees '!C847</f>
        <v/>
      </c>
      <c r="C989" s="24" t="str">
        <f>'Landscape Trees '!D847</f>
        <v/>
      </c>
      <c r="D989" s="24" t="str">
        <f>'Landscape Trees '!E847</f>
        <v/>
      </c>
      <c r="E989" s="24" t="str">
        <f>'Landscape Trees '!F847</f>
        <v/>
      </c>
      <c r="F989" s="24" t="str">
        <f>'Landscape Trees '!G847</f>
        <v/>
      </c>
      <c r="G989" s="24" t="str">
        <f>'Landscape Trees '!H847</f>
        <v/>
      </c>
      <c r="H989" s="24" t="str">
        <f>'Landscape Trees '!I847</f>
        <v/>
      </c>
    </row>
    <row r="990">
      <c r="A990" s="24" t="str">
        <f>'Landscape Trees '!A848</f>
        <v/>
      </c>
      <c r="B990" s="24" t="str">
        <f>'Landscape Trees '!C848</f>
        <v/>
      </c>
      <c r="C990" s="24" t="str">
        <f>'Landscape Trees '!D848</f>
        <v/>
      </c>
      <c r="D990" s="24" t="str">
        <f>'Landscape Trees '!E848</f>
        <v/>
      </c>
      <c r="E990" s="24" t="str">
        <f>'Landscape Trees '!F848</f>
        <v/>
      </c>
      <c r="F990" s="24" t="str">
        <f>'Landscape Trees '!G848</f>
        <v/>
      </c>
      <c r="G990" s="24" t="str">
        <f>'Landscape Trees '!H848</f>
        <v/>
      </c>
      <c r="H990" s="24" t="str">
        <f>'Landscape Trees '!I848</f>
        <v/>
      </c>
    </row>
    <row r="991">
      <c r="A991" s="24" t="str">
        <f>'Landscape Trees '!A849</f>
        <v/>
      </c>
      <c r="B991" s="24" t="str">
        <f>'Landscape Trees '!C849</f>
        <v/>
      </c>
      <c r="C991" s="24" t="str">
        <f>'Landscape Trees '!D849</f>
        <v/>
      </c>
      <c r="D991" s="24" t="str">
        <f>'Landscape Trees '!E849</f>
        <v/>
      </c>
      <c r="E991" s="24" t="str">
        <f>'Landscape Trees '!F849</f>
        <v/>
      </c>
      <c r="F991" s="24" t="str">
        <f>'Landscape Trees '!G849</f>
        <v/>
      </c>
      <c r="G991" s="24" t="str">
        <f>'Landscape Trees '!H849</f>
        <v/>
      </c>
      <c r="H991" s="24" t="str">
        <f>'Landscape Trees '!I849</f>
        <v/>
      </c>
    </row>
    <row r="992">
      <c r="A992" s="24" t="str">
        <f>'Landscape Trees '!A850</f>
        <v/>
      </c>
      <c r="B992" s="24" t="str">
        <f>'Landscape Trees '!C850</f>
        <v/>
      </c>
      <c r="C992" s="24" t="str">
        <f>'Landscape Trees '!D850</f>
        <v/>
      </c>
      <c r="D992" s="24" t="str">
        <f>'Landscape Trees '!E850</f>
        <v/>
      </c>
      <c r="E992" s="24" t="str">
        <f>'Landscape Trees '!F850</f>
        <v/>
      </c>
      <c r="F992" s="24" t="str">
        <f>'Landscape Trees '!G850</f>
        <v/>
      </c>
      <c r="G992" s="24" t="str">
        <f>'Landscape Trees '!H850</f>
        <v/>
      </c>
      <c r="H992" s="24" t="str">
        <f>'Landscape Trees '!I850</f>
        <v/>
      </c>
    </row>
    <row r="993">
      <c r="A993" s="24" t="str">
        <f>'Landscape Trees '!A851</f>
        <v/>
      </c>
      <c r="B993" s="24" t="str">
        <f>'Landscape Trees '!C851</f>
        <v/>
      </c>
      <c r="C993" s="24" t="str">
        <f>'Landscape Trees '!D851</f>
        <v/>
      </c>
      <c r="D993" s="24" t="str">
        <f>'Landscape Trees '!E851</f>
        <v/>
      </c>
      <c r="E993" s="24" t="str">
        <f>'Landscape Trees '!F851</f>
        <v/>
      </c>
      <c r="F993" s="24" t="str">
        <f>'Landscape Trees '!G851</f>
        <v/>
      </c>
      <c r="G993" s="24" t="str">
        <f>'Landscape Trees '!H851</f>
        <v/>
      </c>
      <c r="H993" s="24" t="str">
        <f>'Landscape Trees '!I851</f>
        <v/>
      </c>
    </row>
    <row r="994">
      <c r="A994" s="24" t="str">
        <f>'Landscape Trees '!A852</f>
        <v/>
      </c>
      <c r="B994" s="24" t="str">
        <f>'Landscape Trees '!C852</f>
        <v/>
      </c>
      <c r="C994" s="24" t="str">
        <f>'Landscape Trees '!D852</f>
        <v/>
      </c>
      <c r="D994" s="24" t="str">
        <f>'Landscape Trees '!E852</f>
        <v/>
      </c>
      <c r="E994" s="24" t="str">
        <f>'Landscape Trees '!F852</f>
        <v/>
      </c>
      <c r="F994" s="24" t="str">
        <f>'Landscape Trees '!G852</f>
        <v/>
      </c>
      <c r="G994" s="24" t="str">
        <f>'Landscape Trees '!H852</f>
        <v/>
      </c>
      <c r="H994" s="24" t="str">
        <f>'Landscape Trees '!I852</f>
        <v/>
      </c>
    </row>
    <row r="995">
      <c r="A995" s="24" t="str">
        <f>'Landscape Trees '!A853</f>
        <v/>
      </c>
      <c r="B995" s="24" t="str">
        <f>'Landscape Trees '!C853</f>
        <v/>
      </c>
      <c r="C995" s="24" t="str">
        <f>'Landscape Trees '!D853</f>
        <v/>
      </c>
      <c r="D995" s="24" t="str">
        <f>'Landscape Trees '!E853</f>
        <v/>
      </c>
      <c r="E995" s="24" t="str">
        <f>'Landscape Trees '!F853</f>
        <v/>
      </c>
      <c r="F995" s="24" t="str">
        <f>'Landscape Trees '!G853</f>
        <v/>
      </c>
      <c r="G995" s="24" t="str">
        <f>'Landscape Trees '!H853</f>
        <v/>
      </c>
      <c r="H995" s="24" t="str">
        <f>'Landscape Trees '!I853</f>
        <v/>
      </c>
    </row>
    <row r="996">
      <c r="A996" s="24" t="str">
        <f>'Landscape Trees '!A854</f>
        <v/>
      </c>
      <c r="B996" s="24" t="str">
        <f>'Landscape Trees '!C854</f>
        <v/>
      </c>
      <c r="C996" s="24" t="str">
        <f>'Landscape Trees '!D854</f>
        <v/>
      </c>
      <c r="D996" s="24" t="str">
        <f>'Landscape Trees '!E854</f>
        <v/>
      </c>
      <c r="E996" s="24" t="str">
        <f>'Landscape Trees '!F854</f>
        <v/>
      </c>
      <c r="F996" s="24" t="str">
        <f>'Landscape Trees '!G854</f>
        <v/>
      </c>
      <c r="G996" s="24" t="str">
        <f>'Landscape Trees '!H854</f>
        <v/>
      </c>
      <c r="H996" s="24" t="str">
        <f>'Landscape Trees '!I854</f>
        <v/>
      </c>
    </row>
    <row r="997">
      <c r="A997" s="24" t="str">
        <f>'Landscape Trees '!A855</f>
        <v/>
      </c>
      <c r="B997" s="24" t="str">
        <f>'Landscape Trees '!C855</f>
        <v/>
      </c>
      <c r="C997" s="24" t="str">
        <f>'Landscape Trees '!D855</f>
        <v/>
      </c>
      <c r="D997" s="24" t="str">
        <f>'Landscape Trees '!E855</f>
        <v/>
      </c>
      <c r="E997" s="24" t="str">
        <f>'Landscape Trees '!F855</f>
        <v/>
      </c>
      <c r="F997" s="24" t="str">
        <f>'Landscape Trees '!G855</f>
        <v/>
      </c>
      <c r="G997" s="24" t="str">
        <f>'Landscape Trees '!H855</f>
        <v/>
      </c>
      <c r="H997" s="24" t="str">
        <f>'Landscape Trees '!I855</f>
        <v/>
      </c>
    </row>
    <row r="998">
      <c r="A998" s="24" t="str">
        <f>'Landscape Trees '!A856</f>
        <v/>
      </c>
      <c r="B998" s="24" t="str">
        <f>'Landscape Trees '!C856</f>
        <v/>
      </c>
      <c r="C998" s="24" t="str">
        <f>'Landscape Trees '!D856</f>
        <v/>
      </c>
      <c r="D998" s="24" t="str">
        <f>'Landscape Trees '!E856</f>
        <v/>
      </c>
      <c r="E998" s="24" t="str">
        <f>'Landscape Trees '!F856</f>
        <v/>
      </c>
      <c r="F998" s="24" t="str">
        <f>'Landscape Trees '!G856</f>
        <v/>
      </c>
      <c r="G998" s="24" t="str">
        <f>'Landscape Trees '!H856</f>
        <v/>
      </c>
      <c r="H998" s="24" t="str">
        <f>'Landscape Trees '!I856</f>
        <v/>
      </c>
    </row>
    <row r="999">
      <c r="A999" s="24" t="str">
        <f>'Landscape Trees '!A857</f>
        <v/>
      </c>
      <c r="B999" s="24" t="str">
        <f>'Landscape Trees '!C857</f>
        <v/>
      </c>
      <c r="C999" s="24" t="str">
        <f>'Landscape Trees '!D857</f>
        <v/>
      </c>
      <c r="D999" s="24" t="str">
        <f>'Landscape Trees '!E857</f>
        <v/>
      </c>
      <c r="E999" s="24" t="str">
        <f>'Landscape Trees '!F857</f>
        <v/>
      </c>
      <c r="F999" s="24" t="str">
        <f>'Landscape Trees '!G857</f>
        <v/>
      </c>
      <c r="G999" s="24" t="str">
        <f>'Landscape Trees '!H857</f>
        <v/>
      </c>
      <c r="H999" s="24" t="str">
        <f>'Landscape Trees '!I857</f>
        <v/>
      </c>
    </row>
    <row r="1000">
      <c r="A1000" s="24" t="str">
        <f>'Landscape Trees '!A858</f>
        <v/>
      </c>
      <c r="B1000" s="24" t="str">
        <f>'Landscape Trees '!C858</f>
        <v/>
      </c>
      <c r="C1000" s="24" t="str">
        <f>'Landscape Trees '!D858</f>
        <v/>
      </c>
      <c r="D1000" s="24" t="str">
        <f>'Landscape Trees '!E858</f>
        <v/>
      </c>
      <c r="E1000" s="24" t="str">
        <f>'Landscape Trees '!F858</f>
        <v/>
      </c>
      <c r="F1000" s="24" t="str">
        <f>'Landscape Trees '!G858</f>
        <v/>
      </c>
      <c r="G1000" s="24" t="str">
        <f>'Landscape Trees '!H858</f>
        <v/>
      </c>
      <c r="H1000" s="24" t="str">
        <f>'Landscape Trees '!I858</f>
        <v/>
      </c>
    </row>
    <row r="1001">
      <c r="A1001" s="24" t="str">
        <f>'Landscape Trees '!A859</f>
        <v/>
      </c>
      <c r="B1001" s="24" t="str">
        <f>'Landscape Trees '!C859</f>
        <v/>
      </c>
      <c r="C1001" s="24" t="str">
        <f>'Landscape Trees '!D859</f>
        <v/>
      </c>
      <c r="D1001" s="24" t="str">
        <f>'Landscape Trees '!E859</f>
        <v/>
      </c>
      <c r="E1001" s="24" t="str">
        <f>'Landscape Trees '!F859</f>
        <v/>
      </c>
      <c r="F1001" s="24" t="str">
        <f>'Landscape Trees '!G859</f>
        <v/>
      </c>
      <c r="G1001" s="24" t="str">
        <f>'Landscape Trees '!H859</f>
        <v/>
      </c>
      <c r="H1001" s="24" t="str">
        <f>'Landscape Trees '!I859</f>
        <v/>
      </c>
    </row>
    <row r="1002">
      <c r="A1002" s="24" t="str">
        <f>'Landscape Trees '!A860</f>
        <v/>
      </c>
      <c r="B1002" s="24" t="str">
        <f>'Landscape Trees '!C860</f>
        <v/>
      </c>
      <c r="C1002" s="24" t="str">
        <f>'Landscape Trees '!D860</f>
        <v/>
      </c>
      <c r="D1002" s="24" t="str">
        <f>'Landscape Trees '!E860</f>
        <v/>
      </c>
      <c r="E1002" s="24" t="str">
        <f>'Landscape Trees '!F860</f>
        <v/>
      </c>
      <c r="F1002" s="24" t="str">
        <f>'Landscape Trees '!G860</f>
        <v/>
      </c>
      <c r="G1002" s="24" t="str">
        <f>'Landscape Trees '!H860</f>
        <v/>
      </c>
      <c r="H1002" s="24" t="str">
        <f>'Landscape Trees '!I860</f>
        <v/>
      </c>
    </row>
    <row r="1003">
      <c r="A1003" s="24" t="str">
        <f>'Landscape Trees '!A861</f>
        <v/>
      </c>
      <c r="B1003" s="24" t="str">
        <f>'Landscape Trees '!C861</f>
        <v/>
      </c>
      <c r="C1003" s="24" t="str">
        <f>'Landscape Trees '!D861</f>
        <v/>
      </c>
      <c r="D1003" s="24" t="str">
        <f>'Landscape Trees '!E861</f>
        <v/>
      </c>
      <c r="E1003" s="24" t="str">
        <f>'Landscape Trees '!F861</f>
        <v/>
      </c>
      <c r="F1003" s="24" t="str">
        <f>'Landscape Trees '!G861</f>
        <v/>
      </c>
      <c r="G1003" s="24" t="str">
        <f>'Landscape Trees '!H861</f>
        <v/>
      </c>
      <c r="H1003" s="24" t="str">
        <f>'Landscape Trees '!I861</f>
        <v/>
      </c>
    </row>
    <row r="1004">
      <c r="A1004" s="24" t="str">
        <f>'Landscape Trees '!A862</f>
        <v/>
      </c>
      <c r="B1004" s="24" t="str">
        <f>'Landscape Trees '!C862</f>
        <v/>
      </c>
      <c r="C1004" s="24" t="str">
        <f>'Landscape Trees '!D862</f>
        <v/>
      </c>
      <c r="D1004" s="24" t="str">
        <f>'Landscape Trees '!E862</f>
        <v/>
      </c>
      <c r="E1004" s="24" t="str">
        <f>'Landscape Trees '!F862</f>
        <v/>
      </c>
      <c r="F1004" s="24" t="str">
        <f>'Landscape Trees '!G862</f>
        <v/>
      </c>
      <c r="G1004" s="24" t="str">
        <f>'Landscape Trees '!H862</f>
        <v/>
      </c>
      <c r="H1004" s="24" t="str">
        <f>'Landscape Trees '!I862</f>
        <v/>
      </c>
    </row>
    <row r="1005">
      <c r="A1005" s="24" t="str">
        <f>'Landscape Trees '!A863</f>
        <v/>
      </c>
      <c r="B1005" s="24" t="str">
        <f>'Landscape Trees '!C863</f>
        <v/>
      </c>
      <c r="C1005" s="24" t="str">
        <f>'Landscape Trees '!D863</f>
        <v/>
      </c>
      <c r="D1005" s="24" t="str">
        <f>'Landscape Trees '!E863</f>
        <v/>
      </c>
      <c r="E1005" s="24" t="str">
        <f>'Landscape Trees '!F863</f>
        <v/>
      </c>
      <c r="F1005" s="24" t="str">
        <f>'Landscape Trees '!G863</f>
        <v/>
      </c>
      <c r="G1005" s="24" t="str">
        <f>'Landscape Trees '!H863</f>
        <v/>
      </c>
      <c r="H1005" s="24" t="str">
        <f>'Landscape Trees '!I863</f>
        <v/>
      </c>
    </row>
    <row r="1006">
      <c r="A1006" s="24" t="str">
        <f>'Landscape Trees '!A864</f>
        <v/>
      </c>
      <c r="B1006" s="24" t="str">
        <f>'Landscape Trees '!C864</f>
        <v/>
      </c>
      <c r="C1006" s="24" t="str">
        <f>'Landscape Trees '!D864</f>
        <v/>
      </c>
      <c r="D1006" s="24" t="str">
        <f>'Landscape Trees '!E864</f>
        <v/>
      </c>
      <c r="E1006" s="24" t="str">
        <f>'Landscape Trees '!F864</f>
        <v/>
      </c>
      <c r="F1006" s="24" t="str">
        <f>'Landscape Trees '!G864</f>
        <v/>
      </c>
      <c r="G1006" s="24" t="str">
        <f>'Landscape Trees '!H864</f>
        <v/>
      </c>
      <c r="H1006" s="24" t="str">
        <f>'Landscape Trees '!I864</f>
        <v/>
      </c>
    </row>
    <row r="1007">
      <c r="A1007" s="24" t="str">
        <f>'Landscape Trees '!A865</f>
        <v/>
      </c>
      <c r="B1007" s="24" t="str">
        <f>'Landscape Trees '!C865</f>
        <v/>
      </c>
      <c r="C1007" s="24" t="str">
        <f>'Landscape Trees '!D865</f>
        <v/>
      </c>
      <c r="D1007" s="24" t="str">
        <f>'Landscape Trees '!E865</f>
        <v/>
      </c>
      <c r="E1007" s="24" t="str">
        <f>'Landscape Trees '!F865</f>
        <v/>
      </c>
      <c r="F1007" s="24" t="str">
        <f>'Landscape Trees '!G865</f>
        <v/>
      </c>
      <c r="G1007" s="24" t="str">
        <f>'Landscape Trees '!H865</f>
        <v/>
      </c>
      <c r="H1007" s="24" t="str">
        <f>'Landscape Trees '!I865</f>
        <v/>
      </c>
    </row>
    <row r="1008">
      <c r="A1008" s="24" t="str">
        <f>'Landscape Trees '!A866</f>
        <v/>
      </c>
      <c r="B1008" s="24" t="str">
        <f>'Landscape Trees '!C866</f>
        <v/>
      </c>
      <c r="C1008" s="24" t="str">
        <f>'Landscape Trees '!D866</f>
        <v/>
      </c>
      <c r="D1008" s="24" t="str">
        <f>'Landscape Trees '!E866</f>
        <v/>
      </c>
      <c r="E1008" s="24" t="str">
        <f>'Landscape Trees '!F866</f>
        <v/>
      </c>
      <c r="F1008" s="24" t="str">
        <f>'Landscape Trees '!G866</f>
        <v/>
      </c>
      <c r="G1008" s="24" t="str">
        <f>'Landscape Trees '!H866</f>
        <v/>
      </c>
      <c r="H1008" s="24" t="str">
        <f>'Landscape Trees '!I866</f>
        <v/>
      </c>
    </row>
    <row r="1009">
      <c r="A1009" s="24" t="str">
        <f>'Landscape Trees '!A867</f>
        <v/>
      </c>
      <c r="B1009" s="24" t="str">
        <f>'Landscape Trees '!C867</f>
        <v/>
      </c>
      <c r="C1009" s="24" t="str">
        <f>'Landscape Trees '!D867</f>
        <v/>
      </c>
      <c r="D1009" s="24" t="str">
        <f>'Landscape Trees '!E867</f>
        <v/>
      </c>
      <c r="E1009" s="24" t="str">
        <f>'Landscape Trees '!F867</f>
        <v/>
      </c>
      <c r="F1009" s="24" t="str">
        <f>'Landscape Trees '!G867</f>
        <v/>
      </c>
      <c r="G1009" s="24" t="str">
        <f>'Landscape Trees '!H867</f>
        <v/>
      </c>
      <c r="H1009" s="24" t="str">
        <f>'Landscape Trees '!I867</f>
        <v/>
      </c>
    </row>
    <row r="1010">
      <c r="A1010" s="24" t="str">
        <f>'Landscape Trees '!A868</f>
        <v/>
      </c>
      <c r="B1010" s="24" t="str">
        <f>'Landscape Trees '!C868</f>
        <v/>
      </c>
      <c r="C1010" s="24" t="str">
        <f>'Landscape Trees '!D868</f>
        <v/>
      </c>
      <c r="D1010" s="24" t="str">
        <f>'Landscape Trees '!E868</f>
        <v/>
      </c>
      <c r="E1010" s="24" t="str">
        <f>'Landscape Trees '!F868</f>
        <v/>
      </c>
      <c r="F1010" s="24" t="str">
        <f>'Landscape Trees '!G868</f>
        <v/>
      </c>
      <c r="G1010" s="24" t="str">
        <f>'Landscape Trees '!H868</f>
        <v/>
      </c>
      <c r="H1010" s="24" t="str">
        <f>'Landscape Trees '!I868</f>
        <v/>
      </c>
    </row>
    <row r="1011">
      <c r="A1011" s="24" t="str">
        <f>'Landscape Trees '!A869</f>
        <v/>
      </c>
      <c r="B1011" s="24" t="str">
        <f>'Landscape Trees '!C869</f>
        <v/>
      </c>
      <c r="C1011" s="24" t="str">
        <f>'Landscape Trees '!D869</f>
        <v/>
      </c>
      <c r="D1011" s="24" t="str">
        <f>'Landscape Trees '!E869</f>
        <v/>
      </c>
      <c r="E1011" s="24" t="str">
        <f>'Landscape Trees '!F869</f>
        <v/>
      </c>
      <c r="F1011" s="24" t="str">
        <f>'Landscape Trees '!G869</f>
        <v/>
      </c>
      <c r="G1011" s="24" t="str">
        <f>'Landscape Trees '!H869</f>
        <v/>
      </c>
      <c r="H1011" s="24" t="str">
        <f>'Landscape Trees '!I869</f>
        <v/>
      </c>
    </row>
    <row r="1012">
      <c r="A1012" s="24" t="str">
        <f>'Landscape Trees '!A870</f>
        <v/>
      </c>
      <c r="B1012" s="24" t="str">
        <f>'Landscape Trees '!C870</f>
        <v/>
      </c>
      <c r="C1012" s="24" t="str">
        <f>'Landscape Trees '!D870</f>
        <v/>
      </c>
      <c r="D1012" s="24" t="str">
        <f>'Landscape Trees '!E870</f>
        <v/>
      </c>
      <c r="E1012" s="24" t="str">
        <f>'Landscape Trees '!F870</f>
        <v/>
      </c>
      <c r="F1012" s="24" t="str">
        <f>'Landscape Trees '!G870</f>
        <v/>
      </c>
      <c r="G1012" s="24" t="str">
        <f>'Landscape Trees '!H870</f>
        <v/>
      </c>
      <c r="H1012" s="24" t="str">
        <f>'Landscape Trees '!I870</f>
        <v/>
      </c>
    </row>
    <row r="1013">
      <c r="A1013" s="24" t="str">
        <f>'Landscape Trees '!A871</f>
        <v/>
      </c>
      <c r="B1013" s="24" t="str">
        <f>'Landscape Trees '!C871</f>
        <v/>
      </c>
      <c r="C1013" s="24" t="str">
        <f>'Landscape Trees '!D871</f>
        <v/>
      </c>
      <c r="D1013" s="24" t="str">
        <f>'Landscape Trees '!E871</f>
        <v/>
      </c>
      <c r="E1013" s="24" t="str">
        <f>'Landscape Trees '!F871</f>
        <v/>
      </c>
      <c r="F1013" s="24" t="str">
        <f>'Landscape Trees '!G871</f>
        <v/>
      </c>
      <c r="G1013" s="24" t="str">
        <f>'Landscape Trees '!H871</f>
        <v/>
      </c>
      <c r="H1013" s="24" t="str">
        <f>'Landscape Trees '!I871</f>
        <v/>
      </c>
    </row>
    <row r="1014">
      <c r="A1014" s="24" t="str">
        <f>'Landscape Trees '!A872</f>
        <v/>
      </c>
      <c r="B1014" s="24" t="str">
        <f>'Landscape Trees '!C872</f>
        <v/>
      </c>
      <c r="C1014" s="24" t="str">
        <f>'Landscape Trees '!D872</f>
        <v/>
      </c>
      <c r="D1014" s="24" t="str">
        <f>'Landscape Trees '!E872</f>
        <v/>
      </c>
      <c r="E1014" s="24" t="str">
        <f>'Landscape Trees '!F872</f>
        <v/>
      </c>
      <c r="F1014" s="24" t="str">
        <f>'Landscape Trees '!G872</f>
        <v/>
      </c>
      <c r="G1014" s="24" t="str">
        <f>'Landscape Trees '!H872</f>
        <v/>
      </c>
      <c r="H1014" s="24" t="str">
        <f>'Landscape Trees '!I872</f>
        <v/>
      </c>
    </row>
    <row r="1015">
      <c r="A1015" s="24" t="str">
        <f>'Landscape Trees '!A873</f>
        <v/>
      </c>
      <c r="B1015" s="24" t="str">
        <f>'Landscape Trees '!C873</f>
        <v/>
      </c>
      <c r="C1015" s="24" t="str">
        <f>'Landscape Trees '!D873</f>
        <v/>
      </c>
      <c r="D1015" s="24" t="str">
        <f>'Landscape Trees '!E873</f>
        <v/>
      </c>
      <c r="E1015" s="24" t="str">
        <f>'Landscape Trees '!F873</f>
        <v/>
      </c>
      <c r="F1015" s="24" t="str">
        <f>'Landscape Trees '!G873</f>
        <v/>
      </c>
      <c r="G1015" s="24" t="str">
        <f>'Landscape Trees '!H873</f>
        <v/>
      </c>
      <c r="H1015" s="24" t="str">
        <f>'Landscape Trees '!I873</f>
        <v/>
      </c>
    </row>
    <row r="1016">
      <c r="A1016" s="24" t="str">
        <f>'Landscape Trees '!A874</f>
        <v/>
      </c>
      <c r="B1016" s="24" t="str">
        <f>'Landscape Trees '!C874</f>
        <v/>
      </c>
      <c r="C1016" s="24" t="str">
        <f>'Landscape Trees '!D874</f>
        <v/>
      </c>
      <c r="D1016" s="24" t="str">
        <f>'Landscape Trees '!E874</f>
        <v/>
      </c>
      <c r="E1016" s="24" t="str">
        <f>'Landscape Trees '!F874</f>
        <v/>
      </c>
      <c r="F1016" s="24" t="str">
        <f>'Landscape Trees '!G874</f>
        <v/>
      </c>
      <c r="G1016" s="24" t="str">
        <f>'Landscape Trees '!H874</f>
        <v/>
      </c>
      <c r="H1016" s="24" t="str">
        <f>'Landscape Trees '!I874</f>
        <v/>
      </c>
    </row>
    <row r="1017">
      <c r="A1017" s="24" t="str">
        <f>'Landscape Trees '!A875</f>
        <v/>
      </c>
      <c r="B1017" s="24" t="str">
        <f>'Landscape Trees '!C875</f>
        <v/>
      </c>
      <c r="C1017" s="24" t="str">
        <f>'Landscape Trees '!D875</f>
        <v/>
      </c>
      <c r="D1017" s="24" t="str">
        <f>'Landscape Trees '!E875</f>
        <v/>
      </c>
      <c r="E1017" s="24" t="str">
        <f>'Landscape Trees '!F875</f>
        <v/>
      </c>
      <c r="F1017" s="24" t="str">
        <f>'Landscape Trees '!G875</f>
        <v/>
      </c>
      <c r="G1017" s="24" t="str">
        <f>'Landscape Trees '!H875</f>
        <v/>
      </c>
      <c r="H1017" s="24" t="str">
        <f>'Landscape Trees '!I875</f>
        <v/>
      </c>
    </row>
    <row r="1018">
      <c r="A1018" s="24" t="str">
        <f>'Landscape Trees '!A876</f>
        <v/>
      </c>
      <c r="B1018" s="24" t="str">
        <f>'Landscape Trees '!C876</f>
        <v/>
      </c>
      <c r="C1018" s="24" t="str">
        <f>'Landscape Trees '!D876</f>
        <v/>
      </c>
      <c r="D1018" s="24" t="str">
        <f>'Landscape Trees '!E876</f>
        <v/>
      </c>
      <c r="E1018" s="24" t="str">
        <f>'Landscape Trees '!F876</f>
        <v/>
      </c>
      <c r="F1018" s="24" t="str">
        <f>'Landscape Trees '!G876</f>
        <v/>
      </c>
      <c r="G1018" s="24" t="str">
        <f>'Landscape Trees '!H876</f>
        <v/>
      </c>
      <c r="H1018" s="24" t="str">
        <f>'Landscape Trees '!I876</f>
        <v/>
      </c>
    </row>
    <row r="1019">
      <c r="A1019" s="24" t="str">
        <f>'Landscape Trees '!A877</f>
        <v/>
      </c>
      <c r="B1019" s="24" t="str">
        <f>'Landscape Trees '!C877</f>
        <v/>
      </c>
      <c r="C1019" s="24" t="str">
        <f>'Landscape Trees '!D877</f>
        <v/>
      </c>
      <c r="D1019" s="24" t="str">
        <f>'Landscape Trees '!E877</f>
        <v/>
      </c>
      <c r="E1019" s="24" t="str">
        <f>'Landscape Trees '!F877</f>
        <v/>
      </c>
      <c r="F1019" s="24" t="str">
        <f>'Landscape Trees '!G877</f>
        <v/>
      </c>
      <c r="G1019" s="24" t="str">
        <f>'Landscape Trees '!H877</f>
        <v/>
      </c>
      <c r="H1019" s="24" t="str">
        <f>'Landscape Trees '!I877</f>
        <v/>
      </c>
    </row>
    <row r="1020">
      <c r="A1020" s="24" t="str">
        <f>'Landscape Trees '!A878</f>
        <v/>
      </c>
      <c r="B1020" s="24" t="str">
        <f>'Landscape Trees '!C878</f>
        <v/>
      </c>
      <c r="C1020" s="24" t="str">
        <f>'Landscape Trees '!D878</f>
        <v/>
      </c>
      <c r="D1020" s="24" t="str">
        <f>'Landscape Trees '!E878</f>
        <v/>
      </c>
      <c r="E1020" s="24" t="str">
        <f>'Landscape Trees '!F878</f>
        <v/>
      </c>
      <c r="F1020" s="24" t="str">
        <f>'Landscape Trees '!G878</f>
        <v/>
      </c>
      <c r="G1020" s="24" t="str">
        <f>'Landscape Trees '!H878</f>
        <v/>
      </c>
      <c r="H1020" s="24" t="str">
        <f>'Landscape Trees '!I878</f>
        <v/>
      </c>
    </row>
    <row r="1021">
      <c r="A1021" s="24" t="str">
        <f>'Landscape Trees '!A879</f>
        <v/>
      </c>
      <c r="B1021" s="24" t="str">
        <f>'Landscape Trees '!C879</f>
        <v/>
      </c>
      <c r="C1021" s="24" t="str">
        <f>'Landscape Trees '!D879</f>
        <v/>
      </c>
      <c r="D1021" s="24" t="str">
        <f>'Landscape Trees '!E879</f>
        <v/>
      </c>
      <c r="E1021" s="24" t="str">
        <f>'Landscape Trees '!F879</f>
        <v/>
      </c>
      <c r="F1021" s="24" t="str">
        <f>'Landscape Trees '!G879</f>
        <v/>
      </c>
      <c r="G1021" s="24" t="str">
        <f>'Landscape Trees '!H879</f>
        <v/>
      </c>
      <c r="H1021" s="24" t="str">
        <f>'Landscape Trees '!I879</f>
        <v/>
      </c>
    </row>
    <row r="1022">
      <c r="A1022" s="24" t="str">
        <f>'Landscape Trees '!A880</f>
        <v/>
      </c>
      <c r="B1022" s="24" t="str">
        <f>'Landscape Trees '!C880</f>
        <v/>
      </c>
      <c r="C1022" s="24" t="str">
        <f>'Landscape Trees '!D880</f>
        <v/>
      </c>
      <c r="D1022" s="24" t="str">
        <f>'Landscape Trees '!E880</f>
        <v/>
      </c>
      <c r="E1022" s="24" t="str">
        <f>'Landscape Trees '!F880</f>
        <v/>
      </c>
      <c r="F1022" s="24" t="str">
        <f>'Landscape Trees '!G880</f>
        <v/>
      </c>
      <c r="G1022" s="24" t="str">
        <f>'Landscape Trees '!H880</f>
        <v/>
      </c>
      <c r="H1022" s="24" t="str">
        <f>'Landscape Trees '!I880</f>
        <v/>
      </c>
    </row>
    <row r="1023">
      <c r="A1023" s="24" t="str">
        <f>'Landscape Trees '!A881</f>
        <v/>
      </c>
      <c r="B1023" s="24" t="str">
        <f>'Landscape Trees '!C881</f>
        <v/>
      </c>
      <c r="C1023" s="24" t="str">
        <f>'Landscape Trees '!D881</f>
        <v/>
      </c>
      <c r="D1023" s="24" t="str">
        <f>'Landscape Trees '!E881</f>
        <v/>
      </c>
      <c r="E1023" s="24" t="str">
        <f>'Landscape Trees '!F881</f>
        <v/>
      </c>
      <c r="F1023" s="24" t="str">
        <f>'Landscape Trees '!G881</f>
        <v/>
      </c>
      <c r="G1023" s="24" t="str">
        <f>'Landscape Trees '!H881</f>
        <v/>
      </c>
      <c r="H1023" s="24" t="str">
        <f>'Landscape Trees '!I881</f>
        <v/>
      </c>
    </row>
    <row r="1024">
      <c r="A1024" s="24" t="str">
        <f>'Landscape Trees '!A882</f>
        <v/>
      </c>
      <c r="B1024" s="24" t="str">
        <f>'Landscape Trees '!C882</f>
        <v/>
      </c>
      <c r="C1024" s="24" t="str">
        <f>'Landscape Trees '!D882</f>
        <v/>
      </c>
      <c r="D1024" s="24" t="str">
        <f>'Landscape Trees '!E882</f>
        <v/>
      </c>
      <c r="E1024" s="24" t="str">
        <f>'Landscape Trees '!F882</f>
        <v/>
      </c>
      <c r="F1024" s="24" t="str">
        <f>'Landscape Trees '!G882</f>
        <v/>
      </c>
      <c r="G1024" s="24" t="str">
        <f>'Landscape Trees '!H882</f>
        <v/>
      </c>
      <c r="H1024" s="24" t="str">
        <f>'Landscape Trees '!I882</f>
        <v/>
      </c>
    </row>
    <row r="1025">
      <c r="A1025" s="24" t="str">
        <f>'Landscape Trees '!A883</f>
        <v/>
      </c>
      <c r="B1025" s="24" t="str">
        <f>'Landscape Trees '!C883</f>
        <v/>
      </c>
      <c r="C1025" s="24" t="str">
        <f>'Landscape Trees '!D883</f>
        <v/>
      </c>
      <c r="D1025" s="24" t="str">
        <f>'Landscape Trees '!E883</f>
        <v/>
      </c>
      <c r="E1025" s="24" t="str">
        <f>'Landscape Trees '!F883</f>
        <v/>
      </c>
      <c r="F1025" s="24" t="str">
        <f>'Landscape Trees '!G883</f>
        <v/>
      </c>
      <c r="G1025" s="24" t="str">
        <f>'Landscape Trees '!H883</f>
        <v/>
      </c>
      <c r="H1025" s="24" t="str">
        <f>'Landscape Trees '!I883</f>
        <v/>
      </c>
    </row>
    <row r="1026">
      <c r="A1026" s="24" t="str">
        <f>'Landscape Trees '!A884</f>
        <v/>
      </c>
      <c r="B1026" s="24" t="str">
        <f>'Landscape Trees '!C884</f>
        <v/>
      </c>
      <c r="C1026" s="24" t="str">
        <f>'Landscape Trees '!D884</f>
        <v/>
      </c>
      <c r="D1026" s="24" t="str">
        <f>'Landscape Trees '!E884</f>
        <v/>
      </c>
      <c r="E1026" s="24" t="str">
        <f>'Landscape Trees '!F884</f>
        <v/>
      </c>
      <c r="F1026" s="24" t="str">
        <f>'Landscape Trees '!G884</f>
        <v/>
      </c>
      <c r="G1026" s="24" t="str">
        <f>'Landscape Trees '!H884</f>
        <v/>
      </c>
      <c r="H1026" s="24" t="str">
        <f>'Landscape Trees '!I884</f>
        <v/>
      </c>
    </row>
    <row r="1027">
      <c r="A1027" s="24" t="str">
        <f>'Landscape Trees '!A885</f>
        <v/>
      </c>
      <c r="B1027" s="24" t="str">
        <f>'Landscape Trees '!C885</f>
        <v/>
      </c>
      <c r="C1027" s="24" t="str">
        <f>'Landscape Trees '!D885</f>
        <v/>
      </c>
      <c r="D1027" s="24" t="str">
        <f>'Landscape Trees '!E885</f>
        <v/>
      </c>
      <c r="E1027" s="24" t="str">
        <f>'Landscape Trees '!F885</f>
        <v/>
      </c>
      <c r="F1027" s="24" t="str">
        <f>'Landscape Trees '!G885</f>
        <v/>
      </c>
      <c r="G1027" s="24" t="str">
        <f>'Landscape Trees '!H885</f>
        <v/>
      </c>
      <c r="H1027" s="24" t="str">
        <f>'Landscape Trees '!I885</f>
        <v/>
      </c>
    </row>
    <row r="1028">
      <c r="A1028" s="24" t="str">
        <f>'Landscape Trees '!A886</f>
        <v/>
      </c>
      <c r="B1028" s="24" t="str">
        <f>'Landscape Trees '!C886</f>
        <v/>
      </c>
      <c r="C1028" s="24" t="str">
        <f>'Landscape Trees '!D886</f>
        <v/>
      </c>
      <c r="D1028" s="24" t="str">
        <f>'Landscape Trees '!E886</f>
        <v/>
      </c>
      <c r="E1028" s="24" t="str">
        <f>'Landscape Trees '!F886</f>
        <v/>
      </c>
      <c r="F1028" s="24" t="str">
        <f>'Landscape Trees '!G886</f>
        <v/>
      </c>
      <c r="G1028" s="24" t="str">
        <f>'Landscape Trees '!H886</f>
        <v/>
      </c>
      <c r="H1028" s="24" t="str">
        <f>'Landscape Trees '!I886</f>
        <v/>
      </c>
    </row>
    <row r="1029">
      <c r="A1029" s="24" t="str">
        <f>'Landscape Trees '!A887</f>
        <v/>
      </c>
      <c r="B1029" s="24" t="str">
        <f>'Landscape Trees '!C887</f>
        <v/>
      </c>
      <c r="C1029" s="24" t="str">
        <f>'Landscape Trees '!D887</f>
        <v/>
      </c>
      <c r="D1029" s="24" t="str">
        <f>'Landscape Trees '!E887</f>
        <v/>
      </c>
      <c r="E1029" s="24" t="str">
        <f>'Landscape Trees '!F887</f>
        <v/>
      </c>
      <c r="F1029" s="24" t="str">
        <f>'Landscape Trees '!G887</f>
        <v/>
      </c>
      <c r="G1029" s="24" t="str">
        <f>'Landscape Trees '!H887</f>
        <v/>
      </c>
      <c r="H1029" s="24" t="str">
        <f>'Landscape Trees '!I887</f>
        <v/>
      </c>
    </row>
    <row r="1030">
      <c r="A1030" s="24" t="str">
        <f>'Landscape Trees '!A888</f>
        <v/>
      </c>
      <c r="B1030" s="24" t="str">
        <f>'Landscape Trees '!C888</f>
        <v/>
      </c>
      <c r="C1030" s="24" t="str">
        <f>'Landscape Trees '!D888</f>
        <v/>
      </c>
      <c r="D1030" s="24" t="str">
        <f>'Landscape Trees '!E888</f>
        <v/>
      </c>
      <c r="E1030" s="24" t="str">
        <f>'Landscape Trees '!F888</f>
        <v/>
      </c>
      <c r="F1030" s="24" t="str">
        <f>'Landscape Trees '!G888</f>
        <v/>
      </c>
      <c r="G1030" s="24" t="str">
        <f>'Landscape Trees '!H888</f>
        <v/>
      </c>
      <c r="H1030" s="24" t="str">
        <f>'Landscape Trees '!I888</f>
        <v/>
      </c>
    </row>
    <row r="1031">
      <c r="A1031" s="24" t="str">
        <f>'Landscape Trees '!A889</f>
        <v/>
      </c>
      <c r="B1031" s="24" t="str">
        <f>'Landscape Trees '!C889</f>
        <v/>
      </c>
      <c r="C1031" s="24" t="str">
        <f>'Landscape Trees '!D889</f>
        <v/>
      </c>
      <c r="D1031" s="24" t="str">
        <f>'Landscape Trees '!E889</f>
        <v/>
      </c>
      <c r="E1031" s="24" t="str">
        <f>'Landscape Trees '!F889</f>
        <v/>
      </c>
      <c r="F1031" s="24" t="str">
        <f>'Landscape Trees '!G889</f>
        <v/>
      </c>
      <c r="G1031" s="24" t="str">
        <f>'Landscape Trees '!H889</f>
        <v/>
      </c>
      <c r="H1031" s="24" t="str">
        <f>'Landscape Trees '!I889</f>
        <v/>
      </c>
    </row>
    <row r="1032">
      <c r="A1032" s="24" t="str">
        <f>'Landscape Trees '!A890</f>
        <v/>
      </c>
      <c r="B1032" s="24" t="str">
        <f>'Landscape Trees '!C890</f>
        <v/>
      </c>
      <c r="C1032" s="24" t="str">
        <f>'Landscape Trees '!D890</f>
        <v/>
      </c>
      <c r="D1032" s="24" t="str">
        <f>'Landscape Trees '!E890</f>
        <v/>
      </c>
      <c r="E1032" s="24" t="str">
        <f>'Landscape Trees '!F890</f>
        <v/>
      </c>
      <c r="F1032" s="24" t="str">
        <f>'Landscape Trees '!G890</f>
        <v/>
      </c>
      <c r="G1032" s="24" t="str">
        <f>'Landscape Trees '!H890</f>
        <v/>
      </c>
      <c r="H1032" s="24" t="str">
        <f>'Landscape Trees '!I890</f>
        <v/>
      </c>
    </row>
    <row r="1033">
      <c r="A1033" s="24" t="str">
        <f>'Landscape Trees '!A891</f>
        <v/>
      </c>
      <c r="B1033" s="24" t="str">
        <f>'Landscape Trees '!C891</f>
        <v/>
      </c>
      <c r="C1033" s="24" t="str">
        <f>'Landscape Trees '!D891</f>
        <v/>
      </c>
      <c r="D1033" s="24" t="str">
        <f>'Landscape Trees '!E891</f>
        <v/>
      </c>
      <c r="E1033" s="24" t="str">
        <f>'Landscape Trees '!F891</f>
        <v/>
      </c>
      <c r="F1033" s="24" t="str">
        <f>'Landscape Trees '!G891</f>
        <v/>
      </c>
      <c r="G1033" s="24" t="str">
        <f>'Landscape Trees '!H891</f>
        <v/>
      </c>
      <c r="H1033" s="24" t="str">
        <f>'Landscape Trees '!I891</f>
        <v/>
      </c>
    </row>
    <row r="1034">
      <c r="A1034" s="24" t="str">
        <f>'Landscape Trees '!A892</f>
        <v/>
      </c>
      <c r="B1034" s="24" t="str">
        <f>'Landscape Trees '!C892</f>
        <v/>
      </c>
      <c r="C1034" s="24" t="str">
        <f>'Landscape Trees '!D892</f>
        <v/>
      </c>
      <c r="D1034" s="24" t="str">
        <f>'Landscape Trees '!E892</f>
        <v/>
      </c>
      <c r="E1034" s="24" t="str">
        <f>'Landscape Trees '!F892</f>
        <v/>
      </c>
      <c r="F1034" s="24" t="str">
        <f>'Landscape Trees '!G892</f>
        <v/>
      </c>
      <c r="G1034" s="24" t="str">
        <f>'Landscape Trees '!H892</f>
        <v/>
      </c>
      <c r="H1034" s="24" t="str">
        <f>'Landscape Trees '!I892</f>
        <v/>
      </c>
    </row>
    <row r="1035">
      <c r="A1035" s="24" t="str">
        <f>'Landscape Trees '!A893</f>
        <v/>
      </c>
      <c r="B1035" s="24" t="str">
        <f>'Landscape Trees '!C893</f>
        <v/>
      </c>
      <c r="C1035" s="24" t="str">
        <f>'Landscape Trees '!D893</f>
        <v/>
      </c>
      <c r="D1035" s="24" t="str">
        <f>'Landscape Trees '!E893</f>
        <v/>
      </c>
      <c r="E1035" s="24" t="str">
        <f>'Landscape Trees '!F893</f>
        <v/>
      </c>
      <c r="F1035" s="24" t="str">
        <f>'Landscape Trees '!G893</f>
        <v/>
      </c>
      <c r="G1035" s="24" t="str">
        <f>'Landscape Trees '!H893</f>
        <v/>
      </c>
      <c r="H1035" s="24" t="str">
        <f>'Landscape Trees '!I893</f>
        <v/>
      </c>
    </row>
    <row r="1036">
      <c r="A1036" s="24" t="str">
        <f>'Landscape Trees '!A894</f>
        <v/>
      </c>
      <c r="B1036" s="24" t="str">
        <f>'Landscape Trees '!C894</f>
        <v/>
      </c>
      <c r="C1036" s="24" t="str">
        <f>'Landscape Trees '!D894</f>
        <v/>
      </c>
      <c r="D1036" s="24" t="str">
        <f>'Landscape Trees '!E894</f>
        <v/>
      </c>
      <c r="E1036" s="24" t="str">
        <f>'Landscape Trees '!F894</f>
        <v/>
      </c>
      <c r="F1036" s="24" t="str">
        <f>'Landscape Trees '!G894</f>
        <v/>
      </c>
      <c r="G1036" s="24" t="str">
        <f>'Landscape Trees '!H894</f>
        <v/>
      </c>
      <c r="H1036" s="24" t="str">
        <f>'Landscape Trees '!I894</f>
        <v/>
      </c>
    </row>
    <row r="1037">
      <c r="A1037" s="24" t="str">
        <f>'Landscape Trees '!A895</f>
        <v/>
      </c>
      <c r="B1037" s="24" t="str">
        <f>'Landscape Trees '!C895</f>
        <v/>
      </c>
      <c r="C1037" s="24" t="str">
        <f>'Landscape Trees '!D895</f>
        <v/>
      </c>
      <c r="D1037" s="24" t="str">
        <f>'Landscape Trees '!E895</f>
        <v/>
      </c>
      <c r="E1037" s="24" t="str">
        <f>'Landscape Trees '!F895</f>
        <v/>
      </c>
      <c r="F1037" s="24" t="str">
        <f>'Landscape Trees '!G895</f>
        <v/>
      </c>
      <c r="G1037" s="24" t="str">
        <f>'Landscape Trees '!H895</f>
        <v/>
      </c>
      <c r="H1037" s="24" t="str">
        <f>'Landscape Trees '!I895</f>
        <v/>
      </c>
    </row>
    <row r="1038">
      <c r="A1038" s="24" t="str">
        <f>'Landscape Trees '!A896</f>
        <v/>
      </c>
      <c r="B1038" s="24" t="str">
        <f>'Landscape Trees '!C896</f>
        <v/>
      </c>
      <c r="C1038" s="24" t="str">
        <f>'Landscape Trees '!D896</f>
        <v/>
      </c>
      <c r="D1038" s="24" t="str">
        <f>'Landscape Trees '!E896</f>
        <v/>
      </c>
      <c r="E1038" s="24" t="str">
        <f>'Landscape Trees '!F896</f>
        <v/>
      </c>
      <c r="F1038" s="24" t="str">
        <f>'Landscape Trees '!G896</f>
        <v/>
      </c>
      <c r="G1038" s="24" t="str">
        <f>'Landscape Trees '!H896</f>
        <v/>
      </c>
      <c r="H1038" s="24" t="str">
        <f>'Landscape Trees '!I896</f>
        <v/>
      </c>
    </row>
    <row r="1039">
      <c r="A1039" s="24" t="str">
        <f>'Landscape Trees '!A897</f>
        <v/>
      </c>
      <c r="B1039" s="24" t="str">
        <f>'Landscape Trees '!C897</f>
        <v/>
      </c>
      <c r="C1039" s="24" t="str">
        <f>'Landscape Trees '!D897</f>
        <v/>
      </c>
      <c r="D1039" s="24" t="str">
        <f>'Landscape Trees '!E897</f>
        <v/>
      </c>
      <c r="E1039" s="24" t="str">
        <f>'Landscape Trees '!F897</f>
        <v/>
      </c>
      <c r="F1039" s="24" t="str">
        <f>'Landscape Trees '!G897</f>
        <v/>
      </c>
      <c r="G1039" s="24" t="str">
        <f>'Landscape Trees '!H897</f>
        <v/>
      </c>
      <c r="H1039" s="24" t="str">
        <f>'Landscape Trees '!I897</f>
        <v/>
      </c>
    </row>
    <row r="1040">
      <c r="A1040" s="24" t="str">
        <f>'Landscape Trees '!A898</f>
        <v/>
      </c>
      <c r="B1040" s="24" t="str">
        <f>'Landscape Trees '!C898</f>
        <v/>
      </c>
      <c r="C1040" s="24" t="str">
        <f>'Landscape Trees '!D898</f>
        <v/>
      </c>
      <c r="D1040" s="24" t="str">
        <f>'Landscape Trees '!E898</f>
        <v/>
      </c>
      <c r="E1040" s="24" t="str">
        <f>'Landscape Trees '!F898</f>
        <v/>
      </c>
      <c r="F1040" s="24" t="str">
        <f>'Landscape Trees '!G898</f>
        <v/>
      </c>
      <c r="G1040" s="24" t="str">
        <f>'Landscape Trees '!H898</f>
        <v/>
      </c>
      <c r="H1040" s="24" t="str">
        <f>'Landscape Trees '!I898</f>
        <v/>
      </c>
    </row>
    <row r="1041">
      <c r="A1041" s="24" t="str">
        <f>'Landscape Trees '!A899</f>
        <v/>
      </c>
      <c r="B1041" s="24" t="str">
        <f>'Landscape Trees '!C899</f>
        <v/>
      </c>
      <c r="C1041" s="24" t="str">
        <f>'Landscape Trees '!D899</f>
        <v/>
      </c>
      <c r="D1041" s="24" t="str">
        <f>'Landscape Trees '!E899</f>
        <v/>
      </c>
      <c r="E1041" s="24" t="str">
        <f>'Landscape Trees '!F899</f>
        <v/>
      </c>
      <c r="F1041" s="24" t="str">
        <f>'Landscape Trees '!G899</f>
        <v/>
      </c>
      <c r="G1041" s="24" t="str">
        <f>'Landscape Trees '!H899</f>
        <v/>
      </c>
      <c r="H1041" s="24" t="str">
        <f>'Landscape Trees '!I899</f>
        <v/>
      </c>
    </row>
    <row r="1042">
      <c r="A1042" s="24" t="str">
        <f>'Landscape Trees '!A900</f>
        <v/>
      </c>
      <c r="B1042" s="24" t="str">
        <f>'Landscape Trees '!C900</f>
        <v/>
      </c>
      <c r="C1042" s="24" t="str">
        <f>'Landscape Trees '!D900</f>
        <v/>
      </c>
      <c r="D1042" s="24" t="str">
        <f>'Landscape Trees '!E900</f>
        <v/>
      </c>
      <c r="E1042" s="24" t="str">
        <f>'Landscape Trees '!F900</f>
        <v/>
      </c>
      <c r="F1042" s="24" t="str">
        <f>'Landscape Trees '!G900</f>
        <v/>
      </c>
      <c r="G1042" s="24" t="str">
        <f>'Landscape Trees '!H900</f>
        <v/>
      </c>
      <c r="H1042" s="24" t="str">
        <f>'Landscape Trees '!I900</f>
        <v/>
      </c>
    </row>
    <row r="1043">
      <c r="A1043" s="24" t="str">
        <f>'Landscape Trees '!A901</f>
        <v/>
      </c>
      <c r="B1043" s="24" t="str">
        <f>'Landscape Trees '!C901</f>
        <v/>
      </c>
      <c r="C1043" s="24" t="str">
        <f>'Landscape Trees '!D901</f>
        <v/>
      </c>
      <c r="D1043" s="24" t="str">
        <f>'Landscape Trees '!E901</f>
        <v/>
      </c>
      <c r="E1043" s="24" t="str">
        <f>'Landscape Trees '!F901</f>
        <v/>
      </c>
      <c r="F1043" s="24" t="str">
        <f>'Landscape Trees '!G901</f>
        <v/>
      </c>
      <c r="G1043" s="24" t="str">
        <f>'Landscape Trees '!H901</f>
        <v/>
      </c>
      <c r="H1043" s="24" t="str">
        <f>'Landscape Trees '!I901</f>
        <v/>
      </c>
    </row>
    <row r="1044">
      <c r="A1044" s="24" t="str">
        <f>'Landscape Trees '!A902</f>
        <v/>
      </c>
      <c r="B1044" s="24" t="str">
        <f>'Landscape Trees '!C902</f>
        <v/>
      </c>
      <c r="C1044" s="24" t="str">
        <f>'Landscape Trees '!D902</f>
        <v/>
      </c>
      <c r="D1044" s="24" t="str">
        <f>'Landscape Trees '!E902</f>
        <v/>
      </c>
      <c r="E1044" s="24" t="str">
        <f>'Landscape Trees '!F902</f>
        <v/>
      </c>
      <c r="F1044" s="24" t="str">
        <f>'Landscape Trees '!G902</f>
        <v/>
      </c>
      <c r="G1044" s="24" t="str">
        <f>'Landscape Trees '!H902</f>
        <v/>
      </c>
      <c r="H1044" s="24" t="str">
        <f>'Landscape Trees '!I902</f>
        <v/>
      </c>
    </row>
    <row r="1045">
      <c r="A1045" s="24" t="str">
        <f>'Landscape Trees '!A903</f>
        <v/>
      </c>
      <c r="B1045" s="24" t="str">
        <f>'Landscape Trees '!C903</f>
        <v/>
      </c>
      <c r="C1045" s="24" t="str">
        <f>'Landscape Trees '!D903</f>
        <v/>
      </c>
      <c r="D1045" s="24" t="str">
        <f>'Landscape Trees '!E903</f>
        <v/>
      </c>
      <c r="E1045" s="24" t="str">
        <f>'Landscape Trees '!F903</f>
        <v/>
      </c>
      <c r="F1045" s="24" t="str">
        <f>'Landscape Trees '!G903</f>
        <v/>
      </c>
      <c r="G1045" s="24" t="str">
        <f>'Landscape Trees '!H903</f>
        <v/>
      </c>
      <c r="H1045" s="24" t="str">
        <f>'Landscape Trees '!I903</f>
        <v/>
      </c>
    </row>
    <row r="1046">
      <c r="A1046" s="24" t="str">
        <f>'Landscape Trees '!A904</f>
        <v/>
      </c>
      <c r="B1046" s="24" t="str">
        <f>'Landscape Trees '!C904</f>
        <v/>
      </c>
      <c r="C1046" s="24" t="str">
        <f>'Landscape Trees '!D904</f>
        <v/>
      </c>
      <c r="D1046" s="24" t="str">
        <f>'Landscape Trees '!E904</f>
        <v/>
      </c>
      <c r="E1046" s="24" t="str">
        <f>'Landscape Trees '!F904</f>
        <v/>
      </c>
      <c r="F1046" s="24" t="str">
        <f>'Landscape Trees '!G904</f>
        <v/>
      </c>
      <c r="G1046" s="24" t="str">
        <f>'Landscape Trees '!H904</f>
        <v/>
      </c>
      <c r="H1046" s="24" t="str">
        <f>'Landscape Trees '!I904</f>
        <v/>
      </c>
    </row>
    <row r="1047">
      <c r="A1047" s="24" t="str">
        <f>'Landscape Trees '!A905</f>
        <v/>
      </c>
      <c r="B1047" s="24" t="str">
        <f>'Landscape Trees '!C905</f>
        <v/>
      </c>
      <c r="C1047" s="24" t="str">
        <f>'Landscape Trees '!D905</f>
        <v/>
      </c>
      <c r="D1047" s="24" t="str">
        <f>'Landscape Trees '!E905</f>
        <v/>
      </c>
      <c r="E1047" s="24" t="str">
        <f>'Landscape Trees '!F905</f>
        <v/>
      </c>
      <c r="F1047" s="24" t="str">
        <f>'Landscape Trees '!G905</f>
        <v/>
      </c>
      <c r="G1047" s="24" t="str">
        <f>'Landscape Trees '!H905</f>
        <v/>
      </c>
      <c r="H1047" s="24" t="str">
        <f>'Landscape Trees '!I905</f>
        <v/>
      </c>
    </row>
    <row r="1048">
      <c r="A1048" s="24" t="str">
        <f>'Landscape Trees '!A906</f>
        <v/>
      </c>
      <c r="B1048" s="24" t="str">
        <f>'Landscape Trees '!C906</f>
        <v/>
      </c>
      <c r="C1048" s="24" t="str">
        <f>'Landscape Trees '!D906</f>
        <v/>
      </c>
      <c r="D1048" s="24" t="str">
        <f>'Landscape Trees '!E906</f>
        <v/>
      </c>
      <c r="E1048" s="24" t="str">
        <f>'Landscape Trees '!F906</f>
        <v/>
      </c>
      <c r="F1048" s="24" t="str">
        <f>'Landscape Trees '!G906</f>
        <v/>
      </c>
      <c r="G1048" s="24" t="str">
        <f>'Landscape Trees '!H906</f>
        <v/>
      </c>
      <c r="H1048" s="24" t="str">
        <f>'Landscape Trees '!I906</f>
        <v/>
      </c>
    </row>
    <row r="1049">
      <c r="A1049" s="24" t="str">
        <f>'Landscape Trees '!A907</f>
        <v/>
      </c>
      <c r="B1049" s="24" t="str">
        <f>'Landscape Trees '!C907</f>
        <v/>
      </c>
      <c r="C1049" s="24" t="str">
        <f>'Landscape Trees '!D907</f>
        <v/>
      </c>
      <c r="D1049" s="24" t="str">
        <f>'Landscape Trees '!E907</f>
        <v/>
      </c>
      <c r="E1049" s="24" t="str">
        <f>'Landscape Trees '!F907</f>
        <v/>
      </c>
      <c r="F1049" s="24" t="str">
        <f>'Landscape Trees '!G907</f>
        <v/>
      </c>
      <c r="G1049" s="24" t="str">
        <f>'Landscape Trees '!H907</f>
        <v/>
      </c>
      <c r="H1049" s="24" t="str">
        <f>'Landscape Trees '!I907</f>
        <v/>
      </c>
    </row>
    <row r="1050">
      <c r="A1050" s="24" t="str">
        <f>'Landscape Trees '!A908</f>
        <v/>
      </c>
      <c r="B1050" s="24" t="str">
        <f>'Landscape Trees '!C908</f>
        <v/>
      </c>
      <c r="C1050" s="24" t="str">
        <f>'Landscape Trees '!D908</f>
        <v/>
      </c>
      <c r="D1050" s="24" t="str">
        <f>'Landscape Trees '!E908</f>
        <v/>
      </c>
      <c r="E1050" s="24" t="str">
        <f>'Landscape Trees '!F908</f>
        <v/>
      </c>
      <c r="F1050" s="24" t="str">
        <f>'Landscape Trees '!G908</f>
        <v/>
      </c>
      <c r="G1050" s="24" t="str">
        <f>'Landscape Trees '!H908</f>
        <v/>
      </c>
      <c r="H1050" s="24" t="str">
        <f>'Landscape Trees '!I908</f>
        <v/>
      </c>
    </row>
    <row r="1051">
      <c r="A1051" s="24" t="str">
        <f>'Landscape Trees '!A909</f>
        <v/>
      </c>
      <c r="B1051" s="24" t="str">
        <f>'Landscape Trees '!C909</f>
        <v/>
      </c>
      <c r="C1051" s="24" t="str">
        <f>'Landscape Trees '!D909</f>
        <v/>
      </c>
      <c r="D1051" s="24" t="str">
        <f>'Landscape Trees '!E909</f>
        <v/>
      </c>
      <c r="E1051" s="24" t="str">
        <f>'Landscape Trees '!F909</f>
        <v/>
      </c>
      <c r="F1051" s="24" t="str">
        <f>'Landscape Trees '!G909</f>
        <v/>
      </c>
      <c r="G1051" s="24" t="str">
        <f>'Landscape Trees '!H909</f>
        <v/>
      </c>
      <c r="H1051" s="24" t="str">
        <f>'Landscape Trees '!I909</f>
        <v/>
      </c>
    </row>
    <row r="1052">
      <c r="A1052" s="24" t="str">
        <f>'Landscape Trees '!A910</f>
        <v/>
      </c>
      <c r="B1052" s="24" t="str">
        <f>'Landscape Trees '!C910</f>
        <v/>
      </c>
      <c r="C1052" s="24" t="str">
        <f>'Landscape Trees '!D910</f>
        <v/>
      </c>
      <c r="D1052" s="24" t="str">
        <f>'Landscape Trees '!E910</f>
        <v/>
      </c>
      <c r="E1052" s="24" t="str">
        <f>'Landscape Trees '!F910</f>
        <v/>
      </c>
      <c r="F1052" s="24" t="str">
        <f>'Landscape Trees '!G910</f>
        <v/>
      </c>
      <c r="G1052" s="24" t="str">
        <f>'Landscape Trees '!H910</f>
        <v/>
      </c>
      <c r="H1052" s="24" t="str">
        <f>'Landscape Trees '!I910</f>
        <v/>
      </c>
    </row>
    <row r="1053">
      <c r="A1053" s="24" t="str">
        <f>'Landscape Trees '!A911</f>
        <v/>
      </c>
      <c r="B1053" s="24" t="str">
        <f>'Landscape Trees '!C911</f>
        <v/>
      </c>
      <c r="C1053" s="24" t="str">
        <f>'Landscape Trees '!D911</f>
        <v/>
      </c>
      <c r="D1053" s="24" t="str">
        <f>'Landscape Trees '!E911</f>
        <v/>
      </c>
      <c r="E1053" s="24" t="str">
        <f>'Landscape Trees '!F911</f>
        <v/>
      </c>
      <c r="F1053" s="24" t="str">
        <f>'Landscape Trees '!G911</f>
        <v/>
      </c>
      <c r="G1053" s="24" t="str">
        <f>'Landscape Trees '!H911</f>
        <v/>
      </c>
      <c r="H1053" s="24" t="str">
        <f>'Landscape Trees '!I911</f>
        <v/>
      </c>
    </row>
    <row r="1054">
      <c r="A1054" s="24" t="str">
        <f>'Landscape Trees '!A912</f>
        <v/>
      </c>
      <c r="B1054" s="24" t="str">
        <f>'Landscape Trees '!C912</f>
        <v/>
      </c>
      <c r="C1054" s="24" t="str">
        <f>'Landscape Trees '!D912</f>
        <v/>
      </c>
      <c r="D1054" s="24" t="str">
        <f>'Landscape Trees '!E912</f>
        <v/>
      </c>
      <c r="E1054" s="24" t="str">
        <f>'Landscape Trees '!F912</f>
        <v/>
      </c>
      <c r="F1054" s="24" t="str">
        <f>'Landscape Trees '!G912</f>
        <v/>
      </c>
      <c r="G1054" s="24" t="str">
        <f>'Landscape Trees '!H912</f>
        <v/>
      </c>
      <c r="H1054" s="24" t="str">
        <f>'Landscape Trees '!I912</f>
        <v/>
      </c>
    </row>
    <row r="1055">
      <c r="A1055" s="24" t="str">
        <f>'Landscape Trees '!A913</f>
        <v/>
      </c>
      <c r="B1055" s="24" t="str">
        <f>'Landscape Trees '!C913</f>
        <v/>
      </c>
      <c r="C1055" s="24" t="str">
        <f>'Landscape Trees '!D913</f>
        <v/>
      </c>
      <c r="D1055" s="24" t="str">
        <f>'Landscape Trees '!E913</f>
        <v/>
      </c>
      <c r="E1055" s="24" t="str">
        <f>'Landscape Trees '!F913</f>
        <v/>
      </c>
      <c r="F1055" s="24" t="str">
        <f>'Landscape Trees '!G913</f>
        <v/>
      </c>
      <c r="G1055" s="24" t="str">
        <f>'Landscape Trees '!H913</f>
        <v/>
      </c>
      <c r="H1055" s="24" t="str">
        <f>'Landscape Trees '!I913</f>
        <v/>
      </c>
    </row>
    <row r="1056">
      <c r="A1056" s="24" t="str">
        <f>'Landscape Trees '!A914</f>
        <v/>
      </c>
      <c r="B1056" s="24" t="str">
        <f>'Landscape Trees '!C914</f>
        <v/>
      </c>
      <c r="C1056" s="24" t="str">
        <f>'Landscape Trees '!D914</f>
        <v/>
      </c>
      <c r="D1056" s="24" t="str">
        <f>'Landscape Trees '!E914</f>
        <v/>
      </c>
      <c r="E1056" s="24" t="str">
        <f>'Landscape Trees '!F914</f>
        <v/>
      </c>
      <c r="F1056" s="24" t="str">
        <f>'Landscape Trees '!G914</f>
        <v/>
      </c>
      <c r="G1056" s="24" t="str">
        <f>'Landscape Trees '!H914</f>
        <v/>
      </c>
      <c r="H1056" s="24" t="str">
        <f>'Landscape Trees '!I914</f>
        <v/>
      </c>
    </row>
    <row r="1057">
      <c r="A1057" s="24" t="str">
        <f>'Landscape Trees '!A915</f>
        <v/>
      </c>
      <c r="B1057" s="24" t="str">
        <f>'Landscape Trees '!C915</f>
        <v/>
      </c>
      <c r="C1057" s="24" t="str">
        <f>'Landscape Trees '!D915</f>
        <v/>
      </c>
      <c r="D1057" s="24" t="str">
        <f>'Landscape Trees '!E915</f>
        <v/>
      </c>
      <c r="E1057" s="24" t="str">
        <f>'Landscape Trees '!F915</f>
        <v/>
      </c>
      <c r="F1057" s="24" t="str">
        <f>'Landscape Trees '!G915</f>
        <v/>
      </c>
      <c r="G1057" s="24" t="str">
        <f>'Landscape Trees '!H915</f>
        <v/>
      </c>
      <c r="H1057" s="24" t="str">
        <f>'Landscape Trees '!I915</f>
        <v/>
      </c>
    </row>
    <row r="1058">
      <c r="A1058" s="24" t="str">
        <f>'Landscape Trees '!A916</f>
        <v/>
      </c>
      <c r="B1058" s="24" t="str">
        <f>'Landscape Trees '!C916</f>
        <v/>
      </c>
      <c r="C1058" s="24" t="str">
        <f>'Landscape Trees '!D916</f>
        <v/>
      </c>
      <c r="D1058" s="24" t="str">
        <f>'Landscape Trees '!E916</f>
        <v/>
      </c>
      <c r="E1058" s="24" t="str">
        <f>'Landscape Trees '!F916</f>
        <v/>
      </c>
      <c r="F1058" s="24" t="str">
        <f>'Landscape Trees '!G916</f>
        <v/>
      </c>
      <c r="G1058" s="24" t="str">
        <f>'Landscape Trees '!H916</f>
        <v/>
      </c>
      <c r="H1058" s="24" t="str">
        <f>'Landscape Trees '!I916</f>
        <v/>
      </c>
    </row>
    <row r="1059">
      <c r="A1059" s="24" t="str">
        <f>'Landscape Trees '!A917</f>
        <v/>
      </c>
      <c r="B1059" s="24" t="str">
        <f>'Landscape Trees '!C917</f>
        <v/>
      </c>
      <c r="C1059" s="24" t="str">
        <f>'Landscape Trees '!D917</f>
        <v/>
      </c>
      <c r="D1059" s="24" t="str">
        <f>'Landscape Trees '!E917</f>
        <v/>
      </c>
      <c r="E1059" s="24" t="str">
        <f>'Landscape Trees '!F917</f>
        <v/>
      </c>
      <c r="F1059" s="24" t="str">
        <f>'Landscape Trees '!G917</f>
        <v/>
      </c>
      <c r="G1059" s="24" t="str">
        <f>'Landscape Trees '!H917</f>
        <v/>
      </c>
      <c r="H1059" s="24" t="str">
        <f>'Landscape Trees '!I917</f>
        <v/>
      </c>
    </row>
    <row r="1060">
      <c r="A1060" s="24" t="str">
        <f>'Landscape Trees '!A918</f>
        <v/>
      </c>
      <c r="B1060" s="24" t="str">
        <f>'Landscape Trees '!C918</f>
        <v/>
      </c>
      <c r="C1060" s="24" t="str">
        <f>'Landscape Trees '!D918</f>
        <v/>
      </c>
      <c r="D1060" s="24" t="str">
        <f>'Landscape Trees '!E918</f>
        <v/>
      </c>
      <c r="E1060" s="24" t="str">
        <f>'Landscape Trees '!F918</f>
        <v/>
      </c>
      <c r="F1060" s="24" t="str">
        <f>'Landscape Trees '!G918</f>
        <v/>
      </c>
      <c r="G1060" s="24" t="str">
        <f>'Landscape Trees '!H918</f>
        <v/>
      </c>
      <c r="H1060" s="24" t="str">
        <f>'Landscape Trees '!I918</f>
        <v/>
      </c>
    </row>
    <row r="1061">
      <c r="A1061" s="24" t="str">
        <f>'Landscape Trees '!A919</f>
        <v/>
      </c>
      <c r="B1061" s="24" t="str">
        <f>'Landscape Trees '!C919</f>
        <v/>
      </c>
      <c r="C1061" s="24" t="str">
        <f>'Landscape Trees '!D919</f>
        <v/>
      </c>
      <c r="D1061" s="24" t="str">
        <f>'Landscape Trees '!E919</f>
        <v/>
      </c>
      <c r="E1061" s="24" t="str">
        <f>'Landscape Trees '!F919</f>
        <v/>
      </c>
      <c r="F1061" s="24" t="str">
        <f>'Landscape Trees '!G919</f>
        <v/>
      </c>
      <c r="G1061" s="24" t="str">
        <f>'Landscape Trees '!H919</f>
        <v/>
      </c>
      <c r="H1061" s="24" t="str">
        <f>'Landscape Trees '!I919</f>
        <v/>
      </c>
    </row>
    <row r="1062">
      <c r="A1062" s="24" t="str">
        <f>'Landscape Trees '!A920</f>
        <v/>
      </c>
      <c r="B1062" s="24" t="str">
        <f>'Landscape Trees '!C920</f>
        <v/>
      </c>
      <c r="C1062" s="24" t="str">
        <f>'Landscape Trees '!D920</f>
        <v/>
      </c>
      <c r="D1062" s="24" t="str">
        <f>'Landscape Trees '!E920</f>
        <v/>
      </c>
      <c r="E1062" s="24" t="str">
        <f>'Landscape Trees '!F920</f>
        <v/>
      </c>
      <c r="F1062" s="24" t="str">
        <f>'Landscape Trees '!G920</f>
        <v/>
      </c>
      <c r="G1062" s="24" t="str">
        <f>'Landscape Trees '!H920</f>
        <v/>
      </c>
      <c r="H1062" s="24" t="str">
        <f>'Landscape Trees '!I920</f>
        <v/>
      </c>
    </row>
    <row r="1063">
      <c r="A1063" s="24" t="str">
        <f>'Landscape Trees '!A921</f>
        <v/>
      </c>
      <c r="B1063" s="24" t="str">
        <f>'Landscape Trees '!C921</f>
        <v/>
      </c>
      <c r="C1063" s="24" t="str">
        <f>'Landscape Trees '!D921</f>
        <v/>
      </c>
      <c r="D1063" s="24" t="str">
        <f>'Landscape Trees '!E921</f>
        <v/>
      </c>
      <c r="E1063" s="24" t="str">
        <f>'Landscape Trees '!F921</f>
        <v/>
      </c>
      <c r="F1063" s="24" t="str">
        <f>'Landscape Trees '!G921</f>
        <v/>
      </c>
      <c r="G1063" s="24" t="str">
        <f>'Landscape Trees '!H921</f>
        <v/>
      </c>
      <c r="H1063" s="24" t="str">
        <f>'Landscape Trees '!I921</f>
        <v/>
      </c>
    </row>
    <row r="1064">
      <c r="A1064" s="24" t="str">
        <f>'Landscape Trees '!A922</f>
        <v/>
      </c>
      <c r="B1064" s="24" t="str">
        <f>'Landscape Trees '!C922</f>
        <v/>
      </c>
      <c r="C1064" s="24" t="str">
        <f>'Landscape Trees '!D922</f>
        <v/>
      </c>
      <c r="D1064" s="24" t="str">
        <f>'Landscape Trees '!E922</f>
        <v/>
      </c>
      <c r="E1064" s="24" t="str">
        <f>'Landscape Trees '!F922</f>
        <v/>
      </c>
      <c r="F1064" s="24" t="str">
        <f>'Landscape Trees '!G922</f>
        <v/>
      </c>
      <c r="G1064" s="24" t="str">
        <f>'Landscape Trees '!H922</f>
        <v/>
      </c>
      <c r="H1064" s="24" t="str">
        <f>'Landscape Trees '!I922</f>
        <v/>
      </c>
    </row>
    <row r="1065">
      <c r="A1065" s="24" t="str">
        <f>'Landscape Trees '!A923</f>
        <v/>
      </c>
      <c r="B1065" s="24" t="str">
        <f>'Landscape Trees '!C923</f>
        <v/>
      </c>
      <c r="C1065" s="24" t="str">
        <f>'Landscape Trees '!D923</f>
        <v/>
      </c>
      <c r="D1065" s="24" t="str">
        <f>'Landscape Trees '!E923</f>
        <v/>
      </c>
      <c r="E1065" s="24" t="str">
        <f>'Landscape Trees '!F923</f>
        <v/>
      </c>
      <c r="F1065" s="24" t="str">
        <f>'Landscape Trees '!G923</f>
        <v/>
      </c>
      <c r="G1065" s="24" t="str">
        <f>'Landscape Trees '!H923</f>
        <v/>
      </c>
      <c r="H1065" s="24" t="str">
        <f>'Landscape Trees '!I923</f>
        <v/>
      </c>
    </row>
    <row r="1066">
      <c r="A1066" s="24" t="str">
        <f>'Landscape Trees '!A924</f>
        <v/>
      </c>
      <c r="B1066" s="24" t="str">
        <f>'Landscape Trees '!C924</f>
        <v/>
      </c>
      <c r="C1066" s="24" t="str">
        <f>'Landscape Trees '!D924</f>
        <v/>
      </c>
      <c r="D1066" s="24" t="str">
        <f>'Landscape Trees '!E924</f>
        <v/>
      </c>
      <c r="E1066" s="24" t="str">
        <f>'Landscape Trees '!F924</f>
        <v/>
      </c>
      <c r="F1066" s="24" t="str">
        <f>'Landscape Trees '!G924</f>
        <v/>
      </c>
      <c r="G1066" s="24" t="str">
        <f>'Landscape Trees '!H924</f>
        <v/>
      </c>
      <c r="H1066" s="24" t="str">
        <f>'Landscape Trees '!I924</f>
        <v/>
      </c>
    </row>
    <row r="1067">
      <c r="A1067" s="24" t="str">
        <f>'Landscape Trees '!A925</f>
        <v/>
      </c>
      <c r="B1067" s="24" t="str">
        <f>'Landscape Trees '!C925</f>
        <v/>
      </c>
      <c r="C1067" s="24" t="str">
        <f>'Landscape Trees '!D925</f>
        <v/>
      </c>
      <c r="D1067" s="24" t="str">
        <f>'Landscape Trees '!E925</f>
        <v/>
      </c>
      <c r="E1067" s="24" t="str">
        <f>'Landscape Trees '!F925</f>
        <v/>
      </c>
      <c r="F1067" s="24" t="str">
        <f>'Landscape Trees '!G925</f>
        <v/>
      </c>
      <c r="G1067" s="24" t="str">
        <f>'Landscape Trees '!H925</f>
        <v/>
      </c>
      <c r="H1067" s="24" t="str">
        <f>'Landscape Trees '!I925</f>
        <v/>
      </c>
    </row>
    <row r="1068">
      <c r="A1068" s="24" t="str">
        <f>'Landscape Trees '!A926</f>
        <v/>
      </c>
      <c r="B1068" s="24" t="str">
        <f>'Landscape Trees '!C926</f>
        <v/>
      </c>
      <c r="C1068" s="24" t="str">
        <f>'Landscape Trees '!D926</f>
        <v/>
      </c>
      <c r="D1068" s="24" t="str">
        <f>'Landscape Trees '!E926</f>
        <v/>
      </c>
      <c r="E1068" s="24" t="str">
        <f>'Landscape Trees '!F926</f>
        <v/>
      </c>
      <c r="F1068" s="24" t="str">
        <f>'Landscape Trees '!G926</f>
        <v/>
      </c>
      <c r="G1068" s="24" t="str">
        <f>'Landscape Trees '!H926</f>
        <v/>
      </c>
      <c r="H1068" s="24" t="str">
        <f>'Landscape Trees '!I926</f>
        <v/>
      </c>
    </row>
    <row r="1069">
      <c r="A1069" s="24" t="str">
        <f>'Landscape Trees '!A927</f>
        <v/>
      </c>
      <c r="B1069" s="24" t="str">
        <f>'Landscape Trees '!C927</f>
        <v/>
      </c>
      <c r="C1069" s="24" t="str">
        <f>'Landscape Trees '!D927</f>
        <v/>
      </c>
      <c r="D1069" s="24" t="str">
        <f>'Landscape Trees '!E927</f>
        <v/>
      </c>
      <c r="E1069" s="24" t="str">
        <f>'Landscape Trees '!F927</f>
        <v/>
      </c>
      <c r="F1069" s="24" t="str">
        <f>'Landscape Trees '!G927</f>
        <v/>
      </c>
      <c r="G1069" s="24" t="str">
        <f>'Landscape Trees '!H927</f>
        <v/>
      </c>
      <c r="H1069" s="24" t="str">
        <f>'Landscape Trees '!I927</f>
        <v/>
      </c>
    </row>
    <row r="1070">
      <c r="A1070" s="24" t="str">
        <f>'Landscape Trees '!A928</f>
        <v/>
      </c>
      <c r="B1070" s="24" t="str">
        <f>'Landscape Trees '!C928</f>
        <v/>
      </c>
      <c r="C1070" s="24" t="str">
        <f>'Landscape Trees '!D928</f>
        <v/>
      </c>
      <c r="D1070" s="24" t="str">
        <f>'Landscape Trees '!E928</f>
        <v/>
      </c>
      <c r="E1070" s="24" t="str">
        <f>'Landscape Trees '!F928</f>
        <v/>
      </c>
      <c r="F1070" s="24" t="str">
        <f>'Landscape Trees '!G928</f>
        <v/>
      </c>
      <c r="G1070" s="24" t="str">
        <f>'Landscape Trees '!H928</f>
        <v/>
      </c>
      <c r="H1070" s="24" t="str">
        <f>'Landscape Trees '!I928</f>
        <v/>
      </c>
    </row>
    <row r="1071">
      <c r="A1071" s="24" t="str">
        <f>'Landscape Trees '!A929</f>
        <v/>
      </c>
      <c r="B1071" s="24" t="str">
        <f>'Landscape Trees '!C929</f>
        <v/>
      </c>
      <c r="C1071" s="24" t="str">
        <f>'Landscape Trees '!D929</f>
        <v/>
      </c>
      <c r="D1071" s="24" t="str">
        <f>'Landscape Trees '!E929</f>
        <v/>
      </c>
      <c r="E1071" s="24" t="str">
        <f>'Landscape Trees '!F929</f>
        <v/>
      </c>
      <c r="F1071" s="24" t="str">
        <f>'Landscape Trees '!G929</f>
        <v/>
      </c>
      <c r="G1071" s="24" t="str">
        <f>'Landscape Trees '!H929</f>
        <v/>
      </c>
      <c r="H1071" s="24" t="str">
        <f>'Landscape Trees '!I929</f>
        <v/>
      </c>
    </row>
    <row r="1072">
      <c r="A1072" s="24" t="str">
        <f>'Landscape Trees '!A930</f>
        <v/>
      </c>
      <c r="B1072" s="24" t="str">
        <f>'Landscape Trees '!C930</f>
        <v/>
      </c>
      <c r="C1072" s="24" t="str">
        <f>'Landscape Trees '!D930</f>
        <v/>
      </c>
      <c r="D1072" s="24" t="str">
        <f>'Landscape Trees '!E930</f>
        <v/>
      </c>
      <c r="E1072" s="24" t="str">
        <f>'Landscape Trees '!F930</f>
        <v/>
      </c>
      <c r="F1072" s="24" t="str">
        <f>'Landscape Trees '!G930</f>
        <v/>
      </c>
      <c r="G1072" s="24" t="str">
        <f>'Landscape Trees '!H930</f>
        <v/>
      </c>
      <c r="H1072" s="24" t="str">
        <f>'Landscape Trees '!I930</f>
        <v/>
      </c>
    </row>
    <row r="1073">
      <c r="A1073" s="24" t="str">
        <f>'Landscape Trees '!A931</f>
        <v/>
      </c>
      <c r="B1073" s="24" t="str">
        <f>'Landscape Trees '!C931</f>
        <v/>
      </c>
      <c r="C1073" s="24" t="str">
        <f>'Landscape Trees '!D931</f>
        <v/>
      </c>
      <c r="D1073" s="24" t="str">
        <f>'Landscape Trees '!E931</f>
        <v/>
      </c>
      <c r="E1073" s="24" t="str">
        <f>'Landscape Trees '!F931</f>
        <v/>
      </c>
      <c r="F1073" s="24" t="str">
        <f>'Landscape Trees '!G931</f>
        <v/>
      </c>
      <c r="G1073" s="24" t="str">
        <f>'Landscape Trees '!H931</f>
        <v/>
      </c>
      <c r="H1073" s="24" t="str">
        <f>'Landscape Trees '!I931</f>
        <v/>
      </c>
    </row>
    <row r="1074">
      <c r="A1074" s="24" t="str">
        <f>'Landscape Trees '!A932</f>
        <v/>
      </c>
      <c r="B1074" s="24" t="str">
        <f>'Landscape Trees '!C932</f>
        <v/>
      </c>
      <c r="C1074" s="24" t="str">
        <f>'Landscape Trees '!D932</f>
        <v/>
      </c>
      <c r="D1074" s="24" t="str">
        <f>'Landscape Trees '!E932</f>
        <v/>
      </c>
      <c r="E1074" s="24" t="str">
        <f>'Landscape Trees '!F932</f>
        <v/>
      </c>
      <c r="F1074" s="24" t="str">
        <f>'Landscape Trees '!G932</f>
        <v/>
      </c>
      <c r="G1074" s="24" t="str">
        <f>'Landscape Trees '!H932</f>
        <v/>
      </c>
      <c r="H1074" s="24" t="str">
        <f>'Landscape Trees '!I932</f>
        <v/>
      </c>
    </row>
    <row r="1075">
      <c r="A1075" s="24" t="str">
        <f>'Landscape Trees '!A933</f>
        <v/>
      </c>
      <c r="B1075" s="24" t="str">
        <f>'Landscape Trees '!C933</f>
        <v/>
      </c>
      <c r="C1075" s="24" t="str">
        <f>'Landscape Trees '!D933</f>
        <v/>
      </c>
      <c r="D1075" s="24" t="str">
        <f>'Landscape Trees '!E933</f>
        <v/>
      </c>
      <c r="E1075" s="24" t="str">
        <f>'Landscape Trees '!F933</f>
        <v/>
      </c>
      <c r="F1075" s="24" t="str">
        <f>'Landscape Trees '!G933</f>
        <v/>
      </c>
      <c r="G1075" s="24" t="str">
        <f>'Landscape Trees '!H933</f>
        <v/>
      </c>
      <c r="H1075" s="24" t="str">
        <f>'Landscape Trees '!I933</f>
        <v/>
      </c>
    </row>
    <row r="1076">
      <c r="A1076" s="24" t="str">
        <f>'Landscape Trees '!A934</f>
        <v/>
      </c>
      <c r="B1076" s="24" t="str">
        <f>'Landscape Trees '!C934</f>
        <v/>
      </c>
      <c r="C1076" s="24" t="str">
        <f>'Landscape Trees '!D934</f>
        <v/>
      </c>
      <c r="D1076" s="24" t="str">
        <f>'Landscape Trees '!E934</f>
        <v/>
      </c>
      <c r="E1076" s="24" t="str">
        <f>'Landscape Trees '!F934</f>
        <v/>
      </c>
      <c r="F1076" s="24" t="str">
        <f>'Landscape Trees '!G934</f>
        <v/>
      </c>
      <c r="G1076" s="24" t="str">
        <f>'Landscape Trees '!H934</f>
        <v/>
      </c>
      <c r="H1076" s="24" t="str">
        <f>'Landscape Trees '!I934</f>
        <v/>
      </c>
    </row>
    <row r="1077">
      <c r="A1077" s="24" t="str">
        <f>'Landscape Trees '!A935</f>
        <v/>
      </c>
      <c r="B1077" s="24" t="str">
        <f>'Landscape Trees '!C935</f>
        <v/>
      </c>
      <c r="C1077" s="24" t="str">
        <f>'Landscape Trees '!D935</f>
        <v/>
      </c>
      <c r="D1077" s="24" t="str">
        <f>'Landscape Trees '!E935</f>
        <v/>
      </c>
      <c r="E1077" s="24" t="str">
        <f>'Landscape Trees '!F935</f>
        <v/>
      </c>
      <c r="F1077" s="24" t="str">
        <f>'Landscape Trees '!G935</f>
        <v/>
      </c>
      <c r="G1077" s="24" t="str">
        <f>'Landscape Trees '!H935</f>
        <v/>
      </c>
      <c r="H1077" s="24" t="str">
        <f>'Landscape Trees '!I935</f>
        <v/>
      </c>
    </row>
    <row r="1078">
      <c r="A1078" s="24" t="str">
        <f>'Landscape Trees '!A936</f>
        <v/>
      </c>
      <c r="B1078" s="24" t="str">
        <f>'Landscape Trees '!C936</f>
        <v/>
      </c>
      <c r="C1078" s="24" t="str">
        <f>'Landscape Trees '!D936</f>
        <v/>
      </c>
      <c r="D1078" s="24" t="str">
        <f>'Landscape Trees '!E936</f>
        <v/>
      </c>
      <c r="E1078" s="24" t="str">
        <f>'Landscape Trees '!F936</f>
        <v/>
      </c>
      <c r="F1078" s="24" t="str">
        <f>'Landscape Trees '!G936</f>
        <v/>
      </c>
      <c r="G1078" s="24" t="str">
        <f>'Landscape Trees '!H936</f>
        <v/>
      </c>
      <c r="H1078" s="24" t="str">
        <f>'Landscape Trees '!I936</f>
        <v/>
      </c>
    </row>
    <row r="1079">
      <c r="A1079" s="24" t="str">
        <f>'Landscape Trees '!A937</f>
        <v/>
      </c>
      <c r="B1079" s="24" t="str">
        <f>'Landscape Trees '!C937</f>
        <v/>
      </c>
      <c r="C1079" s="24" t="str">
        <f>'Landscape Trees '!D937</f>
        <v/>
      </c>
      <c r="D1079" s="24" t="str">
        <f>'Landscape Trees '!E937</f>
        <v/>
      </c>
      <c r="E1079" s="24" t="str">
        <f>'Landscape Trees '!F937</f>
        <v/>
      </c>
      <c r="F1079" s="24" t="str">
        <f>'Landscape Trees '!G937</f>
        <v/>
      </c>
      <c r="G1079" s="24" t="str">
        <f>'Landscape Trees '!H937</f>
        <v/>
      </c>
      <c r="H1079" s="24" t="str">
        <f>'Landscape Trees '!I937</f>
        <v/>
      </c>
    </row>
    <row r="1080">
      <c r="A1080" s="24" t="str">
        <f>'Landscape Trees '!A938</f>
        <v/>
      </c>
      <c r="B1080" s="24" t="str">
        <f>'Landscape Trees '!C938</f>
        <v/>
      </c>
      <c r="C1080" s="24" t="str">
        <f>'Landscape Trees '!D938</f>
        <v/>
      </c>
      <c r="D1080" s="24" t="str">
        <f>'Landscape Trees '!E938</f>
        <v/>
      </c>
      <c r="E1080" s="24" t="str">
        <f>'Landscape Trees '!F938</f>
        <v/>
      </c>
      <c r="F1080" s="24" t="str">
        <f>'Landscape Trees '!G938</f>
        <v/>
      </c>
      <c r="G1080" s="24" t="str">
        <f>'Landscape Trees '!H938</f>
        <v/>
      </c>
      <c r="H1080" s="24" t="str">
        <f>'Landscape Trees '!I938</f>
        <v/>
      </c>
    </row>
    <row r="1081">
      <c r="A1081" s="24" t="str">
        <f>'Landscape Trees '!A939</f>
        <v/>
      </c>
      <c r="B1081" s="24" t="str">
        <f>'Landscape Trees '!C939</f>
        <v/>
      </c>
      <c r="C1081" s="24" t="str">
        <f>'Landscape Trees '!D939</f>
        <v/>
      </c>
      <c r="D1081" s="24" t="str">
        <f>'Landscape Trees '!E939</f>
        <v/>
      </c>
      <c r="E1081" s="24" t="str">
        <f>'Landscape Trees '!F939</f>
        <v/>
      </c>
      <c r="F1081" s="24" t="str">
        <f>'Landscape Trees '!G939</f>
        <v/>
      </c>
      <c r="G1081" s="24" t="str">
        <f>'Landscape Trees '!H939</f>
        <v/>
      </c>
      <c r="H1081" s="24" t="str">
        <f>'Landscape Trees '!I939</f>
        <v/>
      </c>
    </row>
    <row r="1082">
      <c r="A1082" s="24" t="str">
        <f>'Landscape Trees '!A940</f>
        <v/>
      </c>
      <c r="B1082" s="24" t="str">
        <f>'Landscape Trees '!C940</f>
        <v/>
      </c>
      <c r="C1082" s="24" t="str">
        <f>'Landscape Trees '!D940</f>
        <v/>
      </c>
      <c r="D1082" s="24" t="str">
        <f>'Landscape Trees '!E940</f>
        <v/>
      </c>
      <c r="E1082" s="24" t="str">
        <f>'Landscape Trees '!F940</f>
        <v/>
      </c>
      <c r="F1082" s="24" t="str">
        <f>'Landscape Trees '!G940</f>
        <v/>
      </c>
      <c r="G1082" s="24" t="str">
        <f>'Landscape Trees '!H940</f>
        <v/>
      </c>
      <c r="H1082" s="24" t="str">
        <f>'Landscape Trees '!I940</f>
        <v/>
      </c>
    </row>
    <row r="1083">
      <c r="A1083" s="24" t="str">
        <f>'Landscape Trees '!A941</f>
        <v/>
      </c>
      <c r="B1083" s="24" t="str">
        <f>'Landscape Trees '!C941</f>
        <v/>
      </c>
      <c r="C1083" s="24" t="str">
        <f>'Landscape Trees '!D941</f>
        <v/>
      </c>
      <c r="D1083" s="24" t="str">
        <f>'Landscape Trees '!E941</f>
        <v/>
      </c>
      <c r="E1083" s="24" t="str">
        <f>'Landscape Trees '!F941</f>
        <v/>
      </c>
      <c r="F1083" s="24" t="str">
        <f>'Landscape Trees '!G941</f>
        <v/>
      </c>
      <c r="G1083" s="24" t="str">
        <f>'Landscape Trees '!H941</f>
        <v/>
      </c>
      <c r="H1083" s="24" t="str">
        <f>'Landscape Trees '!I941</f>
        <v/>
      </c>
    </row>
    <row r="1084">
      <c r="A1084" s="24" t="str">
        <f>'Landscape Trees '!A942</f>
        <v/>
      </c>
      <c r="B1084" s="24" t="str">
        <f>'Landscape Trees '!C942</f>
        <v/>
      </c>
      <c r="C1084" s="24" t="str">
        <f>'Landscape Trees '!D942</f>
        <v/>
      </c>
      <c r="D1084" s="24" t="str">
        <f>'Landscape Trees '!E942</f>
        <v/>
      </c>
      <c r="E1084" s="24" t="str">
        <f>'Landscape Trees '!F942</f>
        <v/>
      </c>
      <c r="F1084" s="24" t="str">
        <f>'Landscape Trees '!G942</f>
        <v/>
      </c>
      <c r="G1084" s="24" t="str">
        <f>'Landscape Trees '!H942</f>
        <v/>
      </c>
      <c r="H1084" s="24" t="str">
        <f>'Landscape Trees '!I942</f>
        <v/>
      </c>
    </row>
    <row r="1085">
      <c r="A1085" s="24" t="str">
        <f>'Landscape Trees '!A943</f>
        <v/>
      </c>
      <c r="B1085" s="24" t="str">
        <f>'Landscape Trees '!C943</f>
        <v/>
      </c>
      <c r="C1085" s="24" t="str">
        <f>'Landscape Trees '!D943</f>
        <v/>
      </c>
      <c r="D1085" s="24" t="str">
        <f>'Landscape Trees '!E943</f>
        <v/>
      </c>
      <c r="E1085" s="24" t="str">
        <f>'Landscape Trees '!F943</f>
        <v/>
      </c>
      <c r="F1085" s="24" t="str">
        <f>'Landscape Trees '!G943</f>
        <v/>
      </c>
      <c r="G1085" s="24" t="str">
        <f>'Landscape Trees '!H943</f>
        <v/>
      </c>
      <c r="H1085" s="24" t="str">
        <f>'Landscape Trees '!I943</f>
        <v/>
      </c>
    </row>
    <row r="1086">
      <c r="A1086" s="24" t="str">
        <f>'Landscape Trees '!A944</f>
        <v/>
      </c>
      <c r="B1086" s="24" t="str">
        <f>'Landscape Trees '!C944</f>
        <v/>
      </c>
      <c r="C1086" s="24" t="str">
        <f>'Landscape Trees '!D944</f>
        <v/>
      </c>
      <c r="D1086" s="24" t="str">
        <f>'Landscape Trees '!E944</f>
        <v/>
      </c>
      <c r="E1086" s="24" t="str">
        <f>'Landscape Trees '!F944</f>
        <v/>
      </c>
      <c r="F1086" s="24" t="str">
        <f>'Landscape Trees '!G944</f>
        <v/>
      </c>
      <c r="G1086" s="24" t="str">
        <f>'Landscape Trees '!H944</f>
        <v/>
      </c>
      <c r="H1086" s="24" t="str">
        <f>'Landscape Trees '!I944</f>
        <v/>
      </c>
    </row>
    <row r="1087">
      <c r="A1087" s="24" t="str">
        <f>'Landscape Trees '!A945</f>
        <v/>
      </c>
      <c r="B1087" s="24" t="str">
        <f>'Landscape Trees '!C945</f>
        <v/>
      </c>
      <c r="C1087" s="24" t="str">
        <f>'Landscape Trees '!D945</f>
        <v/>
      </c>
      <c r="D1087" s="24" t="str">
        <f>'Landscape Trees '!E945</f>
        <v/>
      </c>
      <c r="E1087" s="24" t="str">
        <f>'Landscape Trees '!F945</f>
        <v/>
      </c>
      <c r="F1087" s="24" t="str">
        <f>'Landscape Trees '!G945</f>
        <v/>
      </c>
      <c r="G1087" s="24" t="str">
        <f>'Landscape Trees '!H945</f>
        <v/>
      </c>
      <c r="H1087" s="24" t="str">
        <f>'Landscape Trees '!I945</f>
        <v/>
      </c>
    </row>
    <row r="1088">
      <c r="A1088" s="24" t="str">
        <f>'Landscape Trees '!A946</f>
        <v/>
      </c>
      <c r="B1088" s="24" t="str">
        <f>'Landscape Trees '!C946</f>
        <v/>
      </c>
      <c r="C1088" s="24" t="str">
        <f>'Landscape Trees '!D946</f>
        <v/>
      </c>
      <c r="D1088" s="24" t="str">
        <f>'Landscape Trees '!E946</f>
        <v/>
      </c>
      <c r="E1088" s="24" t="str">
        <f>'Landscape Trees '!F946</f>
        <v/>
      </c>
      <c r="F1088" s="24" t="str">
        <f>'Landscape Trees '!G946</f>
        <v/>
      </c>
      <c r="G1088" s="24" t="str">
        <f>'Landscape Trees '!H946</f>
        <v/>
      </c>
      <c r="H1088" s="24" t="str">
        <f>'Landscape Trees '!I946</f>
        <v/>
      </c>
    </row>
    <row r="1089">
      <c r="A1089" s="24" t="str">
        <f>'Landscape Trees '!A947</f>
        <v/>
      </c>
      <c r="B1089" s="24" t="str">
        <f>'Landscape Trees '!C947</f>
        <v/>
      </c>
      <c r="C1089" s="24" t="str">
        <f>'Landscape Trees '!D947</f>
        <v/>
      </c>
      <c r="D1089" s="24" t="str">
        <f>'Landscape Trees '!E947</f>
        <v/>
      </c>
      <c r="E1089" s="24" t="str">
        <f>'Landscape Trees '!F947</f>
        <v/>
      </c>
      <c r="F1089" s="24" t="str">
        <f>'Landscape Trees '!G947</f>
        <v/>
      </c>
      <c r="G1089" s="24" t="str">
        <f>'Landscape Trees '!H947</f>
        <v/>
      </c>
      <c r="H1089" s="24" t="str">
        <f>'Landscape Trees '!I947</f>
        <v/>
      </c>
    </row>
    <row r="1090">
      <c r="A1090" s="24" t="str">
        <f>'Landscape Trees '!A948</f>
        <v/>
      </c>
      <c r="B1090" s="24" t="str">
        <f>'Landscape Trees '!C948</f>
        <v/>
      </c>
      <c r="C1090" s="24" t="str">
        <f>'Landscape Trees '!D948</f>
        <v/>
      </c>
      <c r="D1090" s="24" t="str">
        <f>'Landscape Trees '!E948</f>
        <v/>
      </c>
      <c r="E1090" s="24" t="str">
        <f>'Landscape Trees '!F948</f>
        <v/>
      </c>
      <c r="F1090" s="24" t="str">
        <f>'Landscape Trees '!G948</f>
        <v/>
      </c>
      <c r="G1090" s="24" t="str">
        <f>'Landscape Trees '!H948</f>
        <v/>
      </c>
      <c r="H1090" s="24" t="str">
        <f>'Landscape Trees '!I948</f>
        <v/>
      </c>
    </row>
    <row r="1091">
      <c r="A1091" s="24" t="str">
        <f>'Landscape Trees '!A949</f>
        <v/>
      </c>
      <c r="B1091" s="24" t="str">
        <f>'Landscape Trees '!C949</f>
        <v/>
      </c>
      <c r="C1091" s="24" t="str">
        <f>'Landscape Trees '!D949</f>
        <v/>
      </c>
      <c r="D1091" s="24" t="str">
        <f>'Landscape Trees '!E949</f>
        <v/>
      </c>
      <c r="E1091" s="24" t="str">
        <f>'Landscape Trees '!F949</f>
        <v/>
      </c>
      <c r="F1091" s="24" t="str">
        <f>'Landscape Trees '!G949</f>
        <v/>
      </c>
      <c r="G1091" s="24" t="str">
        <f>'Landscape Trees '!H949</f>
        <v/>
      </c>
      <c r="H1091" s="24" t="str">
        <f>'Landscape Trees '!I949</f>
        <v/>
      </c>
    </row>
    <row r="1092">
      <c r="A1092" s="24" t="str">
        <f>'Landscape Trees '!A950</f>
        <v/>
      </c>
      <c r="B1092" s="24" t="str">
        <f>'Landscape Trees '!C950</f>
        <v/>
      </c>
      <c r="C1092" s="24" t="str">
        <f>'Landscape Trees '!D950</f>
        <v/>
      </c>
      <c r="D1092" s="24" t="str">
        <f>'Landscape Trees '!E950</f>
        <v/>
      </c>
      <c r="E1092" s="24" t="str">
        <f>'Landscape Trees '!F950</f>
        <v/>
      </c>
      <c r="F1092" s="24" t="str">
        <f>'Landscape Trees '!G950</f>
        <v/>
      </c>
      <c r="G1092" s="24" t="str">
        <f>'Landscape Trees '!H950</f>
        <v/>
      </c>
      <c r="H1092" s="24" t="str">
        <f>'Landscape Trees '!I950</f>
        <v/>
      </c>
    </row>
    <row r="1093">
      <c r="A1093" s="24" t="str">
        <f>'Landscape Trees '!A951</f>
        <v/>
      </c>
      <c r="B1093" s="24" t="str">
        <f>'Landscape Trees '!C951</f>
        <v/>
      </c>
      <c r="C1093" s="24" t="str">
        <f>'Landscape Trees '!D951</f>
        <v/>
      </c>
      <c r="D1093" s="24" t="str">
        <f>'Landscape Trees '!E951</f>
        <v/>
      </c>
      <c r="E1093" s="24" t="str">
        <f>'Landscape Trees '!F951</f>
        <v/>
      </c>
      <c r="F1093" s="24" t="str">
        <f>'Landscape Trees '!G951</f>
        <v/>
      </c>
      <c r="G1093" s="24" t="str">
        <f>'Landscape Trees '!H951</f>
        <v/>
      </c>
      <c r="H1093" s="24" t="str">
        <f>'Landscape Trees '!I951</f>
        <v/>
      </c>
    </row>
    <row r="1094">
      <c r="A1094" s="24" t="str">
        <f>'Landscape Trees '!A952</f>
        <v/>
      </c>
      <c r="B1094" s="24" t="str">
        <f>'Landscape Trees '!C952</f>
        <v/>
      </c>
      <c r="C1094" s="24" t="str">
        <f>'Landscape Trees '!D952</f>
        <v/>
      </c>
      <c r="D1094" s="24" t="str">
        <f>'Landscape Trees '!E952</f>
        <v/>
      </c>
      <c r="E1094" s="24" t="str">
        <f>'Landscape Trees '!F952</f>
        <v/>
      </c>
      <c r="F1094" s="24" t="str">
        <f>'Landscape Trees '!G952</f>
        <v/>
      </c>
      <c r="G1094" s="24" t="str">
        <f>'Landscape Trees '!H952</f>
        <v/>
      </c>
      <c r="H1094" s="24" t="str">
        <f>'Landscape Trees '!I952</f>
        <v/>
      </c>
    </row>
    <row r="1095">
      <c r="A1095" s="24" t="str">
        <f>'Landscape Trees '!A953</f>
        <v/>
      </c>
      <c r="B1095" s="24" t="str">
        <f>'Landscape Trees '!C953</f>
        <v/>
      </c>
      <c r="C1095" s="24" t="str">
        <f>'Landscape Trees '!D953</f>
        <v/>
      </c>
      <c r="D1095" s="24" t="str">
        <f>'Landscape Trees '!E953</f>
        <v/>
      </c>
      <c r="E1095" s="24" t="str">
        <f>'Landscape Trees '!F953</f>
        <v/>
      </c>
      <c r="F1095" s="24" t="str">
        <f>'Landscape Trees '!G953</f>
        <v/>
      </c>
      <c r="G1095" s="24" t="str">
        <f>'Landscape Trees '!H953</f>
        <v/>
      </c>
      <c r="H1095" s="24" t="str">
        <f>'Landscape Trees '!I953</f>
        <v/>
      </c>
    </row>
    <row r="1096">
      <c r="A1096" s="24" t="str">
        <f>'Landscape Trees '!A954</f>
        <v/>
      </c>
      <c r="B1096" s="24" t="str">
        <f>'Landscape Trees '!C954</f>
        <v/>
      </c>
      <c r="C1096" s="24" t="str">
        <f>'Landscape Trees '!D954</f>
        <v/>
      </c>
      <c r="D1096" s="24" t="str">
        <f>'Landscape Trees '!E954</f>
        <v/>
      </c>
      <c r="E1096" s="24" t="str">
        <f>'Landscape Trees '!F954</f>
        <v/>
      </c>
      <c r="F1096" s="24" t="str">
        <f>'Landscape Trees '!G954</f>
        <v/>
      </c>
      <c r="G1096" s="24" t="str">
        <f>'Landscape Trees '!H954</f>
        <v/>
      </c>
      <c r="H1096" s="24" t="str">
        <f>'Landscape Trees '!I954</f>
        <v/>
      </c>
    </row>
    <row r="1097">
      <c r="A1097" s="24" t="str">
        <f>'Landscape Trees '!A955</f>
        <v/>
      </c>
      <c r="B1097" s="24" t="str">
        <f>'Landscape Trees '!C955</f>
        <v/>
      </c>
      <c r="C1097" s="24" t="str">
        <f>'Landscape Trees '!D955</f>
        <v/>
      </c>
      <c r="D1097" s="24" t="str">
        <f>'Landscape Trees '!E955</f>
        <v/>
      </c>
      <c r="E1097" s="24" t="str">
        <f>'Landscape Trees '!F955</f>
        <v/>
      </c>
      <c r="F1097" s="24" t="str">
        <f>'Landscape Trees '!G955</f>
        <v/>
      </c>
      <c r="G1097" s="24" t="str">
        <f>'Landscape Trees '!H955</f>
        <v/>
      </c>
      <c r="H1097" s="24" t="str">
        <f>'Landscape Trees '!I955</f>
        <v/>
      </c>
    </row>
    <row r="1098">
      <c r="A1098" s="24" t="str">
        <f>'Landscape Trees '!A956</f>
        <v/>
      </c>
      <c r="B1098" s="24" t="str">
        <f>'Landscape Trees '!C956</f>
        <v/>
      </c>
      <c r="C1098" s="24" t="str">
        <f>'Landscape Trees '!D956</f>
        <v/>
      </c>
      <c r="D1098" s="24" t="str">
        <f>'Landscape Trees '!E956</f>
        <v/>
      </c>
      <c r="E1098" s="24" t="str">
        <f>'Landscape Trees '!F956</f>
        <v/>
      </c>
      <c r="F1098" s="24" t="str">
        <f>'Landscape Trees '!G956</f>
        <v/>
      </c>
      <c r="G1098" s="24" t="str">
        <f>'Landscape Trees '!H956</f>
        <v/>
      </c>
      <c r="H1098" s="24" t="str">
        <f>'Landscape Trees '!I956</f>
        <v/>
      </c>
    </row>
    <row r="1099">
      <c r="A1099" s="24" t="str">
        <f>'Landscape Trees '!A957</f>
        <v/>
      </c>
      <c r="B1099" s="24" t="str">
        <f>'Landscape Trees '!C957</f>
        <v/>
      </c>
      <c r="C1099" s="24" t="str">
        <f>'Landscape Trees '!D957</f>
        <v/>
      </c>
      <c r="D1099" s="24" t="str">
        <f>'Landscape Trees '!E957</f>
        <v/>
      </c>
      <c r="E1099" s="24" t="str">
        <f>'Landscape Trees '!F957</f>
        <v/>
      </c>
      <c r="F1099" s="24" t="str">
        <f>'Landscape Trees '!G957</f>
        <v/>
      </c>
      <c r="G1099" s="24" t="str">
        <f>'Landscape Trees '!H957</f>
        <v/>
      </c>
      <c r="H1099" s="24" t="str">
        <f>'Landscape Trees '!I957</f>
        <v/>
      </c>
    </row>
    <row r="1100">
      <c r="A1100" s="24" t="str">
        <f>'Landscape Trees '!A958</f>
        <v/>
      </c>
      <c r="B1100" s="24" t="str">
        <f>'Landscape Trees '!C958</f>
        <v/>
      </c>
      <c r="C1100" s="24" t="str">
        <f>'Landscape Trees '!D958</f>
        <v/>
      </c>
      <c r="D1100" s="24" t="str">
        <f>'Landscape Trees '!E958</f>
        <v/>
      </c>
      <c r="E1100" s="24" t="str">
        <f>'Landscape Trees '!F958</f>
        <v/>
      </c>
      <c r="F1100" s="24" t="str">
        <f>'Landscape Trees '!G958</f>
        <v/>
      </c>
      <c r="G1100" s="24" t="str">
        <f>'Landscape Trees '!H958</f>
        <v/>
      </c>
      <c r="H1100" s="24" t="str">
        <f>'Landscape Trees '!I958</f>
        <v/>
      </c>
    </row>
    <row r="1101">
      <c r="A1101" s="24" t="str">
        <f>'Landscape Trees '!A959</f>
        <v/>
      </c>
      <c r="B1101" s="24" t="str">
        <f>'Landscape Trees '!C959</f>
        <v/>
      </c>
      <c r="C1101" s="24" t="str">
        <f>'Landscape Trees '!D959</f>
        <v/>
      </c>
      <c r="D1101" s="24" t="str">
        <f>'Landscape Trees '!E959</f>
        <v/>
      </c>
      <c r="E1101" s="24" t="str">
        <f>'Landscape Trees '!F959</f>
        <v/>
      </c>
      <c r="F1101" s="24" t="str">
        <f>'Landscape Trees '!G959</f>
        <v/>
      </c>
      <c r="G1101" s="24" t="str">
        <f>'Landscape Trees '!H959</f>
        <v/>
      </c>
      <c r="H1101" s="24" t="str">
        <f>'Landscape Trees '!I959</f>
        <v/>
      </c>
    </row>
    <row r="1102">
      <c r="A1102" s="24" t="str">
        <f>'Landscape Trees '!A960</f>
        <v/>
      </c>
      <c r="B1102" s="24" t="str">
        <f>'Landscape Trees '!C960</f>
        <v/>
      </c>
      <c r="C1102" s="24" t="str">
        <f>'Landscape Trees '!D960</f>
        <v/>
      </c>
      <c r="D1102" s="24" t="str">
        <f>'Landscape Trees '!E960</f>
        <v/>
      </c>
      <c r="E1102" s="24" t="str">
        <f>'Landscape Trees '!F960</f>
        <v/>
      </c>
      <c r="F1102" s="24" t="str">
        <f>'Landscape Trees '!G960</f>
        <v/>
      </c>
      <c r="G1102" s="24" t="str">
        <f>'Landscape Trees '!H960</f>
        <v/>
      </c>
      <c r="H1102" s="24" t="str">
        <f>'Landscape Trees '!I960</f>
        <v/>
      </c>
    </row>
    <row r="1103">
      <c r="A1103" s="24" t="str">
        <f>'Landscape Trees '!A961</f>
        <v/>
      </c>
      <c r="B1103" s="24" t="str">
        <f>'Landscape Trees '!C961</f>
        <v/>
      </c>
      <c r="C1103" s="24" t="str">
        <f>'Landscape Trees '!D961</f>
        <v/>
      </c>
      <c r="D1103" s="24" t="str">
        <f>'Landscape Trees '!E961</f>
        <v/>
      </c>
      <c r="E1103" s="24" t="str">
        <f>'Landscape Trees '!F961</f>
        <v/>
      </c>
      <c r="F1103" s="24" t="str">
        <f>'Landscape Trees '!G961</f>
        <v/>
      </c>
      <c r="G1103" s="24" t="str">
        <f>'Landscape Trees '!H961</f>
        <v/>
      </c>
      <c r="H1103" s="24" t="str">
        <f>'Landscape Trees '!I961</f>
        <v/>
      </c>
    </row>
    <row r="1104">
      <c r="A1104" s="24" t="str">
        <f>'Landscape Trees '!A962</f>
        <v/>
      </c>
      <c r="B1104" s="24" t="str">
        <f>'Landscape Trees '!C962</f>
        <v/>
      </c>
      <c r="C1104" s="24" t="str">
        <f>'Landscape Trees '!D962</f>
        <v/>
      </c>
      <c r="D1104" s="24" t="str">
        <f>'Landscape Trees '!E962</f>
        <v/>
      </c>
      <c r="E1104" s="24" t="str">
        <f>'Landscape Trees '!F962</f>
        <v/>
      </c>
      <c r="F1104" s="24" t="str">
        <f>'Landscape Trees '!G962</f>
        <v/>
      </c>
      <c r="G1104" s="24" t="str">
        <f>'Landscape Trees '!H962</f>
        <v/>
      </c>
      <c r="H1104" s="24" t="str">
        <f>'Landscape Trees '!I962</f>
        <v/>
      </c>
    </row>
    <row r="1105">
      <c r="A1105" s="24" t="str">
        <f>'Landscape Trees '!A963</f>
        <v/>
      </c>
      <c r="B1105" s="24" t="str">
        <f>'Landscape Trees '!C963</f>
        <v/>
      </c>
      <c r="C1105" s="24" t="str">
        <f>'Landscape Trees '!D963</f>
        <v/>
      </c>
      <c r="D1105" s="24" t="str">
        <f>'Landscape Trees '!E963</f>
        <v/>
      </c>
      <c r="E1105" s="24" t="str">
        <f>'Landscape Trees '!F963</f>
        <v/>
      </c>
      <c r="F1105" s="24" t="str">
        <f>'Landscape Trees '!G963</f>
        <v/>
      </c>
      <c r="G1105" s="24" t="str">
        <f>'Landscape Trees '!H963</f>
        <v/>
      </c>
      <c r="H1105" s="24" t="str">
        <f>'Landscape Trees '!I963</f>
        <v/>
      </c>
    </row>
    <row r="1106">
      <c r="A1106" s="24" t="str">
        <f>'Landscape Trees '!A964</f>
        <v/>
      </c>
      <c r="B1106" s="24" t="str">
        <f>'Landscape Trees '!C964</f>
        <v/>
      </c>
      <c r="C1106" s="24" t="str">
        <f>'Landscape Trees '!D964</f>
        <v/>
      </c>
      <c r="D1106" s="24" t="str">
        <f>'Landscape Trees '!E964</f>
        <v/>
      </c>
      <c r="E1106" s="24" t="str">
        <f>'Landscape Trees '!F964</f>
        <v/>
      </c>
      <c r="F1106" s="24" t="str">
        <f>'Landscape Trees '!G964</f>
        <v/>
      </c>
      <c r="G1106" s="24" t="str">
        <f>'Landscape Trees '!H964</f>
        <v/>
      </c>
      <c r="H1106" s="24" t="str">
        <f>'Landscape Trees '!I964</f>
        <v/>
      </c>
    </row>
    <row r="1107">
      <c r="A1107" s="24" t="str">
        <f>'Landscape Trees '!A965</f>
        <v/>
      </c>
      <c r="B1107" s="24" t="str">
        <f>'Landscape Trees '!C965</f>
        <v/>
      </c>
      <c r="C1107" s="24" t="str">
        <f>'Landscape Trees '!D965</f>
        <v/>
      </c>
      <c r="D1107" s="24" t="str">
        <f>'Landscape Trees '!E965</f>
        <v/>
      </c>
      <c r="E1107" s="24" t="str">
        <f>'Landscape Trees '!F965</f>
        <v/>
      </c>
      <c r="F1107" s="24" t="str">
        <f>'Landscape Trees '!G965</f>
        <v/>
      </c>
      <c r="G1107" s="24" t="str">
        <f>'Landscape Trees '!H965</f>
        <v/>
      </c>
      <c r="H1107" s="24" t="str">
        <f>'Landscape Trees '!I965</f>
        <v/>
      </c>
    </row>
    <row r="1108">
      <c r="A1108" s="24" t="str">
        <f>'Landscape Trees '!A966</f>
        <v/>
      </c>
      <c r="B1108" s="24" t="str">
        <f>'Landscape Trees '!C966</f>
        <v/>
      </c>
      <c r="C1108" s="24" t="str">
        <f>'Landscape Trees '!D966</f>
        <v/>
      </c>
      <c r="D1108" s="24" t="str">
        <f>'Landscape Trees '!E966</f>
        <v/>
      </c>
      <c r="E1108" s="24" t="str">
        <f>'Landscape Trees '!F966</f>
        <v/>
      </c>
      <c r="F1108" s="24" t="str">
        <f>'Landscape Trees '!G966</f>
        <v/>
      </c>
      <c r="G1108" s="24" t="str">
        <f>'Landscape Trees '!H966</f>
        <v/>
      </c>
      <c r="H1108" s="24" t="str">
        <f>'Landscape Trees '!I966</f>
        <v/>
      </c>
    </row>
    <row r="1109">
      <c r="A1109" s="24" t="str">
        <f>'Landscape Trees '!A967</f>
        <v/>
      </c>
      <c r="B1109" s="24" t="str">
        <f>'Landscape Trees '!C967</f>
        <v/>
      </c>
      <c r="C1109" s="24" t="str">
        <f>'Landscape Trees '!D967</f>
        <v/>
      </c>
      <c r="D1109" s="24" t="str">
        <f>'Landscape Trees '!E967</f>
        <v/>
      </c>
      <c r="E1109" s="24" t="str">
        <f>'Landscape Trees '!F967</f>
        <v/>
      </c>
      <c r="F1109" s="24" t="str">
        <f>'Landscape Trees '!G967</f>
        <v/>
      </c>
      <c r="G1109" s="24" t="str">
        <f>'Landscape Trees '!H967</f>
        <v/>
      </c>
      <c r="H1109" s="24" t="str">
        <f>'Landscape Trees '!I967</f>
        <v/>
      </c>
    </row>
    <row r="1110">
      <c r="A1110" s="24" t="str">
        <f>'Landscape Trees '!A968</f>
        <v/>
      </c>
      <c r="B1110" s="24" t="str">
        <f>'Landscape Trees '!C968</f>
        <v/>
      </c>
      <c r="C1110" s="24" t="str">
        <f>'Landscape Trees '!D968</f>
        <v/>
      </c>
      <c r="D1110" s="24" t="str">
        <f>'Landscape Trees '!E968</f>
        <v/>
      </c>
      <c r="E1110" s="24" t="str">
        <f>'Landscape Trees '!F968</f>
        <v/>
      </c>
      <c r="F1110" s="24" t="str">
        <f>'Landscape Trees '!G968</f>
        <v/>
      </c>
      <c r="G1110" s="24" t="str">
        <f>'Landscape Trees '!H968</f>
        <v/>
      </c>
      <c r="H1110" s="24" t="str">
        <f>'Landscape Trees '!I968</f>
        <v/>
      </c>
    </row>
    <row r="1111">
      <c r="A1111" s="24" t="str">
        <f>'Landscape Trees '!A969</f>
        <v/>
      </c>
      <c r="B1111" s="24" t="str">
        <f>'Landscape Trees '!C969</f>
        <v/>
      </c>
      <c r="C1111" s="24" t="str">
        <f>'Landscape Trees '!D969</f>
        <v/>
      </c>
      <c r="D1111" s="24" t="str">
        <f>'Landscape Trees '!E969</f>
        <v/>
      </c>
      <c r="E1111" s="24" t="str">
        <f>'Landscape Trees '!F969</f>
        <v/>
      </c>
      <c r="F1111" s="24" t="str">
        <f>'Landscape Trees '!G969</f>
        <v/>
      </c>
      <c r="G1111" s="24" t="str">
        <f>'Landscape Trees '!H969</f>
        <v/>
      </c>
      <c r="H1111" s="24" t="str">
        <f>'Landscape Trees '!I969</f>
        <v/>
      </c>
    </row>
    <row r="1112">
      <c r="A1112" s="24" t="str">
        <f>'Landscape Trees '!A970</f>
        <v/>
      </c>
      <c r="B1112" s="24" t="str">
        <f>'Landscape Trees '!C970</f>
        <v/>
      </c>
      <c r="C1112" s="24" t="str">
        <f>'Landscape Trees '!D970</f>
        <v/>
      </c>
      <c r="D1112" s="24" t="str">
        <f>'Landscape Trees '!E970</f>
        <v/>
      </c>
      <c r="E1112" s="24" t="str">
        <f>'Landscape Trees '!F970</f>
        <v/>
      </c>
      <c r="F1112" s="24" t="str">
        <f>'Landscape Trees '!G970</f>
        <v/>
      </c>
      <c r="G1112" s="24" t="str">
        <f>'Landscape Trees '!H970</f>
        <v/>
      </c>
      <c r="H1112" s="24" t="str">
        <f>'Landscape Trees '!I970</f>
        <v/>
      </c>
    </row>
    <row r="1113">
      <c r="A1113" s="24" t="str">
        <f>'Landscape Trees '!A971</f>
        <v/>
      </c>
      <c r="B1113" s="24" t="str">
        <f>'Landscape Trees '!C971</f>
        <v/>
      </c>
      <c r="C1113" s="24" t="str">
        <f>'Landscape Trees '!D971</f>
        <v/>
      </c>
      <c r="D1113" s="24" t="str">
        <f>'Landscape Trees '!E971</f>
        <v/>
      </c>
      <c r="E1113" s="24" t="str">
        <f>'Landscape Trees '!F971</f>
        <v/>
      </c>
      <c r="F1113" s="24" t="str">
        <f>'Landscape Trees '!G971</f>
        <v/>
      </c>
      <c r="G1113" s="24" t="str">
        <f>'Landscape Trees '!H971</f>
        <v/>
      </c>
      <c r="H1113" s="24" t="str">
        <f>'Landscape Trees '!I971</f>
        <v/>
      </c>
    </row>
    <row r="1114">
      <c r="A1114" s="24" t="str">
        <f>'Landscape Trees '!A972</f>
        <v/>
      </c>
      <c r="B1114" s="24" t="str">
        <f>'Landscape Trees '!C972</f>
        <v/>
      </c>
      <c r="C1114" s="24" t="str">
        <f>'Landscape Trees '!D972</f>
        <v/>
      </c>
      <c r="D1114" s="24" t="str">
        <f>'Landscape Trees '!E972</f>
        <v/>
      </c>
      <c r="E1114" s="24" t="str">
        <f>'Landscape Trees '!F972</f>
        <v/>
      </c>
      <c r="F1114" s="24" t="str">
        <f>'Landscape Trees '!G972</f>
        <v/>
      </c>
      <c r="G1114" s="24" t="str">
        <f>'Landscape Trees '!H972</f>
        <v/>
      </c>
      <c r="H1114" s="24" t="str">
        <f>'Landscape Trees '!I972</f>
        <v/>
      </c>
    </row>
    <row r="1115">
      <c r="A1115" s="24" t="str">
        <f>'Landscape Trees '!A973</f>
        <v/>
      </c>
      <c r="B1115" s="24" t="str">
        <f>'Landscape Trees '!C973</f>
        <v/>
      </c>
      <c r="C1115" s="24" t="str">
        <f>'Landscape Trees '!D973</f>
        <v/>
      </c>
      <c r="D1115" s="24" t="str">
        <f>'Landscape Trees '!E973</f>
        <v/>
      </c>
      <c r="E1115" s="24" t="str">
        <f>'Landscape Trees '!F973</f>
        <v/>
      </c>
      <c r="F1115" s="24" t="str">
        <f>'Landscape Trees '!G973</f>
        <v/>
      </c>
      <c r="G1115" s="24" t="str">
        <f>'Landscape Trees '!H973</f>
        <v/>
      </c>
      <c r="H1115" s="24" t="str">
        <f>'Landscape Trees '!I973</f>
        <v/>
      </c>
    </row>
    <row r="1116">
      <c r="A1116" s="24" t="str">
        <f>'Landscape Trees '!A974</f>
        <v/>
      </c>
      <c r="B1116" s="24" t="str">
        <f>'Landscape Trees '!C974</f>
        <v/>
      </c>
      <c r="C1116" s="24" t="str">
        <f>'Landscape Trees '!D974</f>
        <v/>
      </c>
      <c r="D1116" s="24" t="str">
        <f>'Landscape Trees '!E974</f>
        <v/>
      </c>
      <c r="E1116" s="24" t="str">
        <f>'Landscape Trees '!F974</f>
        <v/>
      </c>
      <c r="F1116" s="24" t="str">
        <f>'Landscape Trees '!G974</f>
        <v/>
      </c>
      <c r="G1116" s="24" t="str">
        <f>'Landscape Trees '!H974</f>
        <v/>
      </c>
      <c r="H1116" s="24" t="str">
        <f>'Landscape Trees '!I974</f>
        <v/>
      </c>
    </row>
    <row r="1117">
      <c r="A1117" s="24" t="str">
        <f>'Landscape Trees '!A975</f>
        <v/>
      </c>
      <c r="B1117" s="24" t="str">
        <f>'Landscape Trees '!C975</f>
        <v/>
      </c>
      <c r="C1117" s="24" t="str">
        <f>'Landscape Trees '!D975</f>
        <v/>
      </c>
      <c r="D1117" s="24" t="str">
        <f>'Landscape Trees '!E975</f>
        <v/>
      </c>
      <c r="E1117" s="24" t="str">
        <f>'Landscape Trees '!F975</f>
        <v/>
      </c>
      <c r="F1117" s="24" t="str">
        <f>'Landscape Trees '!G975</f>
        <v/>
      </c>
      <c r="G1117" s="24" t="str">
        <f>'Landscape Trees '!H975</f>
        <v/>
      </c>
      <c r="H1117" s="24" t="str">
        <f>'Landscape Trees '!I975</f>
        <v/>
      </c>
    </row>
    <row r="1118">
      <c r="A1118" s="24" t="str">
        <f>'Landscape Trees '!A976</f>
        <v/>
      </c>
      <c r="B1118" s="24" t="str">
        <f>'Landscape Trees '!C976</f>
        <v/>
      </c>
      <c r="C1118" s="24" t="str">
        <f>'Landscape Trees '!D976</f>
        <v/>
      </c>
      <c r="D1118" s="24" t="str">
        <f>'Landscape Trees '!E976</f>
        <v/>
      </c>
      <c r="E1118" s="24" t="str">
        <f>'Landscape Trees '!F976</f>
        <v/>
      </c>
      <c r="F1118" s="24" t="str">
        <f>'Landscape Trees '!G976</f>
        <v/>
      </c>
      <c r="G1118" s="24" t="str">
        <f>'Landscape Trees '!H976</f>
        <v/>
      </c>
      <c r="H1118" s="24" t="str">
        <f>'Landscape Trees '!I976</f>
        <v/>
      </c>
    </row>
    <row r="1119">
      <c r="A1119" s="24" t="str">
        <f>'Landscape Trees '!A977</f>
        <v/>
      </c>
      <c r="B1119" s="24" t="str">
        <f>'Landscape Trees '!C977</f>
        <v/>
      </c>
      <c r="C1119" s="24" t="str">
        <f>'Landscape Trees '!D977</f>
        <v/>
      </c>
      <c r="D1119" s="24" t="str">
        <f>'Landscape Trees '!E977</f>
        <v/>
      </c>
      <c r="E1119" s="24" t="str">
        <f>'Landscape Trees '!F977</f>
        <v/>
      </c>
      <c r="F1119" s="24" t="str">
        <f>'Landscape Trees '!G977</f>
        <v/>
      </c>
      <c r="G1119" s="24" t="str">
        <f>'Landscape Trees '!H977</f>
        <v/>
      </c>
      <c r="H1119" s="24" t="str">
        <f>'Landscape Trees '!I977</f>
        <v/>
      </c>
    </row>
    <row r="1120">
      <c r="A1120" s="24" t="str">
        <f>'Landscape Trees '!A978</f>
        <v/>
      </c>
      <c r="B1120" s="24" t="str">
        <f>'Landscape Trees '!C978</f>
        <v/>
      </c>
      <c r="C1120" s="24" t="str">
        <f>'Landscape Trees '!D978</f>
        <v/>
      </c>
      <c r="D1120" s="24" t="str">
        <f>'Landscape Trees '!E978</f>
        <v/>
      </c>
      <c r="E1120" s="24" t="str">
        <f>'Landscape Trees '!F978</f>
        <v/>
      </c>
      <c r="F1120" s="24" t="str">
        <f>'Landscape Trees '!G978</f>
        <v/>
      </c>
      <c r="G1120" s="24" t="str">
        <f>'Landscape Trees '!H978</f>
        <v/>
      </c>
      <c r="H1120" s="24" t="str">
        <f>'Landscape Trees '!I978</f>
        <v/>
      </c>
    </row>
    <row r="1121">
      <c r="A1121" s="24" t="str">
        <f>'Landscape Trees '!A979</f>
        <v/>
      </c>
      <c r="B1121" s="24" t="str">
        <f>'Landscape Trees '!C979</f>
        <v/>
      </c>
      <c r="C1121" s="24" t="str">
        <f>'Landscape Trees '!D979</f>
        <v/>
      </c>
      <c r="D1121" s="24" t="str">
        <f>'Landscape Trees '!E979</f>
        <v/>
      </c>
      <c r="E1121" s="24" t="str">
        <f>'Landscape Trees '!F979</f>
        <v/>
      </c>
      <c r="F1121" s="24" t="str">
        <f>'Landscape Trees '!G979</f>
        <v/>
      </c>
      <c r="G1121" s="24" t="str">
        <f>'Landscape Trees '!H979</f>
        <v/>
      </c>
      <c r="H1121" s="24" t="str">
        <f>'Landscape Trees '!I979</f>
        <v/>
      </c>
    </row>
    <row r="1122">
      <c r="A1122" s="24" t="str">
        <f>'Landscape Trees '!A980</f>
        <v/>
      </c>
      <c r="B1122" s="24" t="str">
        <f>'Landscape Trees '!C980</f>
        <v/>
      </c>
      <c r="C1122" s="24" t="str">
        <f>'Landscape Trees '!D980</f>
        <v/>
      </c>
      <c r="D1122" s="24" t="str">
        <f>'Landscape Trees '!E980</f>
        <v/>
      </c>
      <c r="E1122" s="24" t="str">
        <f>'Landscape Trees '!F980</f>
        <v/>
      </c>
      <c r="F1122" s="24" t="str">
        <f>'Landscape Trees '!G980</f>
        <v/>
      </c>
      <c r="G1122" s="24" t="str">
        <f>'Landscape Trees '!H980</f>
        <v/>
      </c>
      <c r="H1122" s="24" t="str">
        <f>'Landscape Trees '!I980</f>
        <v/>
      </c>
    </row>
    <row r="1123">
      <c r="A1123" s="24" t="str">
        <f>'Landscape Trees '!A981</f>
        <v/>
      </c>
      <c r="B1123" s="24" t="str">
        <f>'Landscape Trees '!C981</f>
        <v/>
      </c>
      <c r="C1123" s="24" t="str">
        <f>'Landscape Trees '!D981</f>
        <v/>
      </c>
      <c r="D1123" s="24" t="str">
        <f>'Landscape Trees '!E981</f>
        <v/>
      </c>
      <c r="E1123" s="24" t="str">
        <f>'Landscape Trees '!F981</f>
        <v/>
      </c>
      <c r="F1123" s="24" t="str">
        <f>'Landscape Trees '!G981</f>
        <v/>
      </c>
      <c r="G1123" s="24" t="str">
        <f>'Landscape Trees '!H981</f>
        <v/>
      </c>
      <c r="H1123" s="24" t="str">
        <f>'Landscape Trees '!I981</f>
        <v/>
      </c>
    </row>
    <row r="1124">
      <c r="A1124" s="24" t="str">
        <f>'Landscape Trees '!A982</f>
        <v/>
      </c>
      <c r="B1124" s="24" t="str">
        <f>'Landscape Trees '!C982</f>
        <v/>
      </c>
      <c r="C1124" s="24" t="str">
        <f>'Landscape Trees '!D982</f>
        <v/>
      </c>
      <c r="D1124" s="24" t="str">
        <f>'Landscape Trees '!E982</f>
        <v/>
      </c>
      <c r="E1124" s="24" t="str">
        <f>'Landscape Trees '!F982</f>
        <v/>
      </c>
      <c r="F1124" s="24" t="str">
        <f>'Landscape Trees '!G982</f>
        <v/>
      </c>
      <c r="G1124" s="24" t="str">
        <f>'Landscape Trees '!H982</f>
        <v/>
      </c>
      <c r="H1124" s="24" t="str">
        <f>'Landscape Trees '!I982</f>
        <v/>
      </c>
    </row>
    <row r="1125">
      <c r="A1125" s="24" t="str">
        <f>'Landscape Trees '!A983</f>
        <v/>
      </c>
      <c r="B1125" s="24" t="str">
        <f>'Landscape Trees '!C983</f>
        <v/>
      </c>
      <c r="C1125" s="24" t="str">
        <f>'Landscape Trees '!D983</f>
        <v/>
      </c>
      <c r="D1125" s="24" t="str">
        <f>'Landscape Trees '!E983</f>
        <v/>
      </c>
      <c r="E1125" s="24" t="str">
        <f>'Landscape Trees '!F983</f>
        <v/>
      </c>
      <c r="F1125" s="24" t="str">
        <f>'Landscape Trees '!G983</f>
        <v/>
      </c>
      <c r="G1125" s="24" t="str">
        <f>'Landscape Trees '!H983</f>
        <v/>
      </c>
      <c r="H1125" s="24" t="str">
        <f>'Landscape Trees '!I983</f>
        <v/>
      </c>
    </row>
    <row r="1126">
      <c r="A1126" s="24" t="str">
        <f>'Landscape Trees '!A984</f>
        <v/>
      </c>
      <c r="B1126" s="24" t="str">
        <f>'Landscape Trees '!C984</f>
        <v/>
      </c>
      <c r="C1126" s="24" t="str">
        <f>'Landscape Trees '!D984</f>
        <v/>
      </c>
      <c r="D1126" s="24" t="str">
        <f>'Landscape Trees '!E984</f>
        <v/>
      </c>
      <c r="E1126" s="24" t="str">
        <f>'Landscape Trees '!F984</f>
        <v/>
      </c>
      <c r="F1126" s="24" t="str">
        <f>'Landscape Trees '!G984</f>
        <v/>
      </c>
      <c r="G1126" s="24" t="str">
        <f>'Landscape Trees '!H984</f>
        <v/>
      </c>
      <c r="H1126" s="24" t="str">
        <f>'Landscape Trees '!I984</f>
        <v/>
      </c>
    </row>
    <row r="1127">
      <c r="A1127" s="24" t="str">
        <f>'Landscape Trees '!A985</f>
        <v/>
      </c>
      <c r="B1127" s="24" t="str">
        <f>'Landscape Trees '!C985</f>
        <v/>
      </c>
      <c r="C1127" s="24" t="str">
        <f>'Landscape Trees '!D985</f>
        <v/>
      </c>
      <c r="D1127" s="24" t="str">
        <f>'Landscape Trees '!E985</f>
        <v/>
      </c>
      <c r="E1127" s="24" t="str">
        <f>'Landscape Trees '!F985</f>
        <v/>
      </c>
      <c r="F1127" s="24" t="str">
        <f>'Landscape Trees '!G985</f>
        <v/>
      </c>
      <c r="G1127" s="24" t="str">
        <f>'Landscape Trees '!H985</f>
        <v/>
      </c>
      <c r="H1127" s="24" t="str">
        <f>'Landscape Trees '!I985</f>
        <v/>
      </c>
    </row>
    <row r="1128">
      <c r="A1128" s="24" t="str">
        <f>'Landscape Trees '!A986</f>
        <v/>
      </c>
      <c r="B1128" s="24" t="str">
        <f>'Landscape Trees '!C986</f>
        <v/>
      </c>
      <c r="C1128" s="24" t="str">
        <f>'Landscape Trees '!D986</f>
        <v/>
      </c>
      <c r="D1128" s="24" t="str">
        <f>'Landscape Trees '!E986</f>
        <v/>
      </c>
      <c r="E1128" s="24" t="str">
        <f>'Landscape Trees '!F986</f>
        <v/>
      </c>
      <c r="F1128" s="24" t="str">
        <f>'Landscape Trees '!G986</f>
        <v/>
      </c>
      <c r="G1128" s="24" t="str">
        <f>'Landscape Trees '!H986</f>
        <v/>
      </c>
      <c r="H1128" s="24" t="str">
        <f>'Landscape Trees '!I986</f>
        <v/>
      </c>
    </row>
    <row r="1129">
      <c r="A1129" s="24" t="str">
        <f>'Landscape Trees '!A987</f>
        <v/>
      </c>
      <c r="B1129" s="24" t="str">
        <f>'Landscape Trees '!C987</f>
        <v/>
      </c>
      <c r="C1129" s="24" t="str">
        <f>'Landscape Trees '!D987</f>
        <v/>
      </c>
      <c r="D1129" s="24" t="str">
        <f>'Landscape Trees '!E987</f>
        <v/>
      </c>
      <c r="E1129" s="24" t="str">
        <f>'Landscape Trees '!F987</f>
        <v/>
      </c>
      <c r="F1129" s="24" t="str">
        <f>'Landscape Trees '!G987</f>
        <v/>
      </c>
      <c r="G1129" s="24" t="str">
        <f>'Landscape Trees '!H987</f>
        <v/>
      </c>
      <c r="H1129" s="24" t="str">
        <f>'Landscape Trees '!I987</f>
        <v/>
      </c>
    </row>
    <row r="1130">
      <c r="A1130" s="24" t="str">
        <f>'Landscape Trees '!A988</f>
        <v/>
      </c>
      <c r="B1130" s="24" t="str">
        <f>'Landscape Trees '!C988</f>
        <v/>
      </c>
      <c r="C1130" s="24" t="str">
        <f>'Landscape Trees '!D988</f>
        <v/>
      </c>
      <c r="D1130" s="24" t="str">
        <f>'Landscape Trees '!E988</f>
        <v/>
      </c>
      <c r="E1130" s="24" t="str">
        <f>'Landscape Trees '!F988</f>
        <v/>
      </c>
      <c r="F1130" s="24" t="str">
        <f>'Landscape Trees '!G988</f>
        <v/>
      </c>
      <c r="G1130" s="24" t="str">
        <f>'Landscape Trees '!H988</f>
        <v/>
      </c>
      <c r="H1130" s="24" t="str">
        <f>'Landscape Trees '!I988</f>
        <v/>
      </c>
    </row>
    <row r="1131">
      <c r="A1131" s="24" t="str">
        <f>'Landscape Trees '!A989</f>
        <v/>
      </c>
      <c r="B1131" s="24" t="str">
        <f>'Landscape Trees '!C989</f>
        <v/>
      </c>
      <c r="C1131" s="24" t="str">
        <f>'Landscape Trees '!D989</f>
        <v/>
      </c>
      <c r="D1131" s="24" t="str">
        <f>'Landscape Trees '!E989</f>
        <v/>
      </c>
      <c r="E1131" s="24" t="str">
        <f>'Landscape Trees '!F989</f>
        <v/>
      </c>
      <c r="F1131" s="24" t="str">
        <f>'Landscape Trees '!G989</f>
        <v/>
      </c>
      <c r="G1131" s="24" t="str">
        <f>'Landscape Trees '!H989</f>
        <v/>
      </c>
      <c r="H1131" s="24" t="str">
        <f>'Landscape Trees '!I989</f>
        <v/>
      </c>
    </row>
    <row r="1132">
      <c r="A1132" s="24" t="str">
        <f>'Landscape Trees '!A990</f>
        <v/>
      </c>
      <c r="B1132" s="24" t="str">
        <f>'Landscape Trees '!C990</f>
        <v/>
      </c>
      <c r="C1132" s="24" t="str">
        <f>'Landscape Trees '!D990</f>
        <v/>
      </c>
      <c r="D1132" s="24" t="str">
        <f>'Landscape Trees '!E990</f>
        <v/>
      </c>
      <c r="E1132" s="24" t="str">
        <f>'Landscape Trees '!F990</f>
        <v/>
      </c>
      <c r="F1132" s="24" t="str">
        <f>'Landscape Trees '!G990</f>
        <v/>
      </c>
      <c r="G1132" s="24" t="str">
        <f>'Landscape Trees '!H990</f>
        <v/>
      </c>
      <c r="H1132" s="24" t="str">
        <f>'Landscape Trees '!I990</f>
        <v/>
      </c>
    </row>
    <row r="1133">
      <c r="A1133" s="24" t="str">
        <f>'Landscape Trees '!A991</f>
        <v/>
      </c>
      <c r="B1133" s="24" t="str">
        <f>'Landscape Trees '!C991</f>
        <v/>
      </c>
      <c r="C1133" s="24" t="str">
        <f>'Landscape Trees '!D991</f>
        <v/>
      </c>
      <c r="D1133" s="24" t="str">
        <f>'Landscape Trees '!E991</f>
        <v/>
      </c>
      <c r="E1133" s="24" t="str">
        <f>'Landscape Trees '!F991</f>
        <v/>
      </c>
      <c r="F1133" s="24" t="str">
        <f>'Landscape Trees '!G991</f>
        <v/>
      </c>
      <c r="G1133" s="24" t="str">
        <f>'Landscape Trees '!H991</f>
        <v/>
      </c>
      <c r="H1133" s="24" t="str">
        <f>'Landscape Trees '!I991</f>
        <v/>
      </c>
    </row>
    <row r="1134">
      <c r="A1134" s="24" t="str">
        <f>'Landscape Trees '!A992</f>
        <v/>
      </c>
      <c r="B1134" s="24" t="str">
        <f>'Landscape Trees '!C992</f>
        <v/>
      </c>
      <c r="C1134" s="24" t="str">
        <f>'Landscape Trees '!D992</f>
        <v/>
      </c>
      <c r="D1134" s="24" t="str">
        <f>'Landscape Trees '!E992</f>
        <v/>
      </c>
      <c r="E1134" s="24" t="str">
        <f>'Landscape Trees '!F992</f>
        <v/>
      </c>
      <c r="F1134" s="24" t="str">
        <f>'Landscape Trees '!G992</f>
        <v/>
      </c>
      <c r="G1134" s="24" t="str">
        <f>'Landscape Trees '!H992</f>
        <v/>
      </c>
      <c r="H1134" s="24" t="str">
        <f>'Landscape Trees '!I992</f>
        <v/>
      </c>
    </row>
    <row r="1135">
      <c r="A1135" s="24" t="str">
        <f>'Landscape Trees '!A993</f>
        <v/>
      </c>
      <c r="B1135" s="24" t="str">
        <f>'Landscape Trees '!C993</f>
        <v/>
      </c>
      <c r="C1135" s="24" t="str">
        <f>'Landscape Trees '!D993</f>
        <v/>
      </c>
      <c r="D1135" s="24" t="str">
        <f>'Landscape Trees '!E993</f>
        <v/>
      </c>
      <c r="E1135" s="24" t="str">
        <f>'Landscape Trees '!F993</f>
        <v/>
      </c>
      <c r="F1135" s="24" t="str">
        <f>'Landscape Trees '!G993</f>
        <v/>
      </c>
      <c r="G1135" s="24" t="str">
        <f>'Landscape Trees '!H993</f>
        <v/>
      </c>
      <c r="H1135" s="24" t="str">
        <f>'Landscape Trees '!I993</f>
        <v/>
      </c>
    </row>
    <row r="1136">
      <c r="A1136" s="24" t="str">
        <f>'Landscape Trees '!A994</f>
        <v/>
      </c>
      <c r="B1136" s="24" t="str">
        <f>'Landscape Trees '!C994</f>
        <v/>
      </c>
      <c r="C1136" s="24" t="str">
        <f>'Landscape Trees '!D994</f>
        <v/>
      </c>
      <c r="D1136" s="24" t="str">
        <f>'Landscape Trees '!E994</f>
        <v/>
      </c>
      <c r="E1136" s="24" t="str">
        <f>'Landscape Trees '!F994</f>
        <v/>
      </c>
      <c r="F1136" s="24" t="str">
        <f>'Landscape Trees '!G994</f>
        <v/>
      </c>
      <c r="G1136" s="24" t="str">
        <f>'Landscape Trees '!H994</f>
        <v/>
      </c>
      <c r="H1136" s="24" t="str">
        <f>'Landscape Trees '!I994</f>
        <v/>
      </c>
    </row>
    <row r="1137">
      <c r="A1137" s="24" t="str">
        <f>'Landscape Trees '!A995</f>
        <v/>
      </c>
      <c r="B1137" s="24" t="str">
        <f>'Landscape Trees '!C995</f>
        <v/>
      </c>
      <c r="C1137" s="24" t="str">
        <f>'Landscape Trees '!D995</f>
        <v/>
      </c>
      <c r="D1137" s="24" t="str">
        <f>'Landscape Trees '!E995</f>
        <v/>
      </c>
      <c r="E1137" s="24" t="str">
        <f>'Landscape Trees '!F995</f>
        <v/>
      </c>
      <c r="F1137" s="24" t="str">
        <f>'Landscape Trees '!G995</f>
        <v/>
      </c>
      <c r="G1137" s="24" t="str">
        <f>'Landscape Trees '!H995</f>
        <v/>
      </c>
      <c r="H1137" s="24" t="str">
        <f>'Landscape Trees '!I995</f>
        <v/>
      </c>
    </row>
    <row r="1138">
      <c r="A1138" s="24" t="str">
        <f>'Landscape Trees '!A996</f>
        <v/>
      </c>
      <c r="B1138" s="24" t="str">
        <f>'Landscape Trees '!C996</f>
        <v/>
      </c>
      <c r="C1138" s="24" t="str">
        <f>'Landscape Trees '!D996</f>
        <v/>
      </c>
      <c r="D1138" s="24" t="str">
        <f>'Landscape Trees '!E996</f>
        <v/>
      </c>
      <c r="E1138" s="24" t="str">
        <f>'Landscape Trees '!F996</f>
        <v/>
      </c>
      <c r="F1138" s="24" t="str">
        <f>'Landscape Trees '!G996</f>
        <v/>
      </c>
      <c r="G1138" s="24" t="str">
        <f>'Landscape Trees '!H996</f>
        <v/>
      </c>
      <c r="H1138" s="24" t="str">
        <f>'Landscape Trees '!I996</f>
        <v/>
      </c>
    </row>
    <row r="1139">
      <c r="A1139" s="24" t="str">
        <f>'Landscape Trees '!A997</f>
        <v/>
      </c>
      <c r="B1139" s="24" t="str">
        <f>'Landscape Trees '!C997</f>
        <v/>
      </c>
      <c r="C1139" s="24" t="str">
        <f>'Landscape Trees '!D997</f>
        <v/>
      </c>
      <c r="D1139" s="24" t="str">
        <f>'Landscape Trees '!E997</f>
        <v/>
      </c>
      <c r="E1139" s="24" t="str">
        <f>'Landscape Trees '!F997</f>
        <v/>
      </c>
      <c r="F1139" s="24" t="str">
        <f>'Landscape Trees '!G997</f>
        <v/>
      </c>
      <c r="G1139" s="24" t="str">
        <f>'Landscape Trees '!H997</f>
        <v/>
      </c>
      <c r="H1139" s="24" t="str">
        <f>'Landscape Trees '!I997</f>
        <v/>
      </c>
    </row>
    <row r="1140">
      <c r="A1140" s="24" t="str">
        <f>'Landscape Trees '!A998</f>
        <v/>
      </c>
      <c r="B1140" s="24" t="str">
        <f>'Landscape Trees '!C998</f>
        <v/>
      </c>
      <c r="C1140" s="24" t="str">
        <f>'Landscape Trees '!D998</f>
        <v/>
      </c>
      <c r="D1140" s="24" t="str">
        <f>'Landscape Trees '!E998</f>
        <v/>
      </c>
      <c r="E1140" s="24" t="str">
        <f>'Landscape Trees '!F998</f>
        <v/>
      </c>
      <c r="F1140" s="24" t="str">
        <f>'Landscape Trees '!G998</f>
        <v/>
      </c>
      <c r="G1140" s="24" t="str">
        <f>'Landscape Trees '!H998</f>
        <v/>
      </c>
      <c r="H1140" s="24" t="str">
        <f>'Landscape Trees '!I998</f>
        <v/>
      </c>
    </row>
    <row r="1141">
      <c r="A1141" s="24" t="str">
        <f>'Landscape Trees '!A999</f>
        <v/>
      </c>
      <c r="B1141" s="24" t="str">
        <f>'Landscape Trees '!C999</f>
        <v/>
      </c>
      <c r="C1141" s="24" t="str">
        <f>'Landscape Trees '!D999</f>
        <v/>
      </c>
      <c r="D1141" s="24" t="str">
        <f>'Landscape Trees '!E999</f>
        <v/>
      </c>
      <c r="E1141" s="24" t="str">
        <f>'Landscape Trees '!F999</f>
        <v/>
      </c>
      <c r="F1141" s="24" t="str">
        <f>'Landscape Trees '!G999</f>
        <v/>
      </c>
      <c r="G1141" s="24" t="str">
        <f>'Landscape Trees '!H999</f>
        <v/>
      </c>
      <c r="H1141" s="24" t="str">
        <f>'Landscape Trees '!I999</f>
        <v/>
      </c>
    </row>
    <row r="1142">
      <c r="A1142" s="24" t="str">
        <f>'Landscape Trees '!A1000</f>
        <v/>
      </c>
      <c r="B1142" s="24" t="str">
        <f>'Landscape Trees '!C1000</f>
        <v/>
      </c>
      <c r="C1142" s="24" t="str">
        <f>'Landscape Trees '!D1000</f>
        <v/>
      </c>
      <c r="D1142" s="24" t="str">
        <f>'Landscape Trees '!E1000</f>
        <v/>
      </c>
      <c r="E1142" s="24" t="str">
        <f>'Landscape Trees '!F1000</f>
        <v/>
      </c>
      <c r="F1142" s="24" t="str">
        <f>'Landscape Trees '!G1000</f>
        <v/>
      </c>
      <c r="G1142" s="24" t="str">
        <f>'Landscape Trees '!H1000</f>
        <v/>
      </c>
      <c r="H1142" s="24" t="str">
        <f>'Landscape Trees '!I1000</f>
        <v/>
      </c>
    </row>
  </sheetData>
  <mergeCells count="1">
    <mergeCell ref="A1:B1"/>
  </mergeCells>
  <printOptions gridLines="1" horizontalCentered="1"/>
  <pageMargins bottom="0.3" footer="0.0" header="0.0" left="0.3" right="0.3" top="0.3"/>
  <pageSetup fitToHeight="0" cellComments="atEnd" orientation="portrait" pageOrder="overThenDown"/>
  <drawing r:id="rId1"/>
</worksheet>
</file>