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n\Desktop\ISFIS-Marketing Files\RSAI\RSAI Misc\"/>
    </mc:Choice>
  </mc:AlternateContent>
  <bookViews>
    <workbookView xWindow="0" yWindow="0" windowWidth="23040" windowHeight="8808" tabRatio="699" firstSheet="1" activeTab="8"/>
  </bookViews>
  <sheets>
    <sheet name="TransportationData" sheetId="23" state="hidden" r:id="rId1"/>
    <sheet name="FinalPayment_NoReorg" sheetId="7" r:id="rId2"/>
    <sheet name="FinalPayment" sheetId="8" state="hidden" r:id="rId3"/>
    <sheet name="Payment" sheetId="13" state="hidden" r:id="rId4"/>
    <sheet name="Payment 1 through 9" sheetId="14" state="hidden" r:id="rId5"/>
    <sheet name="FinalPayment 10" sheetId="21" state="hidden" r:id="rId6"/>
    <sheet name="Notes" sheetId="22" state="hidden" r:id="rId7"/>
    <sheet name="RawTransportationData" sheetId="25" state="hidden" r:id="rId8"/>
    <sheet name="Compare" sheetId="24" r:id="rId9"/>
  </sheets>
  <definedNames>
    <definedName name="_xlnm._FilterDatabase" localSheetId="3" hidden="1">Payment!$A$1:$M$328</definedName>
    <definedName name="count">#REF!</definedName>
    <definedName name="_xlnm.Print_Area" localSheetId="8">Compare!$G$1:$Z$449</definedName>
    <definedName name="_xlnm.Print_Area" localSheetId="1">FinalPayment_NoReorg!$G$1:$L$339</definedName>
    <definedName name="_xlnm.Print_Titles" localSheetId="8">Compare!$3:$3</definedName>
    <definedName name="_xlnm.Print_Titles" localSheetId="1">FinalPayment_NoReorg!$1:$1</definedName>
  </definedNames>
  <calcPr calcId="191029"/>
</workbook>
</file>

<file path=xl/calcChain.xml><?xml version="1.0" encoding="utf-8"?>
<calcChain xmlns="http://schemas.openxmlformats.org/spreadsheetml/2006/main">
  <c r="L335" i="7" l="1"/>
  <c r="N335" i="7" l="1"/>
  <c r="N336" i="7" s="1"/>
  <c r="N331" i="7" l="1"/>
  <c r="N2" i="7"/>
  <c r="M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M240" i="7"/>
  <c r="M241" i="7"/>
  <c r="M242" i="7"/>
  <c r="M243" i="7"/>
  <c r="M244" i="7"/>
  <c r="M245" i="7"/>
  <c r="M246" i="7"/>
  <c r="M247" i="7"/>
  <c r="M248" i="7"/>
  <c r="M249" i="7"/>
  <c r="M250" i="7"/>
  <c r="M251" i="7"/>
  <c r="M252" i="7"/>
  <c r="M253" i="7"/>
  <c r="M254" i="7"/>
  <c r="M255" i="7"/>
  <c r="M256" i="7"/>
  <c r="M257" i="7"/>
  <c r="M258" i="7"/>
  <c r="M259" i="7"/>
  <c r="M260" i="7"/>
  <c r="M261" i="7"/>
  <c r="M262" i="7"/>
  <c r="M263" i="7"/>
  <c r="M264" i="7"/>
  <c r="M265" i="7"/>
  <c r="M266" i="7"/>
  <c r="M267" i="7"/>
  <c r="M268" i="7"/>
  <c r="M269" i="7"/>
  <c r="M270" i="7"/>
  <c r="M271" i="7"/>
  <c r="M272" i="7"/>
  <c r="M273" i="7"/>
  <c r="M274" i="7"/>
  <c r="M275" i="7"/>
  <c r="M276" i="7"/>
  <c r="M277" i="7"/>
  <c r="M278" i="7"/>
  <c r="M279" i="7"/>
  <c r="M280" i="7"/>
  <c r="M281" i="7"/>
  <c r="M282" i="7"/>
  <c r="M283" i="7"/>
  <c r="M284" i="7"/>
  <c r="M285" i="7"/>
  <c r="M286" i="7"/>
  <c r="M287" i="7"/>
  <c r="M288" i="7"/>
  <c r="M289" i="7"/>
  <c r="M290" i="7"/>
  <c r="M291" i="7"/>
  <c r="M292" i="7"/>
  <c r="M293" i="7"/>
  <c r="M294" i="7"/>
  <c r="M295" i="7"/>
  <c r="M296" i="7"/>
  <c r="M297" i="7"/>
  <c r="M298" i="7"/>
  <c r="M299" i="7"/>
  <c r="M300" i="7"/>
  <c r="M301" i="7"/>
  <c r="M302" i="7"/>
  <c r="M303" i="7"/>
  <c r="M304" i="7"/>
  <c r="M305" i="7"/>
  <c r="M306" i="7"/>
  <c r="M307" i="7"/>
  <c r="M308" i="7"/>
  <c r="M309" i="7"/>
  <c r="M310" i="7"/>
  <c r="M311" i="7"/>
  <c r="M312" i="7"/>
  <c r="M313" i="7"/>
  <c r="M314" i="7"/>
  <c r="M315" i="7"/>
  <c r="M316" i="7"/>
  <c r="M317" i="7"/>
  <c r="M318" i="7"/>
  <c r="M319" i="7"/>
  <c r="M320" i="7"/>
  <c r="M321" i="7"/>
  <c r="M322" i="7"/>
  <c r="M323" i="7"/>
  <c r="M324" i="7"/>
  <c r="M325" i="7"/>
  <c r="M326" i="7"/>
  <c r="M327" i="7"/>
  <c r="M328" i="7"/>
  <c r="M329" i="7"/>
  <c r="M330" i="7"/>
  <c r="M331" i="7"/>
  <c r="M2" i="7"/>
  <c r="L2" i="7"/>
  <c r="O2" i="7" l="1"/>
  <c r="O331" i="7"/>
  <c r="L3" i="7"/>
  <c r="L14" i="7"/>
  <c r="L329" i="7"/>
  <c r="J328" i="7" l="1"/>
  <c r="G5" i="24" l="1"/>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125" i="24"/>
  <c r="G126" i="24"/>
  <c r="G127" i="24"/>
  <c r="G128" i="24"/>
  <c r="G129" i="24"/>
  <c r="G130" i="24"/>
  <c r="G131" i="24"/>
  <c r="G132" i="24"/>
  <c r="G133" i="24"/>
  <c r="G134" i="24"/>
  <c r="G135" i="24"/>
  <c r="G136" i="24"/>
  <c r="G137" i="24"/>
  <c r="G138" i="24"/>
  <c r="G139" i="24"/>
  <c r="G140" i="24"/>
  <c r="G141" i="24"/>
  <c r="G142" i="24"/>
  <c r="G143" i="24"/>
  <c r="G144" i="24"/>
  <c r="G145" i="24"/>
  <c r="G146" i="24"/>
  <c r="G147" i="24"/>
  <c r="G148" i="24"/>
  <c r="G149" i="24"/>
  <c r="G150" i="24"/>
  <c r="G151" i="24"/>
  <c r="G152" i="24"/>
  <c r="G153" i="24"/>
  <c r="G154" i="24"/>
  <c r="G155" i="24"/>
  <c r="G156" i="24"/>
  <c r="G157" i="24"/>
  <c r="G158" i="24"/>
  <c r="G159" i="24"/>
  <c r="G160" i="24"/>
  <c r="G161" i="24"/>
  <c r="G162" i="24"/>
  <c r="G163" i="24"/>
  <c r="G164" i="24"/>
  <c r="G165" i="24"/>
  <c r="G166" i="24"/>
  <c r="G167" i="24"/>
  <c r="G168" i="24"/>
  <c r="G169" i="24"/>
  <c r="G170" i="24"/>
  <c r="G171" i="24"/>
  <c r="G172" i="24"/>
  <c r="G173" i="24"/>
  <c r="G174" i="24"/>
  <c r="G175" i="24"/>
  <c r="G176" i="24"/>
  <c r="G177" i="24"/>
  <c r="G178" i="24"/>
  <c r="G179" i="24"/>
  <c r="G180" i="24"/>
  <c r="G181" i="24"/>
  <c r="G182" i="24"/>
  <c r="G183" i="24"/>
  <c r="G184" i="24"/>
  <c r="G185" i="24"/>
  <c r="G186" i="24"/>
  <c r="G187" i="24"/>
  <c r="G188" i="24"/>
  <c r="G189" i="24"/>
  <c r="G190" i="24"/>
  <c r="G191" i="24"/>
  <c r="G192" i="24"/>
  <c r="G193" i="24"/>
  <c r="G194" i="24"/>
  <c r="G195" i="24"/>
  <c r="G196" i="24"/>
  <c r="G197" i="24"/>
  <c r="G198" i="24"/>
  <c r="G199" i="24"/>
  <c r="G200" i="24"/>
  <c r="G201" i="24"/>
  <c r="G202" i="24"/>
  <c r="G203" i="24"/>
  <c r="G204" i="24"/>
  <c r="G205" i="24"/>
  <c r="G206" i="24"/>
  <c r="G207" i="24"/>
  <c r="G208" i="24"/>
  <c r="G209" i="24"/>
  <c r="G210" i="24"/>
  <c r="G211" i="24"/>
  <c r="G212" i="24"/>
  <c r="G213" i="24"/>
  <c r="G214" i="24"/>
  <c r="G215" i="24"/>
  <c r="G216" i="24"/>
  <c r="G217" i="24"/>
  <c r="G218" i="24"/>
  <c r="G219" i="24"/>
  <c r="G220" i="24"/>
  <c r="G221" i="24"/>
  <c r="G222" i="24"/>
  <c r="G223" i="24"/>
  <c r="G224" i="24"/>
  <c r="G225" i="24"/>
  <c r="G226" i="24"/>
  <c r="G227" i="24"/>
  <c r="G228" i="24"/>
  <c r="G229" i="24"/>
  <c r="G230" i="24"/>
  <c r="G231" i="24"/>
  <c r="G232" i="24"/>
  <c r="G233" i="24"/>
  <c r="G234" i="24"/>
  <c r="G235" i="24"/>
  <c r="G236" i="24"/>
  <c r="G237" i="24"/>
  <c r="G238" i="24"/>
  <c r="G239" i="24"/>
  <c r="G240" i="24"/>
  <c r="G241" i="24"/>
  <c r="G242" i="24"/>
  <c r="G243" i="24"/>
  <c r="G244" i="24"/>
  <c r="G245" i="24"/>
  <c r="G246" i="24"/>
  <c r="G247" i="24"/>
  <c r="G248" i="24"/>
  <c r="G249" i="24"/>
  <c r="G250" i="24"/>
  <c r="G251" i="24"/>
  <c r="G252" i="24"/>
  <c r="G253" i="24"/>
  <c r="G254" i="24"/>
  <c r="G255" i="24"/>
  <c r="G256" i="24"/>
  <c r="G257" i="24"/>
  <c r="G258" i="24"/>
  <c r="G259" i="24"/>
  <c r="G260" i="24"/>
  <c r="G261" i="24"/>
  <c r="G262" i="24"/>
  <c r="G263" i="24"/>
  <c r="G264" i="24"/>
  <c r="G265" i="24"/>
  <c r="G266" i="24"/>
  <c r="G267" i="24"/>
  <c r="G268" i="24"/>
  <c r="G269" i="24"/>
  <c r="G270" i="24"/>
  <c r="G271" i="24"/>
  <c r="G272" i="24"/>
  <c r="G273" i="24"/>
  <c r="G274" i="24"/>
  <c r="G275" i="24"/>
  <c r="G276" i="24"/>
  <c r="G277" i="24"/>
  <c r="G278" i="24"/>
  <c r="G279" i="24"/>
  <c r="G280" i="24"/>
  <c r="G281" i="24"/>
  <c r="G282" i="24"/>
  <c r="G283" i="24"/>
  <c r="G284" i="24"/>
  <c r="G285" i="24"/>
  <c r="G286" i="24"/>
  <c r="G287" i="24"/>
  <c r="G288" i="24"/>
  <c r="G289" i="24"/>
  <c r="G290" i="24"/>
  <c r="G291" i="24"/>
  <c r="G292" i="24"/>
  <c r="G293" i="24"/>
  <c r="G294" i="24"/>
  <c r="G295" i="24"/>
  <c r="G296" i="24"/>
  <c r="G297" i="24"/>
  <c r="G298" i="24"/>
  <c r="G299" i="24"/>
  <c r="G300" i="24"/>
  <c r="G301" i="24"/>
  <c r="G302" i="24"/>
  <c r="G303" i="24"/>
  <c r="G304" i="24"/>
  <c r="G305" i="24"/>
  <c r="G306" i="24"/>
  <c r="G307" i="24"/>
  <c r="G308" i="24"/>
  <c r="G309" i="24"/>
  <c r="G310" i="24"/>
  <c r="G311" i="24"/>
  <c r="G312" i="24"/>
  <c r="G313" i="24"/>
  <c r="G314" i="24"/>
  <c r="G315" i="24"/>
  <c r="G316" i="24"/>
  <c r="G317" i="24"/>
  <c r="G318" i="24"/>
  <c r="G319" i="24"/>
  <c r="G320" i="24"/>
  <c r="G321" i="24"/>
  <c r="G322" i="24"/>
  <c r="G323" i="24"/>
  <c r="G324" i="24"/>
  <c r="G325" i="24"/>
  <c r="G326" i="24"/>
  <c r="G327" i="24"/>
  <c r="G328" i="24"/>
  <c r="G329" i="24"/>
  <c r="G330" i="24"/>
  <c r="G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62" i="24"/>
  <c r="F63" i="24"/>
  <c r="F64" i="24"/>
  <c r="F65" i="24"/>
  <c r="F66" i="24"/>
  <c r="F67" i="24"/>
  <c r="F68" i="24"/>
  <c r="F69" i="24"/>
  <c r="F70" i="24"/>
  <c r="F71" i="24"/>
  <c r="F72" i="24"/>
  <c r="F73" i="24"/>
  <c r="F74" i="24"/>
  <c r="F75" i="24"/>
  <c r="F76" i="24"/>
  <c r="F77" i="24"/>
  <c r="F78" i="24"/>
  <c r="F79" i="24"/>
  <c r="F80" i="24"/>
  <c r="F81" i="24"/>
  <c r="F82" i="24"/>
  <c r="F83" i="24"/>
  <c r="F84" i="24"/>
  <c r="F85" i="24"/>
  <c r="F86" i="24"/>
  <c r="F87" i="24"/>
  <c r="F88" i="24"/>
  <c r="F89" i="24"/>
  <c r="F90" i="24"/>
  <c r="F91" i="24"/>
  <c r="F92" i="24"/>
  <c r="F93" i="24"/>
  <c r="F94" i="24"/>
  <c r="F95" i="24"/>
  <c r="F96" i="24"/>
  <c r="F97" i="24"/>
  <c r="F98" i="24"/>
  <c r="F99" i="24"/>
  <c r="F100" i="24"/>
  <c r="F101" i="24"/>
  <c r="F102" i="24"/>
  <c r="F103" i="24"/>
  <c r="F104" i="24"/>
  <c r="F105" i="24"/>
  <c r="F106" i="24"/>
  <c r="F107" i="24"/>
  <c r="F108" i="24"/>
  <c r="F109" i="24"/>
  <c r="F110" i="24"/>
  <c r="F111" i="24"/>
  <c r="F112" i="24"/>
  <c r="F113" i="24"/>
  <c r="F114" i="24"/>
  <c r="F115" i="24"/>
  <c r="F116" i="24"/>
  <c r="F117" i="24"/>
  <c r="F118" i="24"/>
  <c r="F119" i="24"/>
  <c r="F120" i="24"/>
  <c r="F121" i="24"/>
  <c r="F122" i="24"/>
  <c r="F123" i="24"/>
  <c r="F124" i="24"/>
  <c r="F125" i="24"/>
  <c r="F126" i="24"/>
  <c r="F127" i="24"/>
  <c r="F128" i="24"/>
  <c r="F129" i="24"/>
  <c r="F130" i="24"/>
  <c r="F131" i="24"/>
  <c r="F132" i="24"/>
  <c r="F133" i="24"/>
  <c r="F134" i="24"/>
  <c r="F135" i="24"/>
  <c r="F136" i="24"/>
  <c r="F137" i="24"/>
  <c r="F138" i="24"/>
  <c r="F139" i="24"/>
  <c r="F140" i="24"/>
  <c r="F141" i="24"/>
  <c r="F142" i="24"/>
  <c r="F143" i="24"/>
  <c r="F144" i="24"/>
  <c r="F145" i="24"/>
  <c r="F146" i="24"/>
  <c r="F147" i="24"/>
  <c r="F148" i="24"/>
  <c r="F149" i="24"/>
  <c r="F150" i="24"/>
  <c r="F151" i="24"/>
  <c r="F152" i="24"/>
  <c r="F153" i="24"/>
  <c r="F154" i="24"/>
  <c r="F155" i="24"/>
  <c r="F156" i="24"/>
  <c r="F157" i="24"/>
  <c r="F158" i="24"/>
  <c r="F159" i="24"/>
  <c r="F160" i="24"/>
  <c r="F161" i="24"/>
  <c r="F162" i="24"/>
  <c r="F163" i="24"/>
  <c r="F164" i="24"/>
  <c r="F165" i="24"/>
  <c r="F166" i="24"/>
  <c r="F167" i="24"/>
  <c r="F168" i="24"/>
  <c r="F169" i="24"/>
  <c r="F170" i="24"/>
  <c r="F171" i="24"/>
  <c r="F172" i="24"/>
  <c r="F173" i="24"/>
  <c r="F174" i="24"/>
  <c r="F175" i="24"/>
  <c r="F176" i="24"/>
  <c r="F177" i="24"/>
  <c r="F178" i="24"/>
  <c r="F179" i="24"/>
  <c r="F180" i="24"/>
  <c r="F181" i="24"/>
  <c r="F182" i="24"/>
  <c r="F183" i="24"/>
  <c r="F184" i="24"/>
  <c r="F185" i="24"/>
  <c r="F186" i="24"/>
  <c r="F187" i="24"/>
  <c r="F188" i="24"/>
  <c r="F189" i="24"/>
  <c r="F190" i="24"/>
  <c r="F191" i="24"/>
  <c r="F192" i="24"/>
  <c r="F193" i="24"/>
  <c r="F194" i="24"/>
  <c r="F195" i="24"/>
  <c r="F196" i="24"/>
  <c r="F197" i="24"/>
  <c r="F198" i="24"/>
  <c r="F199" i="24"/>
  <c r="F200" i="24"/>
  <c r="F201" i="24"/>
  <c r="F202" i="24"/>
  <c r="F203" i="24"/>
  <c r="F204" i="24"/>
  <c r="F205" i="24"/>
  <c r="F206" i="24"/>
  <c r="F207" i="24"/>
  <c r="F208" i="24"/>
  <c r="F209" i="24"/>
  <c r="F210" i="24"/>
  <c r="F211" i="24"/>
  <c r="F212" i="24"/>
  <c r="F213" i="24"/>
  <c r="F214" i="24"/>
  <c r="F215" i="24"/>
  <c r="F216" i="24"/>
  <c r="F217" i="24"/>
  <c r="F218" i="24"/>
  <c r="F219" i="24"/>
  <c r="F220" i="24"/>
  <c r="F221" i="24"/>
  <c r="F222" i="24"/>
  <c r="F223" i="24"/>
  <c r="F224" i="24"/>
  <c r="F225" i="24"/>
  <c r="F226" i="24"/>
  <c r="F227" i="24"/>
  <c r="F228" i="24"/>
  <c r="F229" i="24"/>
  <c r="F230" i="24"/>
  <c r="F231" i="24"/>
  <c r="F232" i="24"/>
  <c r="F233" i="24"/>
  <c r="F234" i="24"/>
  <c r="F235" i="24"/>
  <c r="F236" i="24"/>
  <c r="F237" i="24"/>
  <c r="F238" i="24"/>
  <c r="F239" i="24"/>
  <c r="F240" i="24"/>
  <c r="F241" i="24"/>
  <c r="F242" i="24"/>
  <c r="F243" i="24"/>
  <c r="F244" i="24"/>
  <c r="F245" i="24"/>
  <c r="F246" i="24"/>
  <c r="F247" i="24"/>
  <c r="F248" i="24"/>
  <c r="F249" i="24"/>
  <c r="F250" i="24"/>
  <c r="F251" i="24"/>
  <c r="F252" i="24"/>
  <c r="F253" i="24"/>
  <c r="F254" i="24"/>
  <c r="F255" i="24"/>
  <c r="F256" i="24"/>
  <c r="F257" i="24"/>
  <c r="F258" i="24"/>
  <c r="F259" i="24"/>
  <c r="F260" i="24"/>
  <c r="F261" i="24"/>
  <c r="F262" i="24"/>
  <c r="F263" i="24"/>
  <c r="F264" i="24"/>
  <c r="F265" i="24"/>
  <c r="F266" i="24"/>
  <c r="F267" i="24"/>
  <c r="F268" i="24"/>
  <c r="F269" i="24"/>
  <c r="F270" i="24"/>
  <c r="F271" i="24"/>
  <c r="F272" i="24"/>
  <c r="F273" i="24"/>
  <c r="F274" i="24"/>
  <c r="F275" i="24"/>
  <c r="F276" i="24"/>
  <c r="F277" i="24"/>
  <c r="F278" i="24"/>
  <c r="F279" i="24"/>
  <c r="F280" i="24"/>
  <c r="F281" i="24"/>
  <c r="F282" i="24"/>
  <c r="F283" i="24"/>
  <c r="F284" i="24"/>
  <c r="F285" i="24"/>
  <c r="F286" i="24"/>
  <c r="F287" i="24"/>
  <c r="F288" i="24"/>
  <c r="F289" i="24"/>
  <c r="F290" i="24"/>
  <c r="F291" i="24"/>
  <c r="F292" i="24"/>
  <c r="F293" i="24"/>
  <c r="F294" i="24"/>
  <c r="F295" i="24"/>
  <c r="F296" i="24"/>
  <c r="F297" i="24"/>
  <c r="F298" i="24"/>
  <c r="F299" i="24"/>
  <c r="F300" i="24"/>
  <c r="F301" i="24"/>
  <c r="F302" i="24"/>
  <c r="F303" i="24"/>
  <c r="F304" i="24"/>
  <c r="F305" i="24"/>
  <c r="F306" i="24"/>
  <c r="F307" i="24"/>
  <c r="F308" i="24"/>
  <c r="F309" i="24"/>
  <c r="F310" i="24"/>
  <c r="F311" i="24"/>
  <c r="F312" i="24"/>
  <c r="F313" i="24"/>
  <c r="F314" i="24"/>
  <c r="F315" i="24"/>
  <c r="F316" i="24"/>
  <c r="F317" i="24"/>
  <c r="F318" i="24"/>
  <c r="F319" i="24"/>
  <c r="F320" i="24"/>
  <c r="F321" i="24"/>
  <c r="F322" i="24"/>
  <c r="F323" i="24"/>
  <c r="F324" i="24"/>
  <c r="F325" i="24"/>
  <c r="F326" i="24"/>
  <c r="F327" i="24"/>
  <c r="F328" i="24"/>
  <c r="F329" i="24"/>
  <c r="F330" i="24"/>
  <c r="F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62" i="24"/>
  <c r="E63" i="24"/>
  <c r="E64" i="24"/>
  <c r="E65" i="24"/>
  <c r="E66" i="24"/>
  <c r="E67" i="24"/>
  <c r="E68" i="24"/>
  <c r="E69" i="24"/>
  <c r="E70" i="24"/>
  <c r="E71" i="24"/>
  <c r="E72" i="24"/>
  <c r="E73" i="24"/>
  <c r="E74" i="24"/>
  <c r="E75" i="24"/>
  <c r="E76" i="24"/>
  <c r="E77" i="24"/>
  <c r="E78" i="24"/>
  <c r="E79" i="24"/>
  <c r="E80" i="24"/>
  <c r="E81" i="24"/>
  <c r="E82" i="24"/>
  <c r="E83" i="24"/>
  <c r="E84" i="24"/>
  <c r="E85" i="24"/>
  <c r="E86" i="24"/>
  <c r="E87" i="24"/>
  <c r="E88" i="24"/>
  <c r="E89" i="24"/>
  <c r="E90" i="24"/>
  <c r="E91" i="24"/>
  <c r="E92" i="24"/>
  <c r="E93" i="24"/>
  <c r="E94" i="24"/>
  <c r="E95" i="24"/>
  <c r="E96" i="24"/>
  <c r="E97" i="24"/>
  <c r="E98" i="24"/>
  <c r="E99" i="24"/>
  <c r="E100" i="24"/>
  <c r="E101" i="24"/>
  <c r="E102" i="24"/>
  <c r="E103" i="24"/>
  <c r="E104" i="24"/>
  <c r="E105" i="24"/>
  <c r="E106" i="24"/>
  <c r="E107" i="24"/>
  <c r="E108" i="24"/>
  <c r="E109" i="24"/>
  <c r="E110" i="24"/>
  <c r="E111" i="24"/>
  <c r="E112" i="24"/>
  <c r="E113" i="24"/>
  <c r="E114" i="24"/>
  <c r="E115" i="24"/>
  <c r="E116" i="24"/>
  <c r="E117" i="24"/>
  <c r="E118" i="24"/>
  <c r="E119" i="24"/>
  <c r="E120" i="24"/>
  <c r="E121" i="24"/>
  <c r="E122" i="24"/>
  <c r="E123" i="24"/>
  <c r="E124" i="24"/>
  <c r="E125" i="24"/>
  <c r="E126" i="24"/>
  <c r="E127" i="24"/>
  <c r="E128" i="24"/>
  <c r="E129" i="24"/>
  <c r="E130" i="24"/>
  <c r="E131" i="24"/>
  <c r="E132" i="24"/>
  <c r="E133" i="24"/>
  <c r="E134" i="24"/>
  <c r="E135" i="24"/>
  <c r="E136" i="24"/>
  <c r="E137" i="24"/>
  <c r="E138" i="24"/>
  <c r="E139" i="24"/>
  <c r="E140" i="24"/>
  <c r="E141" i="24"/>
  <c r="E142" i="24"/>
  <c r="E143" i="24"/>
  <c r="E144" i="24"/>
  <c r="E145" i="24"/>
  <c r="E146" i="24"/>
  <c r="E147" i="24"/>
  <c r="E148" i="24"/>
  <c r="E149" i="24"/>
  <c r="E150" i="24"/>
  <c r="E151" i="24"/>
  <c r="E152" i="24"/>
  <c r="E153" i="24"/>
  <c r="E154" i="24"/>
  <c r="E155" i="24"/>
  <c r="E156" i="24"/>
  <c r="E157" i="24"/>
  <c r="E158" i="24"/>
  <c r="E159" i="24"/>
  <c r="E160" i="24"/>
  <c r="E161" i="24"/>
  <c r="E162" i="24"/>
  <c r="E163" i="24"/>
  <c r="E164" i="24"/>
  <c r="E165" i="24"/>
  <c r="E166" i="24"/>
  <c r="E167" i="24"/>
  <c r="E168" i="24"/>
  <c r="E169" i="24"/>
  <c r="E170" i="24"/>
  <c r="E171" i="24"/>
  <c r="E172" i="24"/>
  <c r="E173" i="24"/>
  <c r="E174" i="24"/>
  <c r="E175" i="24"/>
  <c r="E176" i="24"/>
  <c r="E177" i="24"/>
  <c r="E178" i="24"/>
  <c r="E179" i="24"/>
  <c r="E180" i="24"/>
  <c r="E181" i="24"/>
  <c r="E182" i="24"/>
  <c r="E183" i="24"/>
  <c r="E184" i="24"/>
  <c r="E185" i="24"/>
  <c r="E186" i="24"/>
  <c r="E187" i="24"/>
  <c r="E188" i="24"/>
  <c r="E189" i="24"/>
  <c r="E190" i="24"/>
  <c r="E191" i="24"/>
  <c r="E192" i="24"/>
  <c r="E193" i="24"/>
  <c r="E194" i="24"/>
  <c r="E195" i="24"/>
  <c r="E196" i="24"/>
  <c r="E197" i="24"/>
  <c r="E198" i="24"/>
  <c r="E199" i="24"/>
  <c r="E200" i="24"/>
  <c r="E201" i="24"/>
  <c r="E202" i="24"/>
  <c r="E203" i="24"/>
  <c r="E204" i="24"/>
  <c r="E205" i="24"/>
  <c r="E206" i="24"/>
  <c r="E207" i="24"/>
  <c r="E208" i="24"/>
  <c r="E209" i="24"/>
  <c r="E210" i="24"/>
  <c r="E211" i="24"/>
  <c r="E212" i="24"/>
  <c r="E213" i="24"/>
  <c r="E214" i="24"/>
  <c r="E215" i="24"/>
  <c r="E216" i="24"/>
  <c r="E217" i="24"/>
  <c r="E218" i="24"/>
  <c r="E219" i="24"/>
  <c r="E220" i="24"/>
  <c r="E221" i="24"/>
  <c r="E222" i="24"/>
  <c r="E223" i="24"/>
  <c r="E224" i="24"/>
  <c r="E225" i="24"/>
  <c r="E226" i="24"/>
  <c r="E227" i="24"/>
  <c r="E228" i="24"/>
  <c r="E229" i="24"/>
  <c r="E230" i="24"/>
  <c r="E231" i="24"/>
  <c r="E232" i="24"/>
  <c r="E233" i="24"/>
  <c r="E234" i="24"/>
  <c r="E235" i="24"/>
  <c r="E236" i="24"/>
  <c r="E237" i="24"/>
  <c r="E238" i="24"/>
  <c r="E239" i="24"/>
  <c r="E240" i="24"/>
  <c r="E241" i="24"/>
  <c r="E242" i="24"/>
  <c r="E243" i="24"/>
  <c r="E244" i="24"/>
  <c r="E245" i="24"/>
  <c r="E246" i="24"/>
  <c r="E247" i="24"/>
  <c r="E248" i="24"/>
  <c r="E249" i="24"/>
  <c r="E250" i="24"/>
  <c r="E251" i="24"/>
  <c r="E252" i="24"/>
  <c r="E253" i="24"/>
  <c r="E254" i="24"/>
  <c r="E255" i="24"/>
  <c r="E256" i="24"/>
  <c r="E257" i="24"/>
  <c r="E258" i="24"/>
  <c r="E259" i="24"/>
  <c r="E260" i="24"/>
  <c r="E261" i="24"/>
  <c r="E262" i="24"/>
  <c r="E263" i="24"/>
  <c r="E264" i="24"/>
  <c r="E265" i="24"/>
  <c r="E266" i="24"/>
  <c r="E267" i="24"/>
  <c r="E268" i="24"/>
  <c r="E269" i="24"/>
  <c r="E270" i="24"/>
  <c r="E271" i="24"/>
  <c r="E272" i="24"/>
  <c r="E273" i="24"/>
  <c r="E274" i="24"/>
  <c r="E275" i="24"/>
  <c r="E276" i="24"/>
  <c r="E277" i="24"/>
  <c r="E278" i="24"/>
  <c r="E279" i="24"/>
  <c r="E280" i="24"/>
  <c r="E281" i="24"/>
  <c r="E282" i="24"/>
  <c r="E283" i="24"/>
  <c r="E284" i="24"/>
  <c r="E285" i="24"/>
  <c r="E286" i="24"/>
  <c r="E287" i="24"/>
  <c r="E288" i="24"/>
  <c r="E289" i="24"/>
  <c r="E290" i="24"/>
  <c r="E291" i="24"/>
  <c r="E292" i="24"/>
  <c r="E293" i="24"/>
  <c r="E294" i="24"/>
  <c r="E295" i="24"/>
  <c r="E296" i="24"/>
  <c r="E297" i="24"/>
  <c r="E298" i="24"/>
  <c r="E299" i="24"/>
  <c r="E300" i="24"/>
  <c r="E301" i="24"/>
  <c r="E302" i="24"/>
  <c r="E303" i="24"/>
  <c r="E304" i="24"/>
  <c r="E305" i="24"/>
  <c r="E306" i="24"/>
  <c r="E307" i="24"/>
  <c r="E308" i="24"/>
  <c r="E309" i="24"/>
  <c r="E310" i="24"/>
  <c r="E311" i="24"/>
  <c r="E312" i="24"/>
  <c r="E313" i="24"/>
  <c r="E314" i="24"/>
  <c r="E315" i="24"/>
  <c r="E316" i="24"/>
  <c r="E317" i="24"/>
  <c r="E318" i="24"/>
  <c r="E319" i="24"/>
  <c r="E320" i="24"/>
  <c r="E321" i="24"/>
  <c r="E322" i="24"/>
  <c r="E323" i="24"/>
  <c r="E324" i="24"/>
  <c r="E325" i="24"/>
  <c r="E326" i="24"/>
  <c r="E327" i="24"/>
  <c r="E328" i="24"/>
  <c r="E329" i="24"/>
  <c r="E330" i="24"/>
  <c r="E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165" i="24"/>
  <c r="D166" i="24"/>
  <c r="D167" i="24"/>
  <c r="D168" i="24"/>
  <c r="D169" i="24"/>
  <c r="D170" i="24"/>
  <c r="D171" i="24"/>
  <c r="D172" i="24"/>
  <c r="D173" i="24"/>
  <c r="D174" i="24"/>
  <c r="D175" i="24"/>
  <c r="D176" i="24"/>
  <c r="D177" i="24"/>
  <c r="D178" i="24"/>
  <c r="D179" i="24"/>
  <c r="D180" i="24"/>
  <c r="D181" i="24"/>
  <c r="D182" i="24"/>
  <c r="D183" i="24"/>
  <c r="D184" i="24"/>
  <c r="D185" i="24"/>
  <c r="D186" i="24"/>
  <c r="D187" i="24"/>
  <c r="D188" i="24"/>
  <c r="D189" i="24"/>
  <c r="D190" i="24"/>
  <c r="D191" i="24"/>
  <c r="D192" i="24"/>
  <c r="D193" i="24"/>
  <c r="D194" i="24"/>
  <c r="D195" i="24"/>
  <c r="D196" i="24"/>
  <c r="D197" i="24"/>
  <c r="D198" i="24"/>
  <c r="D199" i="24"/>
  <c r="D200" i="24"/>
  <c r="D201" i="24"/>
  <c r="D202" i="24"/>
  <c r="D203" i="24"/>
  <c r="D204" i="24"/>
  <c r="D205" i="24"/>
  <c r="D206" i="24"/>
  <c r="D207" i="24"/>
  <c r="D208" i="24"/>
  <c r="D209" i="24"/>
  <c r="D210" i="24"/>
  <c r="D211" i="24"/>
  <c r="D212" i="24"/>
  <c r="D213" i="24"/>
  <c r="D214" i="24"/>
  <c r="D215" i="24"/>
  <c r="D216" i="24"/>
  <c r="D217" i="24"/>
  <c r="D218" i="24"/>
  <c r="D219" i="24"/>
  <c r="D220" i="24"/>
  <c r="D221" i="24"/>
  <c r="D222" i="24"/>
  <c r="D223" i="24"/>
  <c r="D224" i="24"/>
  <c r="D225" i="24"/>
  <c r="D226" i="24"/>
  <c r="D227" i="24"/>
  <c r="D228" i="24"/>
  <c r="D229" i="24"/>
  <c r="D230" i="24"/>
  <c r="D231" i="24"/>
  <c r="D232" i="24"/>
  <c r="D233" i="24"/>
  <c r="D234" i="24"/>
  <c r="D235" i="24"/>
  <c r="D236" i="24"/>
  <c r="D237" i="24"/>
  <c r="D238" i="24"/>
  <c r="D239" i="24"/>
  <c r="D240" i="24"/>
  <c r="D241" i="24"/>
  <c r="D242" i="24"/>
  <c r="D243" i="24"/>
  <c r="D244" i="24"/>
  <c r="D245" i="24"/>
  <c r="D246" i="24"/>
  <c r="D247" i="24"/>
  <c r="D248" i="24"/>
  <c r="D249" i="24"/>
  <c r="D250" i="24"/>
  <c r="D251" i="24"/>
  <c r="D252" i="24"/>
  <c r="D253" i="24"/>
  <c r="D254" i="24"/>
  <c r="D255" i="24"/>
  <c r="D256" i="24"/>
  <c r="D257" i="24"/>
  <c r="D258" i="24"/>
  <c r="D259" i="24"/>
  <c r="D260" i="24"/>
  <c r="D261" i="24"/>
  <c r="D262" i="24"/>
  <c r="D263" i="24"/>
  <c r="D264" i="24"/>
  <c r="D265" i="24"/>
  <c r="D266" i="24"/>
  <c r="D267" i="24"/>
  <c r="D268" i="24"/>
  <c r="D269" i="24"/>
  <c r="D270" i="24"/>
  <c r="D271" i="24"/>
  <c r="D272" i="24"/>
  <c r="D273" i="24"/>
  <c r="D274" i="24"/>
  <c r="D275" i="24"/>
  <c r="D276" i="24"/>
  <c r="D277" i="24"/>
  <c r="D278" i="24"/>
  <c r="D279" i="24"/>
  <c r="D280" i="24"/>
  <c r="D281" i="24"/>
  <c r="D282" i="24"/>
  <c r="D283" i="24"/>
  <c r="D284" i="24"/>
  <c r="D285" i="24"/>
  <c r="D286" i="24"/>
  <c r="D287" i="24"/>
  <c r="D288" i="24"/>
  <c r="D289" i="24"/>
  <c r="D290" i="24"/>
  <c r="D291" i="24"/>
  <c r="D292" i="24"/>
  <c r="D293" i="24"/>
  <c r="D294" i="24"/>
  <c r="D295" i="24"/>
  <c r="D296" i="24"/>
  <c r="D297" i="24"/>
  <c r="D298" i="24"/>
  <c r="D299" i="24"/>
  <c r="D300" i="24"/>
  <c r="D301" i="24"/>
  <c r="D302" i="24"/>
  <c r="D303" i="24"/>
  <c r="D304" i="24"/>
  <c r="D305" i="24"/>
  <c r="D306" i="24"/>
  <c r="D307" i="24"/>
  <c r="D308" i="24"/>
  <c r="D309" i="24"/>
  <c r="D310" i="24"/>
  <c r="D311" i="24"/>
  <c r="D312" i="24"/>
  <c r="D313" i="24"/>
  <c r="D314" i="24"/>
  <c r="D315" i="24"/>
  <c r="D316" i="24"/>
  <c r="D317" i="24"/>
  <c r="D318" i="24"/>
  <c r="D319" i="24"/>
  <c r="D320" i="24"/>
  <c r="D321" i="24"/>
  <c r="D322" i="24"/>
  <c r="D323" i="24"/>
  <c r="D324" i="24"/>
  <c r="D325" i="24"/>
  <c r="D326" i="24"/>
  <c r="D327" i="24"/>
  <c r="D328" i="24"/>
  <c r="D329" i="24"/>
  <c r="D330" i="24"/>
  <c r="D4" i="24"/>
  <c r="C5" i="24"/>
  <c r="C6" i="24"/>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301" i="24"/>
  <c r="C302" i="24"/>
  <c r="C303" i="24"/>
  <c r="C304" i="24"/>
  <c r="C305" i="24"/>
  <c r="C306" i="24"/>
  <c r="C307" i="24"/>
  <c r="C308" i="24"/>
  <c r="C309" i="24"/>
  <c r="C310" i="24"/>
  <c r="C311" i="24"/>
  <c r="C312" i="24"/>
  <c r="C313" i="24"/>
  <c r="C314" i="24"/>
  <c r="C315" i="24"/>
  <c r="C316" i="24"/>
  <c r="C317" i="24"/>
  <c r="C318" i="24"/>
  <c r="C319" i="24"/>
  <c r="C320" i="24"/>
  <c r="C321" i="24"/>
  <c r="C322" i="24"/>
  <c r="C323" i="24"/>
  <c r="C324" i="24"/>
  <c r="C325" i="24"/>
  <c r="C326" i="24"/>
  <c r="C327" i="24"/>
  <c r="C328" i="24"/>
  <c r="C329" i="24"/>
  <c r="C330" i="24"/>
  <c r="C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B224" i="24"/>
  <c r="B225" i="24"/>
  <c r="B226" i="24"/>
  <c r="B227" i="24"/>
  <c r="B228" i="24"/>
  <c r="B229" i="24"/>
  <c r="B230" i="24"/>
  <c r="B231" i="24"/>
  <c r="B232" i="24"/>
  <c r="B233" i="24"/>
  <c r="B234" i="24"/>
  <c r="B235" i="24"/>
  <c r="B236" i="24"/>
  <c r="B237" i="24"/>
  <c r="B238" i="24"/>
  <c r="B239" i="24"/>
  <c r="B240" i="24"/>
  <c r="B241" i="24"/>
  <c r="B242" i="24"/>
  <c r="B243" i="24"/>
  <c r="B244" i="24"/>
  <c r="B245" i="24"/>
  <c r="B246" i="24"/>
  <c r="B247" i="24"/>
  <c r="B248" i="24"/>
  <c r="B249" i="24"/>
  <c r="B250" i="24"/>
  <c r="B251" i="24"/>
  <c r="B252" i="24"/>
  <c r="B253" i="24"/>
  <c r="B254" i="24"/>
  <c r="B255" i="24"/>
  <c r="B256" i="24"/>
  <c r="B257" i="24"/>
  <c r="B258" i="24"/>
  <c r="B259" i="24"/>
  <c r="B260" i="24"/>
  <c r="B261" i="24"/>
  <c r="B262" i="24"/>
  <c r="B263" i="24"/>
  <c r="B264" i="24"/>
  <c r="B265" i="24"/>
  <c r="B266" i="24"/>
  <c r="B267" i="24"/>
  <c r="B268" i="24"/>
  <c r="B269" i="24"/>
  <c r="B270" i="24"/>
  <c r="B271" i="24"/>
  <c r="B272" i="24"/>
  <c r="B273" i="24"/>
  <c r="B274" i="24"/>
  <c r="B275" i="24"/>
  <c r="B276" i="24"/>
  <c r="B277" i="24"/>
  <c r="B278" i="24"/>
  <c r="B279" i="24"/>
  <c r="B280" i="24"/>
  <c r="B281" i="24"/>
  <c r="B282" i="24"/>
  <c r="B283" i="24"/>
  <c r="B284" i="24"/>
  <c r="B285" i="24"/>
  <c r="B286" i="24"/>
  <c r="B287" i="24"/>
  <c r="B288" i="24"/>
  <c r="B289" i="24"/>
  <c r="B290" i="24"/>
  <c r="B291" i="24"/>
  <c r="B292" i="24"/>
  <c r="B293" i="24"/>
  <c r="B294" i="24"/>
  <c r="B295" i="24"/>
  <c r="B296" i="24"/>
  <c r="B297" i="24"/>
  <c r="B298" i="24"/>
  <c r="B299" i="24"/>
  <c r="B300" i="24"/>
  <c r="B301" i="24"/>
  <c r="B302" i="24"/>
  <c r="B303" i="24"/>
  <c r="B304" i="24"/>
  <c r="B305" i="24"/>
  <c r="B306" i="24"/>
  <c r="B307" i="24"/>
  <c r="B308" i="24"/>
  <c r="B309" i="24"/>
  <c r="B310" i="24"/>
  <c r="B311" i="24"/>
  <c r="B312" i="24"/>
  <c r="B313" i="24"/>
  <c r="B314" i="24"/>
  <c r="B315" i="24"/>
  <c r="B316" i="24"/>
  <c r="B317" i="24"/>
  <c r="B318" i="24"/>
  <c r="B319" i="24"/>
  <c r="B320" i="24"/>
  <c r="B321" i="24"/>
  <c r="B322" i="24"/>
  <c r="B323" i="24"/>
  <c r="B324" i="24"/>
  <c r="B325" i="24"/>
  <c r="B326" i="24"/>
  <c r="B327" i="24"/>
  <c r="B328" i="24"/>
  <c r="B329" i="24"/>
  <c r="B330" i="24"/>
  <c r="B4"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4" i="24"/>
  <c r="E1" i="24" s="1"/>
  <c r="L3" i="24" s="1"/>
  <c r="B186" i="21"/>
  <c r="B187" i="21"/>
  <c r="B188" i="21"/>
  <c r="B189" i="21"/>
  <c r="B190" i="21"/>
  <c r="B191" i="21"/>
  <c r="B192" i="21"/>
  <c r="B193" i="21"/>
  <c r="B194" i="21"/>
  <c r="B195" i="21"/>
  <c r="B196" i="21"/>
  <c r="B197" i="21"/>
  <c r="B198" i="21"/>
  <c r="B199" i="21"/>
  <c r="B200" i="21"/>
  <c r="B201" i="21"/>
  <c r="B202" i="21"/>
  <c r="B186" i="14"/>
  <c r="B187" i="14"/>
  <c r="B188" i="14"/>
  <c r="B189" i="14"/>
  <c r="B190" i="14"/>
  <c r="B191" i="14"/>
  <c r="B192" i="14"/>
  <c r="B193" i="14"/>
  <c r="B194" i="14"/>
  <c r="B195" i="14"/>
  <c r="B196" i="14"/>
  <c r="B197" i="14"/>
  <c r="B198" i="14"/>
  <c r="B199" i="14"/>
  <c r="B200" i="14"/>
  <c r="B201" i="14"/>
  <c r="B202" i="14"/>
  <c r="K331" i="7"/>
  <c r="G334" i="24" l="1"/>
  <c r="G358" i="24"/>
  <c r="K3" i="24"/>
  <c r="J3" i="24"/>
  <c r="H2" i="24"/>
  <c r="M336" i="23"/>
  <c r="I336" i="23"/>
  <c r="G336" i="23"/>
  <c r="F336" i="23"/>
  <c r="E336" i="23"/>
  <c r="D336" i="23"/>
  <c r="C336" i="23"/>
  <c r="H335" i="23"/>
  <c r="L335" i="23" s="1"/>
  <c r="H334" i="23"/>
  <c r="J334" i="23" s="1"/>
  <c r="L333" i="23"/>
  <c r="K333" i="23"/>
  <c r="J333" i="23"/>
  <c r="H333" i="23"/>
  <c r="H332" i="23"/>
  <c r="L331" i="23"/>
  <c r="K331" i="23"/>
  <c r="H331" i="23"/>
  <c r="J331" i="23" s="1"/>
  <c r="J330" i="23"/>
  <c r="H330" i="23"/>
  <c r="K329" i="23"/>
  <c r="H329" i="23"/>
  <c r="L329" i="23" s="1"/>
  <c r="H328" i="23"/>
  <c r="K328" i="23" s="1"/>
  <c r="L327" i="23"/>
  <c r="H327" i="23"/>
  <c r="J327" i="23" s="1"/>
  <c r="K326" i="23"/>
  <c r="J326" i="23"/>
  <c r="H326" i="23"/>
  <c r="L326" i="23" s="1"/>
  <c r="H325" i="23"/>
  <c r="J325" i="23" s="1"/>
  <c r="L324" i="23"/>
  <c r="K324" i="23"/>
  <c r="J324" i="23"/>
  <c r="H324" i="23"/>
  <c r="H323" i="23"/>
  <c r="L322" i="23"/>
  <c r="K322" i="23"/>
  <c r="H322" i="23"/>
  <c r="J322" i="23" s="1"/>
  <c r="H321" i="23"/>
  <c r="J321" i="23" s="1"/>
  <c r="K320" i="23"/>
  <c r="H320" i="23"/>
  <c r="L320" i="23" s="1"/>
  <c r="K319" i="23"/>
  <c r="H319" i="23"/>
  <c r="L318" i="23"/>
  <c r="H318" i="23"/>
  <c r="J318" i="23" s="1"/>
  <c r="H317" i="23"/>
  <c r="L317" i="23" s="1"/>
  <c r="H316" i="23"/>
  <c r="J316" i="23" s="1"/>
  <c r="L315" i="23"/>
  <c r="K315" i="23"/>
  <c r="J315" i="23"/>
  <c r="H315" i="23"/>
  <c r="H314" i="23"/>
  <c r="L313" i="23"/>
  <c r="K313" i="23"/>
  <c r="H313" i="23"/>
  <c r="J313" i="23" s="1"/>
  <c r="H312" i="23"/>
  <c r="J312" i="23" s="1"/>
  <c r="K311" i="23"/>
  <c r="H311" i="23"/>
  <c r="L311" i="23" s="1"/>
  <c r="H310" i="23"/>
  <c r="K310" i="23" s="1"/>
  <c r="L309" i="23"/>
  <c r="H309" i="23"/>
  <c r="J309" i="23" s="1"/>
  <c r="H308" i="23"/>
  <c r="L308" i="23" s="1"/>
  <c r="H307" i="23"/>
  <c r="J307" i="23" s="1"/>
  <c r="L306" i="23"/>
  <c r="K306" i="23"/>
  <c r="J306" i="23"/>
  <c r="H306" i="23"/>
  <c r="H305" i="23"/>
  <c r="L304" i="23"/>
  <c r="K304" i="23"/>
  <c r="H304" i="23"/>
  <c r="J304" i="23" s="1"/>
  <c r="J303" i="23"/>
  <c r="H303" i="23"/>
  <c r="K302" i="23"/>
  <c r="H302" i="23"/>
  <c r="L302" i="23" s="1"/>
  <c r="H301" i="23"/>
  <c r="K301" i="23" s="1"/>
  <c r="L300" i="23"/>
  <c r="H300" i="23"/>
  <c r="J300" i="23" s="1"/>
  <c r="K299" i="23"/>
  <c r="J299" i="23"/>
  <c r="H299" i="23"/>
  <c r="L299" i="23" s="1"/>
  <c r="H298" i="23"/>
  <c r="J298" i="23" s="1"/>
  <c r="L297" i="23"/>
  <c r="K297" i="23"/>
  <c r="J297" i="23"/>
  <c r="H297" i="23"/>
  <c r="H296" i="23"/>
  <c r="L295" i="23"/>
  <c r="K295" i="23"/>
  <c r="H295" i="23"/>
  <c r="J295" i="23" s="1"/>
  <c r="H294" i="23"/>
  <c r="J294" i="23" s="1"/>
  <c r="K293" i="23"/>
  <c r="H293" i="23"/>
  <c r="L293" i="23" s="1"/>
  <c r="K292" i="23"/>
  <c r="H292" i="23"/>
  <c r="L291" i="23"/>
  <c r="H291" i="23"/>
  <c r="J291" i="23" s="1"/>
  <c r="H290" i="23"/>
  <c r="L290" i="23" s="1"/>
  <c r="H289" i="23"/>
  <c r="J289" i="23" s="1"/>
  <c r="L288" i="23"/>
  <c r="K288" i="23"/>
  <c r="J288" i="23"/>
  <c r="H288" i="23"/>
  <c r="H287" i="23"/>
  <c r="L286" i="23"/>
  <c r="K286" i="23"/>
  <c r="H286" i="23"/>
  <c r="J286" i="23" s="1"/>
  <c r="J285" i="23"/>
  <c r="H285" i="23"/>
  <c r="K284" i="23"/>
  <c r="H284" i="23"/>
  <c r="L284" i="23" s="1"/>
  <c r="H283" i="23"/>
  <c r="K283" i="23" s="1"/>
  <c r="L282" i="23"/>
  <c r="H282" i="23"/>
  <c r="J282" i="23" s="1"/>
  <c r="H281" i="23"/>
  <c r="L281" i="23" s="1"/>
  <c r="H280" i="23"/>
  <c r="J280" i="23" s="1"/>
  <c r="L279" i="23"/>
  <c r="K279" i="23"/>
  <c r="J279" i="23"/>
  <c r="H279" i="23"/>
  <c r="H278" i="23"/>
  <c r="L277" i="23"/>
  <c r="K277" i="23"/>
  <c r="H277" i="23"/>
  <c r="J277" i="23" s="1"/>
  <c r="J276" i="23"/>
  <c r="H276" i="23"/>
  <c r="K275" i="23"/>
  <c r="H275" i="23"/>
  <c r="L275" i="23" s="1"/>
  <c r="K274" i="23"/>
  <c r="H274" i="23"/>
  <c r="L273" i="23"/>
  <c r="H273" i="23"/>
  <c r="J273" i="23" s="1"/>
  <c r="K272" i="23"/>
  <c r="J272" i="23"/>
  <c r="H272" i="23"/>
  <c r="L272" i="23" s="1"/>
  <c r="H271" i="23"/>
  <c r="J271" i="23" s="1"/>
  <c r="L270" i="23"/>
  <c r="K270" i="23"/>
  <c r="J270" i="23"/>
  <c r="H270" i="23"/>
  <c r="H269" i="23"/>
  <c r="L268" i="23"/>
  <c r="K268" i="23"/>
  <c r="H268" i="23"/>
  <c r="J268" i="23" s="1"/>
  <c r="H267" i="23"/>
  <c r="J267" i="23" s="1"/>
  <c r="K266" i="23"/>
  <c r="H266" i="23"/>
  <c r="L266" i="23" s="1"/>
  <c r="K265" i="23"/>
  <c r="H265" i="23"/>
  <c r="L264" i="23"/>
  <c r="H264" i="23"/>
  <c r="J264" i="23" s="1"/>
  <c r="H263" i="23"/>
  <c r="L263" i="23" s="1"/>
  <c r="H262" i="23"/>
  <c r="J262" i="23" s="1"/>
  <c r="L261" i="23"/>
  <c r="K261" i="23"/>
  <c r="J261" i="23"/>
  <c r="H261" i="23"/>
  <c r="H260" i="23"/>
  <c r="L259" i="23"/>
  <c r="K259" i="23"/>
  <c r="H259" i="23"/>
  <c r="J259" i="23" s="1"/>
  <c r="J258" i="23"/>
  <c r="H258" i="23"/>
  <c r="K257" i="23"/>
  <c r="H257" i="23"/>
  <c r="L257" i="23" s="1"/>
  <c r="H256" i="23"/>
  <c r="L255" i="23"/>
  <c r="H255" i="23"/>
  <c r="J255" i="23" s="1"/>
  <c r="H254" i="23"/>
  <c r="L254" i="23" s="1"/>
  <c r="H253" i="23"/>
  <c r="J253" i="23" s="1"/>
  <c r="L252" i="23"/>
  <c r="K252" i="23"/>
  <c r="J252" i="23"/>
  <c r="H252" i="23"/>
  <c r="H251" i="23"/>
  <c r="L250" i="23"/>
  <c r="K250" i="23"/>
  <c r="H250" i="23"/>
  <c r="J250" i="23" s="1"/>
  <c r="J249" i="23"/>
  <c r="H249" i="23"/>
  <c r="K248" i="23"/>
  <c r="H248" i="23"/>
  <c r="L248" i="23" s="1"/>
  <c r="K247" i="23"/>
  <c r="H247" i="23"/>
  <c r="L246" i="23"/>
  <c r="H246" i="23"/>
  <c r="J246" i="23" s="1"/>
  <c r="K245" i="23"/>
  <c r="J245" i="23"/>
  <c r="H245" i="23"/>
  <c r="L245" i="23" s="1"/>
  <c r="H244" i="23"/>
  <c r="J244" i="23" s="1"/>
  <c r="L243" i="23"/>
  <c r="K243" i="23"/>
  <c r="J243" i="23"/>
  <c r="H243" i="23"/>
  <c r="H242" i="23"/>
  <c r="L241" i="23"/>
  <c r="K241" i="23"/>
  <c r="H241" i="23"/>
  <c r="J241" i="23" s="1"/>
  <c r="H240" i="23"/>
  <c r="J240" i="23" s="1"/>
  <c r="K239" i="23"/>
  <c r="H239" i="23"/>
  <c r="L239" i="23" s="1"/>
  <c r="K238" i="23"/>
  <c r="H238" i="23"/>
  <c r="L237" i="23"/>
  <c r="H237" i="23"/>
  <c r="J237" i="23" s="1"/>
  <c r="H236" i="23"/>
  <c r="L236" i="23" s="1"/>
  <c r="H235" i="23"/>
  <c r="J235" i="23" s="1"/>
  <c r="L234" i="23"/>
  <c r="K234" i="23"/>
  <c r="J234" i="23"/>
  <c r="H234" i="23"/>
  <c r="H233" i="23"/>
  <c r="L232" i="23"/>
  <c r="K232" i="23"/>
  <c r="H232" i="23"/>
  <c r="J232" i="23" s="1"/>
  <c r="J231" i="23"/>
  <c r="H231" i="23"/>
  <c r="K230" i="23"/>
  <c r="H230" i="23"/>
  <c r="L230" i="23" s="1"/>
  <c r="H229" i="23"/>
  <c r="K229" i="23" s="1"/>
  <c r="L228" i="23"/>
  <c r="H228" i="23"/>
  <c r="K228" i="23" s="1"/>
  <c r="H227" i="23"/>
  <c r="L227" i="23" s="1"/>
  <c r="H226" i="23"/>
  <c r="J226" i="23" s="1"/>
  <c r="L225" i="23"/>
  <c r="K225" i="23"/>
  <c r="J225" i="23"/>
  <c r="H225" i="23"/>
  <c r="H224" i="23"/>
  <c r="L223" i="23"/>
  <c r="K223" i="23"/>
  <c r="H223" i="23"/>
  <c r="J223" i="23" s="1"/>
  <c r="J222" i="23"/>
  <c r="H222" i="23"/>
  <c r="K221" i="23"/>
  <c r="H221" i="23"/>
  <c r="L221" i="23" s="1"/>
  <c r="K220" i="23"/>
  <c r="H220" i="23"/>
  <c r="L219" i="23"/>
  <c r="H219" i="23"/>
  <c r="J219" i="23" s="1"/>
  <c r="K218" i="23"/>
  <c r="J218" i="23"/>
  <c r="H218" i="23"/>
  <c r="L218" i="23" s="1"/>
  <c r="H217" i="23"/>
  <c r="J217" i="23" s="1"/>
  <c r="L216" i="23"/>
  <c r="K216" i="23"/>
  <c r="J216" i="23"/>
  <c r="H216" i="23"/>
  <c r="H215" i="23"/>
  <c r="L214" i="23"/>
  <c r="K214" i="23"/>
  <c r="H214" i="23"/>
  <c r="J214" i="23" s="1"/>
  <c r="H213" i="23"/>
  <c r="K212" i="23"/>
  <c r="H212" i="23"/>
  <c r="L212" i="23" s="1"/>
  <c r="H211" i="23"/>
  <c r="J211" i="23" s="1"/>
  <c r="L210" i="23"/>
  <c r="H210" i="23"/>
  <c r="L209" i="23"/>
  <c r="K209" i="23"/>
  <c r="J209" i="23"/>
  <c r="H209" i="23"/>
  <c r="K208" i="23"/>
  <c r="J208" i="23"/>
  <c r="H208" i="23"/>
  <c r="L208" i="23" s="1"/>
  <c r="L207" i="23"/>
  <c r="H207" i="23"/>
  <c r="L206" i="23"/>
  <c r="K206" i="23"/>
  <c r="J206" i="23"/>
  <c r="H206" i="23"/>
  <c r="H205" i="23"/>
  <c r="L205" i="23" s="1"/>
  <c r="L204" i="23"/>
  <c r="H204" i="23"/>
  <c r="L203" i="23"/>
  <c r="K203" i="23"/>
  <c r="J203" i="23"/>
  <c r="H203" i="23"/>
  <c r="K202" i="23"/>
  <c r="J202" i="23"/>
  <c r="H202" i="23"/>
  <c r="L202" i="23" s="1"/>
  <c r="L201" i="23"/>
  <c r="H201" i="23"/>
  <c r="L200" i="23"/>
  <c r="K200" i="23"/>
  <c r="J200" i="23"/>
  <c r="H200" i="23"/>
  <c r="H199" i="23"/>
  <c r="L199" i="23" s="1"/>
  <c r="L198" i="23"/>
  <c r="H198" i="23"/>
  <c r="L197" i="23"/>
  <c r="K197" i="23"/>
  <c r="J197" i="23"/>
  <c r="H197" i="23"/>
  <c r="K196" i="23"/>
  <c r="J196" i="23"/>
  <c r="H196" i="23"/>
  <c r="L196" i="23" s="1"/>
  <c r="L195" i="23"/>
  <c r="H195" i="23"/>
  <c r="L194" i="23"/>
  <c r="K194" i="23"/>
  <c r="J194" i="23"/>
  <c r="H194" i="23"/>
  <c r="H193" i="23"/>
  <c r="L193" i="23" s="1"/>
  <c r="L192" i="23"/>
  <c r="H192" i="23"/>
  <c r="L191" i="23"/>
  <c r="K191" i="23"/>
  <c r="J191" i="23"/>
  <c r="H191" i="23"/>
  <c r="K190" i="23"/>
  <c r="J190" i="23"/>
  <c r="H190" i="23"/>
  <c r="L190" i="23" s="1"/>
  <c r="L189" i="23"/>
  <c r="H189" i="23"/>
  <c r="L188" i="23"/>
  <c r="K188" i="23"/>
  <c r="J188" i="23"/>
  <c r="H188" i="23"/>
  <c r="H187" i="23"/>
  <c r="L187" i="23" s="1"/>
  <c r="L186" i="23"/>
  <c r="H186" i="23"/>
  <c r="L185" i="23"/>
  <c r="K185" i="23"/>
  <c r="J185" i="23"/>
  <c r="H185" i="23"/>
  <c r="K184" i="23"/>
  <c r="H184" i="23"/>
  <c r="L184" i="23" s="1"/>
  <c r="L183" i="23"/>
  <c r="H183" i="23"/>
  <c r="L182" i="23"/>
  <c r="K182" i="23"/>
  <c r="J182" i="23"/>
  <c r="H182" i="23"/>
  <c r="H181" i="23"/>
  <c r="L181" i="23" s="1"/>
  <c r="L180" i="23"/>
  <c r="H180" i="23"/>
  <c r="L179" i="23"/>
  <c r="K179" i="23"/>
  <c r="J179" i="23"/>
  <c r="H179" i="23"/>
  <c r="K178" i="23"/>
  <c r="H178" i="23"/>
  <c r="L178" i="23" s="1"/>
  <c r="L177" i="23"/>
  <c r="H177" i="23"/>
  <c r="L176" i="23"/>
  <c r="K176" i="23"/>
  <c r="J176" i="23"/>
  <c r="H176" i="23"/>
  <c r="H175" i="23"/>
  <c r="L175" i="23" s="1"/>
  <c r="L174" i="23"/>
  <c r="H174" i="23"/>
  <c r="L173" i="23"/>
  <c r="K173" i="23"/>
  <c r="J173" i="23"/>
  <c r="H173" i="23"/>
  <c r="K172" i="23"/>
  <c r="H172" i="23"/>
  <c r="L172" i="23" s="1"/>
  <c r="L171" i="23"/>
  <c r="H171" i="23"/>
  <c r="L170" i="23"/>
  <c r="K170" i="23"/>
  <c r="J170" i="23"/>
  <c r="H170" i="23"/>
  <c r="H169" i="23"/>
  <c r="L169" i="23" s="1"/>
  <c r="L168" i="23"/>
  <c r="H168" i="23"/>
  <c r="L167" i="23"/>
  <c r="K167" i="23"/>
  <c r="J167" i="23"/>
  <c r="H167" i="23"/>
  <c r="K166" i="23"/>
  <c r="H166" i="23"/>
  <c r="L166" i="23" s="1"/>
  <c r="L165" i="23"/>
  <c r="H165" i="23"/>
  <c r="L164" i="23"/>
  <c r="K164" i="23"/>
  <c r="J164" i="23"/>
  <c r="H164" i="23"/>
  <c r="H163" i="23"/>
  <c r="L163" i="23" s="1"/>
  <c r="L162" i="23"/>
  <c r="H162" i="23"/>
  <c r="L161" i="23"/>
  <c r="K161" i="23"/>
  <c r="J161" i="23"/>
  <c r="H161" i="23"/>
  <c r="K160" i="23"/>
  <c r="H160" i="23"/>
  <c r="L160" i="23" s="1"/>
  <c r="L159" i="23"/>
  <c r="H159" i="23"/>
  <c r="L158" i="23"/>
  <c r="K158" i="23"/>
  <c r="J158" i="23"/>
  <c r="H158" i="23"/>
  <c r="H157" i="23"/>
  <c r="L157" i="23" s="1"/>
  <c r="L156" i="23"/>
  <c r="H156" i="23"/>
  <c r="L155" i="23"/>
  <c r="K155" i="23"/>
  <c r="J155" i="23"/>
  <c r="H155" i="23"/>
  <c r="K154" i="23"/>
  <c r="H154" i="23"/>
  <c r="L154" i="23" s="1"/>
  <c r="L153" i="23"/>
  <c r="H153" i="23"/>
  <c r="L152" i="23"/>
  <c r="K152" i="23"/>
  <c r="J152" i="23"/>
  <c r="H152" i="23"/>
  <c r="H151" i="23"/>
  <c r="L151" i="23" s="1"/>
  <c r="L150" i="23"/>
  <c r="H150" i="23"/>
  <c r="L149" i="23"/>
  <c r="K149" i="23"/>
  <c r="J149" i="23"/>
  <c r="H149" i="23"/>
  <c r="K148" i="23"/>
  <c r="H148" i="23"/>
  <c r="L148" i="23" s="1"/>
  <c r="L147" i="23"/>
  <c r="H147" i="23"/>
  <c r="L146" i="23"/>
  <c r="K146" i="23"/>
  <c r="J146" i="23"/>
  <c r="H146" i="23"/>
  <c r="H145" i="23"/>
  <c r="L145" i="23" s="1"/>
  <c r="L144" i="23"/>
  <c r="H144" i="23"/>
  <c r="L143" i="23"/>
  <c r="K143" i="23"/>
  <c r="J143" i="23"/>
  <c r="H143" i="23"/>
  <c r="K142" i="23"/>
  <c r="H142" i="23"/>
  <c r="L142" i="23" s="1"/>
  <c r="L141" i="23"/>
  <c r="H141" i="23"/>
  <c r="L140" i="23"/>
  <c r="K140" i="23"/>
  <c r="J140" i="23"/>
  <c r="H140" i="23"/>
  <c r="H139" i="23"/>
  <c r="L139" i="23" s="1"/>
  <c r="L138" i="23"/>
  <c r="H138" i="23"/>
  <c r="L137" i="23"/>
  <c r="K137" i="23"/>
  <c r="J137" i="23"/>
  <c r="H137" i="23"/>
  <c r="K136" i="23"/>
  <c r="H136" i="23"/>
  <c r="L136" i="23" s="1"/>
  <c r="L135" i="23"/>
  <c r="H135" i="23"/>
  <c r="L134" i="23"/>
  <c r="K134" i="23"/>
  <c r="J134" i="23"/>
  <c r="H134" i="23"/>
  <c r="H133" i="23"/>
  <c r="L133" i="23" s="1"/>
  <c r="L132" i="23"/>
  <c r="H132" i="23"/>
  <c r="L131" i="23"/>
  <c r="K131" i="23"/>
  <c r="J131" i="23"/>
  <c r="H131" i="23"/>
  <c r="K130" i="23"/>
  <c r="H130" i="23"/>
  <c r="L130" i="23" s="1"/>
  <c r="L129" i="23"/>
  <c r="H129" i="23"/>
  <c r="L128" i="23"/>
  <c r="K128" i="23"/>
  <c r="J128" i="23"/>
  <c r="H128" i="23"/>
  <c r="H127" i="23"/>
  <c r="L127" i="23" s="1"/>
  <c r="L126" i="23"/>
  <c r="H126" i="23"/>
  <c r="L125" i="23"/>
  <c r="K125" i="23"/>
  <c r="J125" i="23"/>
  <c r="H125" i="23"/>
  <c r="K124" i="23"/>
  <c r="H124" i="23"/>
  <c r="L124" i="23" s="1"/>
  <c r="L123" i="23"/>
  <c r="H123" i="23"/>
  <c r="L122" i="23"/>
  <c r="K122" i="23"/>
  <c r="J122" i="23"/>
  <c r="H122" i="23"/>
  <c r="H121" i="23"/>
  <c r="L121" i="23" s="1"/>
  <c r="L120" i="23"/>
  <c r="H120" i="23"/>
  <c r="L119" i="23"/>
  <c r="K119" i="23"/>
  <c r="J119" i="23"/>
  <c r="H119" i="23"/>
  <c r="K118" i="23"/>
  <c r="H118" i="23"/>
  <c r="L118" i="23" s="1"/>
  <c r="L117" i="23"/>
  <c r="H117" i="23"/>
  <c r="L116" i="23"/>
  <c r="K116" i="23"/>
  <c r="J116" i="23"/>
  <c r="H116" i="23"/>
  <c r="H115" i="23"/>
  <c r="L115" i="23" s="1"/>
  <c r="L114" i="23"/>
  <c r="H114" i="23"/>
  <c r="L113" i="23"/>
  <c r="K113" i="23"/>
  <c r="J113" i="23"/>
  <c r="H113" i="23"/>
  <c r="K112" i="23"/>
  <c r="H112" i="23"/>
  <c r="L112" i="23" s="1"/>
  <c r="L111" i="23"/>
  <c r="H111" i="23"/>
  <c r="L110" i="23"/>
  <c r="K110" i="23"/>
  <c r="J110" i="23"/>
  <c r="H110" i="23"/>
  <c r="H109" i="23"/>
  <c r="J109" i="23" s="1"/>
  <c r="H108" i="23"/>
  <c r="K108" i="23" s="1"/>
  <c r="L107" i="23"/>
  <c r="K107" i="23"/>
  <c r="J107" i="23"/>
  <c r="H107" i="23"/>
  <c r="H106" i="23"/>
  <c r="K106" i="23" s="1"/>
  <c r="L105" i="23"/>
  <c r="H105" i="23"/>
  <c r="K105" i="23" s="1"/>
  <c r="L104" i="23"/>
  <c r="K104" i="23"/>
  <c r="J104" i="23"/>
  <c r="H104" i="23"/>
  <c r="K103" i="23"/>
  <c r="J103" i="23"/>
  <c r="H103" i="23"/>
  <c r="L103" i="23" s="1"/>
  <c r="L102" i="23"/>
  <c r="J102" i="23"/>
  <c r="H102" i="23"/>
  <c r="K102" i="23" s="1"/>
  <c r="L101" i="23"/>
  <c r="K101" i="23"/>
  <c r="J101" i="23"/>
  <c r="H101" i="23"/>
  <c r="L100" i="23"/>
  <c r="H100" i="23"/>
  <c r="K100" i="23" s="1"/>
  <c r="H99" i="23"/>
  <c r="K99" i="23" s="1"/>
  <c r="L98" i="23"/>
  <c r="K98" i="23"/>
  <c r="J98" i="23"/>
  <c r="H98" i="23"/>
  <c r="L97" i="23"/>
  <c r="K97" i="23"/>
  <c r="H97" i="23"/>
  <c r="J97" i="23" s="1"/>
  <c r="H96" i="23"/>
  <c r="K96" i="23" s="1"/>
  <c r="L95" i="23"/>
  <c r="K95" i="23"/>
  <c r="J95" i="23"/>
  <c r="H95" i="23"/>
  <c r="L94" i="23"/>
  <c r="K94" i="23"/>
  <c r="J94" i="23"/>
  <c r="H94" i="23"/>
  <c r="L93" i="23"/>
  <c r="J93" i="23"/>
  <c r="H93" i="23"/>
  <c r="K93" i="23" s="1"/>
  <c r="L92" i="23"/>
  <c r="K92" i="23"/>
  <c r="J92" i="23"/>
  <c r="H92" i="23"/>
  <c r="H91" i="23"/>
  <c r="L91" i="23" s="1"/>
  <c r="H90" i="23"/>
  <c r="K90" i="23" s="1"/>
  <c r="L89" i="23"/>
  <c r="K89" i="23"/>
  <c r="J89" i="23"/>
  <c r="H89" i="23"/>
  <c r="H88" i="23"/>
  <c r="K88" i="23" s="1"/>
  <c r="L87" i="23"/>
  <c r="H87" i="23"/>
  <c r="K87" i="23" s="1"/>
  <c r="L86" i="23"/>
  <c r="K86" i="23"/>
  <c r="J86" i="23"/>
  <c r="H86" i="23"/>
  <c r="K85" i="23"/>
  <c r="J85" i="23"/>
  <c r="H85" i="23"/>
  <c r="L85" i="23" s="1"/>
  <c r="L84" i="23"/>
  <c r="J84" i="23"/>
  <c r="H84" i="23"/>
  <c r="K84" i="23" s="1"/>
  <c r="L83" i="23"/>
  <c r="K83" i="23"/>
  <c r="J83" i="23"/>
  <c r="H83" i="23"/>
  <c r="L82" i="23"/>
  <c r="H82" i="23"/>
  <c r="K82" i="23" s="1"/>
  <c r="H81" i="23"/>
  <c r="K81" i="23" s="1"/>
  <c r="L80" i="23"/>
  <c r="K80" i="23"/>
  <c r="J80" i="23"/>
  <c r="H80" i="23"/>
  <c r="L79" i="23"/>
  <c r="K79" i="23"/>
  <c r="H79" i="23"/>
  <c r="J79" i="23" s="1"/>
  <c r="H78" i="23"/>
  <c r="K78" i="23" s="1"/>
  <c r="L77" i="23"/>
  <c r="K77" i="23"/>
  <c r="J77" i="23"/>
  <c r="H77" i="23"/>
  <c r="L76" i="23"/>
  <c r="K76" i="23"/>
  <c r="J76" i="23"/>
  <c r="H76" i="23"/>
  <c r="L75" i="23"/>
  <c r="J75" i="23"/>
  <c r="H75" i="23"/>
  <c r="K75" i="23" s="1"/>
  <c r="L74" i="23"/>
  <c r="K74" i="23"/>
  <c r="J74" i="23"/>
  <c r="H74" i="23"/>
  <c r="H73" i="23"/>
  <c r="L73" i="23" s="1"/>
  <c r="H72" i="23"/>
  <c r="K72" i="23" s="1"/>
  <c r="L71" i="23"/>
  <c r="K71" i="23"/>
  <c r="J71" i="23"/>
  <c r="H71" i="23"/>
  <c r="H70" i="23"/>
  <c r="K70" i="23" s="1"/>
  <c r="L69" i="23"/>
  <c r="H69" i="23"/>
  <c r="K69" i="23" s="1"/>
  <c r="L68" i="23"/>
  <c r="K68" i="23"/>
  <c r="J68" i="23"/>
  <c r="H68" i="23"/>
  <c r="K67" i="23"/>
  <c r="J67" i="23"/>
  <c r="H67" i="23"/>
  <c r="L67" i="23" s="1"/>
  <c r="L66" i="23"/>
  <c r="J66" i="23"/>
  <c r="H66" i="23"/>
  <c r="K66" i="23" s="1"/>
  <c r="L65" i="23"/>
  <c r="K65" i="23"/>
  <c r="J65" i="23"/>
  <c r="H65" i="23"/>
  <c r="L64" i="23"/>
  <c r="H64" i="23"/>
  <c r="K64" i="23" s="1"/>
  <c r="H63" i="23"/>
  <c r="K63" i="23" s="1"/>
  <c r="L62" i="23"/>
  <c r="K62" i="23"/>
  <c r="J62" i="23"/>
  <c r="H62" i="23"/>
  <c r="L61" i="23"/>
  <c r="K61" i="23"/>
  <c r="H61" i="23"/>
  <c r="J61" i="23" s="1"/>
  <c r="H60" i="23"/>
  <c r="K60" i="23" s="1"/>
  <c r="L59" i="23"/>
  <c r="K59" i="23"/>
  <c r="J59" i="23"/>
  <c r="H59" i="23"/>
  <c r="L58" i="23"/>
  <c r="K58" i="23"/>
  <c r="J58" i="23"/>
  <c r="H58" i="23"/>
  <c r="L57" i="23"/>
  <c r="J57" i="23"/>
  <c r="H57" i="23"/>
  <c r="K57" i="23" s="1"/>
  <c r="L56" i="23"/>
  <c r="K56" i="23"/>
  <c r="J56" i="23"/>
  <c r="H56" i="23"/>
  <c r="H55" i="23"/>
  <c r="L55" i="23" s="1"/>
  <c r="H54" i="23"/>
  <c r="K54" i="23" s="1"/>
  <c r="L53" i="23"/>
  <c r="K53" i="23"/>
  <c r="J53" i="23"/>
  <c r="H53" i="23"/>
  <c r="H52" i="23"/>
  <c r="K52" i="23" s="1"/>
  <c r="L51" i="23"/>
  <c r="H51" i="23"/>
  <c r="K51" i="23" s="1"/>
  <c r="L50" i="23"/>
  <c r="K50" i="23"/>
  <c r="J50" i="23"/>
  <c r="H50" i="23"/>
  <c r="K49" i="23"/>
  <c r="J49" i="23"/>
  <c r="H49" i="23"/>
  <c r="L49" i="23" s="1"/>
  <c r="L48" i="23"/>
  <c r="J48" i="23"/>
  <c r="H48" i="23"/>
  <c r="K48" i="23" s="1"/>
  <c r="L47" i="23"/>
  <c r="K47" i="23"/>
  <c r="J47" i="23"/>
  <c r="H47" i="23"/>
  <c r="L46" i="23"/>
  <c r="H46" i="23"/>
  <c r="K46" i="23" s="1"/>
  <c r="H45" i="23"/>
  <c r="K45" i="23" s="1"/>
  <c r="L44" i="23"/>
  <c r="K44" i="23"/>
  <c r="J44" i="23"/>
  <c r="H44" i="23"/>
  <c r="L43" i="23"/>
  <c r="K43" i="23"/>
  <c r="H43" i="23"/>
  <c r="J43" i="23" s="1"/>
  <c r="H42" i="23"/>
  <c r="K42" i="23" s="1"/>
  <c r="L41" i="23"/>
  <c r="K41" i="23"/>
  <c r="J41" i="23"/>
  <c r="H41" i="23"/>
  <c r="L40" i="23"/>
  <c r="K40" i="23"/>
  <c r="J40" i="23"/>
  <c r="H40" i="23"/>
  <c r="L39" i="23"/>
  <c r="J39" i="23"/>
  <c r="H39" i="23"/>
  <c r="K39" i="23" s="1"/>
  <c r="L38" i="23"/>
  <c r="K38" i="23"/>
  <c r="J38" i="23"/>
  <c r="H38" i="23"/>
  <c r="H37" i="23"/>
  <c r="J37" i="23" s="1"/>
  <c r="H36" i="23"/>
  <c r="K36" i="23" s="1"/>
  <c r="L35" i="23"/>
  <c r="K35" i="23"/>
  <c r="J35" i="23"/>
  <c r="H35" i="23"/>
  <c r="H34" i="23"/>
  <c r="K34" i="23" s="1"/>
  <c r="L33" i="23"/>
  <c r="H33" i="23"/>
  <c r="K33" i="23" s="1"/>
  <c r="L32" i="23"/>
  <c r="K32" i="23"/>
  <c r="J32" i="23"/>
  <c r="H32" i="23"/>
  <c r="K31" i="23"/>
  <c r="J31" i="23"/>
  <c r="H31" i="23"/>
  <c r="L31" i="23" s="1"/>
  <c r="L30" i="23"/>
  <c r="J30" i="23"/>
  <c r="H30" i="23"/>
  <c r="K30" i="23" s="1"/>
  <c r="L29" i="23"/>
  <c r="K29" i="23"/>
  <c r="J29" i="23"/>
  <c r="H29" i="23"/>
  <c r="L28" i="23"/>
  <c r="H28" i="23"/>
  <c r="J28" i="23" s="1"/>
  <c r="H27" i="23"/>
  <c r="K27" i="23" s="1"/>
  <c r="L26" i="23"/>
  <c r="K26" i="23"/>
  <c r="J26" i="23"/>
  <c r="H26" i="23"/>
  <c r="L25" i="23"/>
  <c r="K25" i="23"/>
  <c r="H25" i="23"/>
  <c r="J25" i="23" s="1"/>
  <c r="H24" i="23"/>
  <c r="K24" i="23" s="1"/>
  <c r="L23" i="23"/>
  <c r="K23" i="23"/>
  <c r="J23" i="23"/>
  <c r="H23" i="23"/>
  <c r="L22" i="23"/>
  <c r="K22" i="23"/>
  <c r="J22" i="23"/>
  <c r="H22" i="23"/>
  <c r="L21" i="23"/>
  <c r="J21" i="23"/>
  <c r="H21" i="23"/>
  <c r="K21" i="23" s="1"/>
  <c r="L20" i="23"/>
  <c r="K20" i="23"/>
  <c r="J20" i="23"/>
  <c r="H20" i="23"/>
  <c r="H19" i="23"/>
  <c r="L19" i="23" s="1"/>
  <c r="H18" i="23"/>
  <c r="K18" i="23" s="1"/>
  <c r="L17" i="23"/>
  <c r="K17" i="23"/>
  <c r="J17" i="23"/>
  <c r="H17" i="23"/>
  <c r="H16" i="23"/>
  <c r="K16" i="23" s="1"/>
  <c r="L15" i="23"/>
  <c r="H15" i="23"/>
  <c r="K15" i="23" s="1"/>
  <c r="L14" i="23"/>
  <c r="K14" i="23"/>
  <c r="J14" i="23"/>
  <c r="H14" i="23"/>
  <c r="K13" i="23"/>
  <c r="J13" i="23"/>
  <c r="H13" i="23"/>
  <c r="L13" i="23" s="1"/>
  <c r="L12" i="23"/>
  <c r="J12" i="23"/>
  <c r="H12" i="23"/>
  <c r="K12" i="23" s="1"/>
  <c r="L11" i="23"/>
  <c r="K11" i="23"/>
  <c r="J11" i="23"/>
  <c r="H11" i="23"/>
  <c r="L10" i="23"/>
  <c r="H10" i="23"/>
  <c r="J10" i="23" s="1"/>
  <c r="H9" i="23"/>
  <c r="K9" i="23" s="1"/>
  <c r="L8" i="23"/>
  <c r="K8" i="23"/>
  <c r="J8" i="23"/>
  <c r="H8" i="23"/>
  <c r="L7" i="23"/>
  <c r="K7" i="23"/>
  <c r="H7" i="23"/>
  <c r="J7" i="23" s="1"/>
  <c r="H6" i="23"/>
  <c r="J6" i="23" s="1"/>
  <c r="P2" i="24" l="1"/>
  <c r="P1" i="24" s="1"/>
  <c r="T3" i="24" s="1"/>
  <c r="I7" i="24"/>
  <c r="I13" i="24"/>
  <c r="I19" i="24"/>
  <c r="I25" i="24"/>
  <c r="I31" i="24"/>
  <c r="I37" i="24"/>
  <c r="I43" i="24"/>
  <c r="I49" i="24"/>
  <c r="I55" i="24"/>
  <c r="I61" i="24"/>
  <c r="I67" i="24"/>
  <c r="I73" i="24"/>
  <c r="I79" i="24"/>
  <c r="I85" i="24"/>
  <c r="I91" i="24"/>
  <c r="I97" i="24"/>
  <c r="I103" i="24"/>
  <c r="I109" i="24"/>
  <c r="I115" i="24"/>
  <c r="I121" i="24"/>
  <c r="I127" i="24"/>
  <c r="I133" i="24"/>
  <c r="I139" i="24"/>
  <c r="I145" i="24"/>
  <c r="I5" i="24"/>
  <c r="I12" i="24"/>
  <c r="I20" i="24"/>
  <c r="I27" i="24"/>
  <c r="I34" i="24"/>
  <c r="I41" i="24"/>
  <c r="I48" i="24"/>
  <c r="I56" i="24"/>
  <c r="I63" i="24"/>
  <c r="I70" i="24"/>
  <c r="I77" i="24"/>
  <c r="I84" i="24"/>
  <c r="I92" i="24"/>
  <c r="I99" i="24"/>
  <c r="I106" i="24"/>
  <c r="I113" i="24"/>
  <c r="I120" i="24"/>
  <c r="I128" i="24"/>
  <c r="I135" i="24"/>
  <c r="I142" i="24"/>
  <c r="I149" i="24"/>
  <c r="I155" i="24"/>
  <c r="I161" i="24"/>
  <c r="I167" i="24"/>
  <c r="I173" i="24"/>
  <c r="I179" i="24"/>
  <c r="I185" i="24"/>
  <c r="I191" i="24"/>
  <c r="I197" i="24"/>
  <c r="I203" i="24"/>
  <c r="I209" i="24"/>
  <c r="I215" i="24"/>
  <c r="I221" i="24"/>
  <c r="I227" i="24"/>
  <c r="I233" i="24"/>
  <c r="I239" i="24"/>
  <c r="I245" i="24"/>
  <c r="I251" i="24"/>
  <c r="I257" i="24"/>
  <c r="I263" i="24"/>
  <c r="I269" i="24"/>
  <c r="I275" i="24"/>
  <c r="I281" i="24"/>
  <c r="I287" i="24"/>
  <c r="I293" i="24"/>
  <c r="I299" i="24"/>
  <c r="I305" i="24"/>
  <c r="I311" i="24"/>
  <c r="I317" i="24"/>
  <c r="I323" i="24"/>
  <c r="I329" i="24"/>
  <c r="H8" i="24"/>
  <c r="H14" i="24"/>
  <c r="H20" i="24"/>
  <c r="H26" i="24"/>
  <c r="H32" i="24"/>
  <c r="H38" i="24"/>
  <c r="H44" i="24"/>
  <c r="H50" i="24"/>
  <c r="H56" i="24"/>
  <c r="H62" i="24"/>
  <c r="H68" i="24"/>
  <c r="H74" i="24"/>
  <c r="H80" i="24"/>
  <c r="H86" i="24"/>
  <c r="H92" i="24"/>
  <c r="H98" i="24"/>
  <c r="H104" i="24"/>
  <c r="H110" i="24"/>
  <c r="H116" i="24"/>
  <c r="H122" i="24"/>
  <c r="H128" i="24"/>
  <c r="H134" i="24"/>
  <c r="H140" i="24"/>
  <c r="H146" i="24"/>
  <c r="H152" i="24"/>
  <c r="H158" i="24"/>
  <c r="H164" i="24"/>
  <c r="H170" i="24"/>
  <c r="H176" i="24"/>
  <c r="H182" i="24"/>
  <c r="H188" i="24"/>
  <c r="H194" i="24"/>
  <c r="H200" i="24"/>
  <c r="H206" i="24"/>
  <c r="H212" i="24"/>
  <c r="H218" i="24"/>
  <c r="H224" i="24"/>
  <c r="H230" i="24"/>
  <c r="H236" i="24"/>
  <c r="I6" i="24"/>
  <c r="I14" i="24"/>
  <c r="I21" i="24"/>
  <c r="I28" i="24"/>
  <c r="I35" i="24"/>
  <c r="I42" i="24"/>
  <c r="I50" i="24"/>
  <c r="I57" i="24"/>
  <c r="I64" i="24"/>
  <c r="I71" i="24"/>
  <c r="I78" i="24"/>
  <c r="I86" i="24"/>
  <c r="I93" i="24"/>
  <c r="I100" i="24"/>
  <c r="I107" i="24"/>
  <c r="I114" i="24"/>
  <c r="I122" i="24"/>
  <c r="I129" i="24"/>
  <c r="I136" i="24"/>
  <c r="I143" i="24"/>
  <c r="I150" i="24"/>
  <c r="I156" i="24"/>
  <c r="I162" i="24"/>
  <c r="I168" i="24"/>
  <c r="I174" i="24"/>
  <c r="I180" i="24"/>
  <c r="I186" i="24"/>
  <c r="I192" i="24"/>
  <c r="I198" i="24"/>
  <c r="I204" i="24"/>
  <c r="I210" i="24"/>
  <c r="I216" i="24"/>
  <c r="I222" i="24"/>
  <c r="I228" i="24"/>
  <c r="I234" i="24"/>
  <c r="I240" i="24"/>
  <c r="I246" i="24"/>
  <c r="I252" i="24"/>
  <c r="I258" i="24"/>
  <c r="I264" i="24"/>
  <c r="I270" i="24"/>
  <c r="I276" i="24"/>
  <c r="I282" i="24"/>
  <c r="I288" i="24"/>
  <c r="I294" i="24"/>
  <c r="I300" i="24"/>
  <c r="I306" i="24"/>
  <c r="I312" i="24"/>
  <c r="I318" i="24"/>
  <c r="I324" i="24"/>
  <c r="I330" i="24"/>
  <c r="H9" i="24"/>
  <c r="H15" i="24"/>
  <c r="H21" i="24"/>
  <c r="H27" i="24"/>
  <c r="H33" i="24"/>
  <c r="H39" i="24"/>
  <c r="H45" i="24"/>
  <c r="H51" i="24"/>
  <c r="H57" i="24"/>
  <c r="H63" i="24"/>
  <c r="H69" i="24"/>
  <c r="H75" i="24"/>
  <c r="H81" i="24"/>
  <c r="H87" i="24"/>
  <c r="H93" i="24"/>
  <c r="H99" i="24"/>
  <c r="H105" i="24"/>
  <c r="H111" i="24"/>
  <c r="H117" i="24"/>
  <c r="H123" i="24"/>
  <c r="H129" i="24"/>
  <c r="H135" i="24"/>
  <c r="H141" i="24"/>
  <c r="H147" i="24"/>
  <c r="H153" i="24"/>
  <c r="H159" i="24"/>
  <c r="H165" i="24"/>
  <c r="H171" i="24"/>
  <c r="H177" i="24"/>
  <c r="H183" i="24"/>
  <c r="I8" i="24"/>
  <c r="I15" i="24"/>
  <c r="I22" i="24"/>
  <c r="I29" i="24"/>
  <c r="I36" i="24"/>
  <c r="I44" i="24"/>
  <c r="I51" i="24"/>
  <c r="I58" i="24"/>
  <c r="I65" i="24"/>
  <c r="I72" i="24"/>
  <c r="I80" i="24"/>
  <c r="I87" i="24"/>
  <c r="I94" i="24"/>
  <c r="I101" i="24"/>
  <c r="I108" i="24"/>
  <c r="I116" i="24"/>
  <c r="I123" i="24"/>
  <c r="I130" i="24"/>
  <c r="I137" i="24"/>
  <c r="I144" i="24"/>
  <c r="I151" i="24"/>
  <c r="I157" i="24"/>
  <c r="I163" i="24"/>
  <c r="I169" i="24"/>
  <c r="I175" i="24"/>
  <c r="I181" i="24"/>
  <c r="I187" i="24"/>
  <c r="I193" i="24"/>
  <c r="I199" i="24"/>
  <c r="I205" i="24"/>
  <c r="I211" i="24"/>
  <c r="I217" i="24"/>
  <c r="I223" i="24"/>
  <c r="I229" i="24"/>
  <c r="I235" i="24"/>
  <c r="I241" i="24"/>
  <c r="I247" i="24"/>
  <c r="I253" i="24"/>
  <c r="I259" i="24"/>
  <c r="I265" i="24"/>
  <c r="I271" i="24"/>
  <c r="I277" i="24"/>
  <c r="I283" i="24"/>
  <c r="I289" i="24"/>
  <c r="I295" i="24"/>
  <c r="I301" i="24"/>
  <c r="I307" i="24"/>
  <c r="I313" i="24"/>
  <c r="I319" i="24"/>
  <c r="I325" i="24"/>
  <c r="I4" i="24"/>
  <c r="H10" i="24"/>
  <c r="H16" i="24"/>
  <c r="H22" i="24"/>
  <c r="H28" i="24"/>
  <c r="H34" i="24"/>
  <c r="H40" i="24"/>
  <c r="H46" i="24"/>
  <c r="H52" i="24"/>
  <c r="H58" i="24"/>
  <c r="H64" i="24"/>
  <c r="H70" i="24"/>
  <c r="H76" i="24"/>
  <c r="H82" i="24"/>
  <c r="H88" i="24"/>
  <c r="H94" i="24"/>
  <c r="H100" i="24"/>
  <c r="H106" i="24"/>
  <c r="H112" i="24"/>
  <c r="H118" i="24"/>
  <c r="H124" i="24"/>
  <c r="H130" i="24"/>
  <c r="H136" i="24"/>
  <c r="H142" i="24"/>
  <c r="H148" i="24"/>
  <c r="H154" i="24"/>
  <c r="H160" i="24"/>
  <c r="H166" i="24"/>
  <c r="H172" i="24"/>
  <c r="H178" i="24"/>
  <c r="H184" i="24"/>
  <c r="H190" i="24"/>
  <c r="H196" i="24"/>
  <c r="H202" i="24"/>
  <c r="H208" i="24"/>
  <c r="H214" i="24"/>
  <c r="H220" i="24"/>
  <c r="H226" i="24"/>
  <c r="H232" i="24"/>
  <c r="H238" i="24"/>
  <c r="H244" i="24"/>
  <c r="H250" i="24"/>
  <c r="H256" i="24"/>
  <c r="H262" i="24"/>
  <c r="H268" i="24"/>
  <c r="H274" i="24"/>
  <c r="H280" i="24"/>
  <c r="H286" i="24"/>
  <c r="H292" i="24"/>
  <c r="H298" i="24"/>
  <c r="H304" i="24"/>
  <c r="H310" i="24"/>
  <c r="H316" i="24"/>
  <c r="H322" i="24"/>
  <c r="H328" i="24"/>
  <c r="I9" i="24"/>
  <c r="I16" i="24"/>
  <c r="I23" i="24"/>
  <c r="I30" i="24"/>
  <c r="I38" i="24"/>
  <c r="I45" i="24"/>
  <c r="I52" i="24"/>
  <c r="I59" i="24"/>
  <c r="I66" i="24"/>
  <c r="I74" i="24"/>
  <c r="I81" i="24"/>
  <c r="I88" i="24"/>
  <c r="I95" i="24"/>
  <c r="I102" i="24"/>
  <c r="I110" i="24"/>
  <c r="I117" i="24"/>
  <c r="I124" i="24"/>
  <c r="I131" i="24"/>
  <c r="I138" i="24"/>
  <c r="I146" i="24"/>
  <c r="I152" i="24"/>
  <c r="I158" i="24"/>
  <c r="I164" i="24"/>
  <c r="I170" i="24"/>
  <c r="I176" i="24"/>
  <c r="I182" i="24"/>
  <c r="I188" i="24"/>
  <c r="I194" i="24"/>
  <c r="I200" i="24"/>
  <c r="I206" i="24"/>
  <c r="I212" i="24"/>
  <c r="I218" i="24"/>
  <c r="I224" i="24"/>
  <c r="I230" i="24"/>
  <c r="I236" i="24"/>
  <c r="I242" i="24"/>
  <c r="I248" i="24"/>
  <c r="I254" i="24"/>
  <c r="I260" i="24"/>
  <c r="I266" i="24"/>
  <c r="I272" i="24"/>
  <c r="I278" i="24"/>
  <c r="I284" i="24"/>
  <c r="I290" i="24"/>
  <c r="I296" i="24"/>
  <c r="I302" i="24"/>
  <c r="I308" i="24"/>
  <c r="I314" i="24"/>
  <c r="I320" i="24"/>
  <c r="I326" i="24"/>
  <c r="H5" i="24"/>
  <c r="H11" i="24"/>
  <c r="H17" i="24"/>
  <c r="H23" i="24"/>
  <c r="H29" i="24"/>
  <c r="H35" i="24"/>
  <c r="H41" i="24"/>
  <c r="H47" i="24"/>
  <c r="H53" i="24"/>
  <c r="H59" i="24"/>
  <c r="H65" i="24"/>
  <c r="H71" i="24"/>
  <c r="H77" i="24"/>
  <c r="H83" i="24"/>
  <c r="H89" i="24"/>
  <c r="H95" i="24"/>
  <c r="H101" i="24"/>
  <c r="H107" i="24"/>
  <c r="H113" i="24"/>
  <c r="H119" i="24"/>
  <c r="H125" i="24"/>
  <c r="H131" i="24"/>
  <c r="H137" i="24"/>
  <c r="H143" i="24"/>
  <c r="H149" i="24"/>
  <c r="H155" i="24"/>
  <c r="H161" i="24"/>
  <c r="H167" i="24"/>
  <c r="H173" i="24"/>
  <c r="I17" i="24"/>
  <c r="I39" i="24"/>
  <c r="I60" i="24"/>
  <c r="I82" i="24"/>
  <c r="I104" i="24"/>
  <c r="I125" i="24"/>
  <c r="I147" i="24"/>
  <c r="I165" i="24"/>
  <c r="I183" i="24"/>
  <c r="I201" i="24"/>
  <c r="I219" i="24"/>
  <c r="I237" i="24"/>
  <c r="I255" i="24"/>
  <c r="I273" i="24"/>
  <c r="I291" i="24"/>
  <c r="I309" i="24"/>
  <c r="I327" i="24"/>
  <c r="H18" i="24"/>
  <c r="H36" i="24"/>
  <c r="H54" i="24"/>
  <c r="H72" i="24"/>
  <c r="H90" i="24"/>
  <c r="H108" i="24"/>
  <c r="H126" i="24"/>
  <c r="H144" i="24"/>
  <c r="H162" i="24"/>
  <c r="H179" i="24"/>
  <c r="H189" i="24"/>
  <c r="H198" i="24"/>
  <c r="H207" i="24"/>
  <c r="H216" i="24"/>
  <c r="H225" i="24"/>
  <c r="H234" i="24"/>
  <c r="H242" i="24"/>
  <c r="H249" i="24"/>
  <c r="H257" i="24"/>
  <c r="H264" i="24"/>
  <c r="H271" i="24"/>
  <c r="H278" i="24"/>
  <c r="H285" i="24"/>
  <c r="H293" i="24"/>
  <c r="H300" i="24"/>
  <c r="H307" i="24"/>
  <c r="H314" i="24"/>
  <c r="H321" i="24"/>
  <c r="H329" i="24"/>
  <c r="I40" i="24"/>
  <c r="I62" i="24"/>
  <c r="I83" i="24"/>
  <c r="I126" i="24"/>
  <c r="I148" i="24"/>
  <c r="I184" i="24"/>
  <c r="I220" i="24"/>
  <c r="I256" i="24"/>
  <c r="I274" i="24"/>
  <c r="I292" i="24"/>
  <c r="I328" i="24"/>
  <c r="H37" i="24"/>
  <c r="H73" i="24"/>
  <c r="H109" i="24"/>
  <c r="H145" i="24"/>
  <c r="H180" i="24"/>
  <c r="H199" i="24"/>
  <c r="H227" i="24"/>
  <c r="H251" i="24"/>
  <c r="H272" i="24"/>
  <c r="H294" i="24"/>
  <c r="H301" i="24"/>
  <c r="H323" i="24"/>
  <c r="H60" i="24"/>
  <c r="H201" i="24"/>
  <c r="H252" i="24"/>
  <c r="H273" i="24"/>
  <c r="H324" i="24"/>
  <c r="I26" i="24"/>
  <c r="I90" i="24"/>
  <c r="I172" i="24"/>
  <c r="I244" i="24"/>
  <c r="I298" i="24"/>
  <c r="H43" i="24"/>
  <c r="H115" i="24"/>
  <c r="H151" i="24"/>
  <c r="H203" i="24"/>
  <c r="H239" i="24"/>
  <c r="H267" i="24"/>
  <c r="H296" i="24"/>
  <c r="H325" i="24"/>
  <c r="I32" i="24"/>
  <c r="I96" i="24"/>
  <c r="I177" i="24"/>
  <c r="I249" i="24"/>
  <c r="I285" i="24"/>
  <c r="H30" i="24"/>
  <c r="H120" i="24"/>
  <c r="H195" i="24"/>
  <c r="H247" i="24"/>
  <c r="H261" i="24"/>
  <c r="H290" i="24"/>
  <c r="H326" i="24"/>
  <c r="I18" i="24"/>
  <c r="I105" i="24"/>
  <c r="I166" i="24"/>
  <c r="I238" i="24"/>
  <c r="I310" i="24"/>
  <c r="H55" i="24"/>
  <c r="H127" i="24"/>
  <c r="H191" i="24"/>
  <c r="H217" i="24"/>
  <c r="H243" i="24"/>
  <c r="H265" i="24"/>
  <c r="H287" i="24"/>
  <c r="H308" i="24"/>
  <c r="H330" i="24"/>
  <c r="H96" i="24"/>
  <c r="H228" i="24"/>
  <c r="H266" i="24"/>
  <c r="H295" i="24"/>
  <c r="H309" i="24"/>
  <c r="H4" i="24"/>
  <c r="I69" i="24"/>
  <c r="I154" i="24"/>
  <c r="I208" i="24"/>
  <c r="I280" i="24"/>
  <c r="H7" i="24"/>
  <c r="H61" i="24"/>
  <c r="H133" i="24"/>
  <c r="H193" i="24"/>
  <c r="H221" i="24"/>
  <c r="H253" i="24"/>
  <c r="H282" i="24"/>
  <c r="H311" i="24"/>
  <c r="I53" i="24"/>
  <c r="I140" i="24"/>
  <c r="I195" i="24"/>
  <c r="I267" i="24"/>
  <c r="H12" i="24"/>
  <c r="H48" i="24"/>
  <c r="H102" i="24"/>
  <c r="H138" i="24"/>
  <c r="H186" i="24"/>
  <c r="H204" i="24"/>
  <c r="H213" i="24"/>
  <c r="H240" i="24"/>
  <c r="H254" i="24"/>
  <c r="H283" i="24"/>
  <c r="H297" i="24"/>
  <c r="H319" i="24"/>
  <c r="I24" i="24"/>
  <c r="I46" i="24"/>
  <c r="I68" i="24"/>
  <c r="I89" i="24"/>
  <c r="I111" i="24"/>
  <c r="I132" i="24"/>
  <c r="I153" i="24"/>
  <c r="I171" i="24"/>
  <c r="I189" i="24"/>
  <c r="I207" i="24"/>
  <c r="I225" i="24"/>
  <c r="I243" i="24"/>
  <c r="I261" i="24"/>
  <c r="I279" i="24"/>
  <c r="I297" i="24"/>
  <c r="I315" i="24"/>
  <c r="H6" i="24"/>
  <c r="H24" i="24"/>
  <c r="H42" i="24"/>
  <c r="H114" i="24"/>
  <c r="H132" i="24"/>
  <c r="H150" i="24"/>
  <c r="H168" i="24"/>
  <c r="H181" i="24"/>
  <c r="H192" i="24"/>
  <c r="H210" i="24"/>
  <c r="H237" i="24"/>
  <c r="H245" i="24"/>
  <c r="H259" i="24"/>
  <c r="H288" i="24"/>
  <c r="H317" i="24"/>
  <c r="I47" i="24"/>
  <c r="I134" i="24"/>
  <c r="I226" i="24"/>
  <c r="I316" i="24"/>
  <c r="H79" i="24"/>
  <c r="H185" i="24"/>
  <c r="H229" i="24"/>
  <c r="H260" i="24"/>
  <c r="H289" i="24"/>
  <c r="H318" i="24"/>
  <c r="I10" i="24"/>
  <c r="I118" i="24"/>
  <c r="I213" i="24"/>
  <c r="I303" i="24"/>
  <c r="H66" i="24"/>
  <c r="H156" i="24"/>
  <c r="H222" i="24"/>
  <c r="H269" i="24"/>
  <c r="H305" i="24"/>
  <c r="I11" i="24"/>
  <c r="I33" i="24"/>
  <c r="I54" i="24"/>
  <c r="I76" i="24"/>
  <c r="I98" i="24"/>
  <c r="I119" i="24"/>
  <c r="I141" i="24"/>
  <c r="I160" i="24"/>
  <c r="I178" i="24"/>
  <c r="I196" i="24"/>
  <c r="I214" i="24"/>
  <c r="I232" i="24"/>
  <c r="I250" i="24"/>
  <c r="I268" i="24"/>
  <c r="I286" i="24"/>
  <c r="I304" i="24"/>
  <c r="I322" i="24"/>
  <c r="H13" i="24"/>
  <c r="H31" i="24"/>
  <c r="H49" i="24"/>
  <c r="H67" i="24"/>
  <c r="H85" i="24"/>
  <c r="H103" i="24"/>
  <c r="H121" i="24"/>
  <c r="H139" i="24"/>
  <c r="H157" i="24"/>
  <c r="H175" i="24"/>
  <c r="H187" i="24"/>
  <c r="H197" i="24"/>
  <c r="H205" i="24"/>
  <c r="H215" i="24"/>
  <c r="H223" i="24"/>
  <c r="H233" i="24"/>
  <c r="H241" i="24"/>
  <c r="H248" i="24"/>
  <c r="H255" i="24"/>
  <c r="H263" i="24"/>
  <c r="H270" i="24"/>
  <c r="H277" i="24"/>
  <c r="H284" i="24"/>
  <c r="H291" i="24"/>
  <c r="H299" i="24"/>
  <c r="H306" i="24"/>
  <c r="H313" i="24"/>
  <c r="H320" i="24"/>
  <c r="H327" i="24"/>
  <c r="I202" i="24"/>
  <c r="H19" i="24"/>
  <c r="H91" i="24"/>
  <c r="H163" i="24"/>
  <c r="H209" i="24"/>
  <c r="H235" i="24"/>
  <c r="H258" i="24"/>
  <c r="H279" i="24"/>
  <c r="H315" i="24"/>
  <c r="H78" i="24"/>
  <c r="H219" i="24"/>
  <c r="H281" i="24"/>
  <c r="H302" i="24"/>
  <c r="I112" i="24"/>
  <c r="I190" i="24"/>
  <c r="I262" i="24"/>
  <c r="H25" i="24"/>
  <c r="H97" i="24"/>
  <c r="H169" i="24"/>
  <c r="H211" i="24"/>
  <c r="H246" i="24"/>
  <c r="H275" i="24"/>
  <c r="H303" i="24"/>
  <c r="I75" i="24"/>
  <c r="I159" i="24"/>
  <c r="I231" i="24"/>
  <c r="I321" i="24"/>
  <c r="H84" i="24"/>
  <c r="H174" i="24"/>
  <c r="H231" i="24"/>
  <c r="H276" i="24"/>
  <c r="H312" i="24"/>
  <c r="L213" i="23"/>
  <c r="K213" i="23"/>
  <c r="J19" i="23"/>
  <c r="L6" i="23"/>
  <c r="L24" i="23"/>
  <c r="L16" i="23"/>
  <c r="J18" i="23"/>
  <c r="L34" i="23"/>
  <c r="J46" i="23"/>
  <c r="L52" i="23"/>
  <c r="J54" i="23"/>
  <c r="J64" i="23"/>
  <c r="L70" i="23"/>
  <c r="J72" i="23"/>
  <c r="J82" i="23"/>
  <c r="L88" i="23"/>
  <c r="J90" i="23"/>
  <c r="J100" i="23"/>
  <c r="L106" i="23"/>
  <c r="J108" i="23"/>
  <c r="K10" i="23"/>
  <c r="J15" i="23"/>
  <c r="L18" i="23"/>
  <c r="K28" i="23"/>
  <c r="J33" i="23"/>
  <c r="L36" i="23"/>
  <c r="J51" i="23"/>
  <c r="L54" i="23"/>
  <c r="J69" i="23"/>
  <c r="L72" i="23"/>
  <c r="J87" i="23"/>
  <c r="L90" i="23"/>
  <c r="J105" i="23"/>
  <c r="L108" i="23"/>
  <c r="J112" i="23"/>
  <c r="K114" i="23"/>
  <c r="J114" i="23"/>
  <c r="J118" i="23"/>
  <c r="K120" i="23"/>
  <c r="J120" i="23"/>
  <c r="J124" i="23"/>
  <c r="K126" i="23"/>
  <c r="J126" i="23"/>
  <c r="J130" i="23"/>
  <c r="K132" i="23"/>
  <c r="J132" i="23"/>
  <c r="J136" i="23"/>
  <c r="K138" i="23"/>
  <c r="J138" i="23"/>
  <c r="J142" i="23"/>
  <c r="K144" i="23"/>
  <c r="J144" i="23"/>
  <c r="J148" i="23"/>
  <c r="K150" i="23"/>
  <c r="J150" i="23"/>
  <c r="J154" i="23"/>
  <c r="K156" i="23"/>
  <c r="J156" i="23"/>
  <c r="J160" i="23"/>
  <c r="K162" i="23"/>
  <c r="J162" i="23"/>
  <c r="J166" i="23"/>
  <c r="K168" i="23"/>
  <c r="J168" i="23"/>
  <c r="J172" i="23"/>
  <c r="K174" i="23"/>
  <c r="J174" i="23"/>
  <c r="J178" i="23"/>
  <c r="K180" i="23"/>
  <c r="J180" i="23"/>
  <c r="J184" i="23"/>
  <c r="K186" i="23"/>
  <c r="J186" i="23"/>
  <c r="K192" i="23"/>
  <c r="J192" i="23"/>
  <c r="K198" i="23"/>
  <c r="J198" i="23"/>
  <c r="J204" i="23"/>
  <c r="K204" i="23"/>
  <c r="J210" i="23"/>
  <c r="K210" i="23"/>
  <c r="L215" i="23"/>
  <c r="K215" i="23"/>
  <c r="J215" i="23"/>
  <c r="K236" i="23"/>
  <c r="L242" i="23"/>
  <c r="K242" i="23"/>
  <c r="J242" i="23"/>
  <c r="K263" i="23"/>
  <c r="L269" i="23"/>
  <c r="K269" i="23"/>
  <c r="J269" i="23"/>
  <c r="K290" i="23"/>
  <c r="L296" i="23"/>
  <c r="K296" i="23"/>
  <c r="J296" i="23"/>
  <c r="K317" i="23"/>
  <c r="L323" i="23"/>
  <c r="K323" i="23"/>
  <c r="J323" i="23"/>
  <c r="J45" i="23"/>
  <c r="J55" i="23"/>
  <c r="J213" i="23"/>
  <c r="L251" i="23"/>
  <c r="K251" i="23"/>
  <c r="J251" i="23"/>
  <c r="L305" i="23"/>
  <c r="K305" i="23"/>
  <c r="J305" i="23"/>
  <c r="L240" i="23"/>
  <c r="K240" i="23"/>
  <c r="J256" i="23"/>
  <c r="L256" i="23"/>
  <c r="J283" i="23"/>
  <c r="L283" i="23"/>
  <c r="J310" i="23"/>
  <c r="L310" i="23"/>
  <c r="J73" i="23"/>
  <c r="J99" i="23"/>
  <c r="K256" i="23"/>
  <c r="L278" i="23"/>
  <c r="K278" i="23"/>
  <c r="J278" i="23"/>
  <c r="L332" i="23"/>
  <c r="K332" i="23"/>
  <c r="J332" i="23"/>
  <c r="L9" i="23"/>
  <c r="J16" i="23"/>
  <c r="K19" i="23"/>
  <c r="J24" i="23"/>
  <c r="L27" i="23"/>
  <c r="J34" i="23"/>
  <c r="K37" i="23"/>
  <c r="J42" i="23"/>
  <c r="L45" i="23"/>
  <c r="J52" i="23"/>
  <c r="K55" i="23"/>
  <c r="J60" i="23"/>
  <c r="L63" i="23"/>
  <c r="J70" i="23"/>
  <c r="K73" i="23"/>
  <c r="J78" i="23"/>
  <c r="L81" i="23"/>
  <c r="J88" i="23"/>
  <c r="K91" i="23"/>
  <c r="J96" i="23"/>
  <c r="L99" i="23"/>
  <c r="J106" i="23"/>
  <c r="K109" i="23"/>
  <c r="K111" i="23"/>
  <c r="J111" i="23"/>
  <c r="J115" i="23"/>
  <c r="K117" i="23"/>
  <c r="J117" i="23"/>
  <c r="J121" i="23"/>
  <c r="K123" i="23"/>
  <c r="J123" i="23"/>
  <c r="J127" i="23"/>
  <c r="K129" i="23"/>
  <c r="J129" i="23"/>
  <c r="J133" i="23"/>
  <c r="K135" i="23"/>
  <c r="J135" i="23"/>
  <c r="J139" i="23"/>
  <c r="K141" i="23"/>
  <c r="J141" i="23"/>
  <c r="J145" i="23"/>
  <c r="K147" i="23"/>
  <c r="J147" i="23"/>
  <c r="J151" i="23"/>
  <c r="K153" i="23"/>
  <c r="J153" i="23"/>
  <c r="J157" i="23"/>
  <c r="K159" i="23"/>
  <c r="J159" i="23"/>
  <c r="J163" i="23"/>
  <c r="K165" i="23"/>
  <c r="J165" i="23"/>
  <c r="J169" i="23"/>
  <c r="K171" i="23"/>
  <c r="J171" i="23"/>
  <c r="J175" i="23"/>
  <c r="K177" i="23"/>
  <c r="J177" i="23"/>
  <c r="J181" i="23"/>
  <c r="K183" i="23"/>
  <c r="J183" i="23"/>
  <c r="J187" i="23"/>
  <c r="K189" i="23"/>
  <c r="J189" i="23"/>
  <c r="J193" i="23"/>
  <c r="K195" i="23"/>
  <c r="J195" i="23"/>
  <c r="J199" i="23"/>
  <c r="J201" i="23"/>
  <c r="K201" i="23"/>
  <c r="J205" i="23"/>
  <c r="J207" i="23"/>
  <c r="K207" i="23"/>
  <c r="K211" i="23"/>
  <c r="L222" i="23"/>
  <c r="K222" i="23"/>
  <c r="J227" i="23"/>
  <c r="J238" i="23"/>
  <c r="L238" i="23"/>
  <c r="L249" i="23"/>
  <c r="K249" i="23"/>
  <c r="J254" i="23"/>
  <c r="J265" i="23"/>
  <c r="L265" i="23"/>
  <c r="L276" i="23"/>
  <c r="K276" i="23"/>
  <c r="J281" i="23"/>
  <c r="J292" i="23"/>
  <c r="L292" i="23"/>
  <c r="L303" i="23"/>
  <c r="K303" i="23"/>
  <c r="J308" i="23"/>
  <c r="J319" i="23"/>
  <c r="L319" i="23"/>
  <c r="L330" i="23"/>
  <c r="K330" i="23"/>
  <c r="J335" i="23"/>
  <c r="J229" i="23"/>
  <c r="L229" i="23"/>
  <c r="H336" i="23"/>
  <c r="K6" i="23"/>
  <c r="J81" i="23"/>
  <c r="J91" i="23"/>
  <c r="L224" i="23"/>
  <c r="K224" i="23"/>
  <c r="J224" i="23"/>
  <c r="L37" i="23"/>
  <c r="L42" i="23"/>
  <c r="L60" i="23"/>
  <c r="L78" i="23"/>
  <c r="L96" i="23"/>
  <c r="L109" i="23"/>
  <c r="K115" i="23"/>
  <c r="K121" i="23"/>
  <c r="K127" i="23"/>
  <c r="K133" i="23"/>
  <c r="K139" i="23"/>
  <c r="K145" i="23"/>
  <c r="K151" i="23"/>
  <c r="K157" i="23"/>
  <c r="K163" i="23"/>
  <c r="K169" i="23"/>
  <c r="K175" i="23"/>
  <c r="K181" i="23"/>
  <c r="K187" i="23"/>
  <c r="K193" i="23"/>
  <c r="K199" i="23"/>
  <c r="K205" i="23"/>
  <c r="L211" i="23"/>
  <c r="K227" i="23"/>
  <c r="L233" i="23"/>
  <c r="K233" i="23"/>
  <c r="J233" i="23"/>
  <c r="K254" i="23"/>
  <c r="L260" i="23"/>
  <c r="K260" i="23"/>
  <c r="J260" i="23"/>
  <c r="K281" i="23"/>
  <c r="L287" i="23"/>
  <c r="K287" i="23"/>
  <c r="J287" i="23"/>
  <c r="K308" i="23"/>
  <c r="L314" i="23"/>
  <c r="K314" i="23"/>
  <c r="J314" i="23"/>
  <c r="K335" i="23"/>
  <c r="L267" i="23"/>
  <c r="K267" i="23"/>
  <c r="L294" i="23"/>
  <c r="K294" i="23"/>
  <c r="L321" i="23"/>
  <c r="K321" i="23"/>
  <c r="J9" i="23"/>
  <c r="J27" i="23"/>
  <c r="J63" i="23"/>
  <c r="J36" i="23"/>
  <c r="J220" i="23"/>
  <c r="L220" i="23"/>
  <c r="L231" i="23"/>
  <c r="K231" i="23"/>
  <c r="J236" i="23"/>
  <c r="J247" i="23"/>
  <c r="L247" i="23"/>
  <c r="L258" i="23"/>
  <c r="K258" i="23"/>
  <c r="J263" i="23"/>
  <c r="J274" i="23"/>
  <c r="L274" i="23"/>
  <c r="L285" i="23"/>
  <c r="K285" i="23"/>
  <c r="J290" i="23"/>
  <c r="J301" i="23"/>
  <c r="L301" i="23"/>
  <c r="L312" i="23"/>
  <c r="K312" i="23"/>
  <c r="J317" i="23"/>
  <c r="J328" i="23"/>
  <c r="L328" i="23"/>
  <c r="J228" i="23"/>
  <c r="J212" i="23"/>
  <c r="L217" i="23"/>
  <c r="K219" i="23"/>
  <c r="J221" i="23"/>
  <c r="L226" i="23"/>
  <c r="J230" i="23"/>
  <c r="L235" i="23"/>
  <c r="K237" i="23"/>
  <c r="J239" i="23"/>
  <c r="L244" i="23"/>
  <c r="K246" i="23"/>
  <c r="J248" i="23"/>
  <c r="L253" i="23"/>
  <c r="K255" i="23"/>
  <c r="J257" i="23"/>
  <c r="L262" i="23"/>
  <c r="K264" i="23"/>
  <c r="J266" i="23"/>
  <c r="L271" i="23"/>
  <c r="K273" i="23"/>
  <c r="J275" i="23"/>
  <c r="L280" i="23"/>
  <c r="K282" i="23"/>
  <c r="J284" i="23"/>
  <c r="L289" i="23"/>
  <c r="K291" i="23"/>
  <c r="J293" i="23"/>
  <c r="L298" i="23"/>
  <c r="K300" i="23"/>
  <c r="J302" i="23"/>
  <c r="L307" i="23"/>
  <c r="K309" i="23"/>
  <c r="J311" i="23"/>
  <c r="L316" i="23"/>
  <c r="K318" i="23"/>
  <c r="J320" i="23"/>
  <c r="L325" i="23"/>
  <c r="K327" i="23"/>
  <c r="J329" i="23"/>
  <c r="L334" i="23"/>
  <c r="K217" i="23"/>
  <c r="K226" i="23"/>
  <c r="K235" i="23"/>
  <c r="K244" i="23"/>
  <c r="K253" i="23"/>
  <c r="K262" i="23"/>
  <c r="K271" i="23"/>
  <c r="K280" i="23"/>
  <c r="K289" i="23"/>
  <c r="K298" i="23"/>
  <c r="K307" i="23"/>
  <c r="K316" i="23"/>
  <c r="K325" i="23"/>
  <c r="K334" i="23"/>
  <c r="Q6" i="24" l="1"/>
  <c r="Q12" i="24"/>
  <c r="Q18" i="24"/>
  <c r="Q24" i="24"/>
  <c r="Q30" i="24"/>
  <c r="Q36" i="24"/>
  <c r="Q42" i="24"/>
  <c r="Q48" i="24"/>
  <c r="Q54" i="24"/>
  <c r="Q60" i="24"/>
  <c r="Q66" i="24"/>
  <c r="Q72" i="24"/>
  <c r="Q78" i="24"/>
  <c r="Q84" i="24"/>
  <c r="Q90" i="24"/>
  <c r="Q96" i="24"/>
  <c r="Q102" i="24"/>
  <c r="Q108" i="24"/>
  <c r="Q114" i="24"/>
  <c r="Q120" i="24"/>
  <c r="Q126" i="24"/>
  <c r="Q132" i="24"/>
  <c r="Q138" i="24"/>
  <c r="Q144" i="24"/>
  <c r="Q150" i="24"/>
  <c r="Q156" i="24"/>
  <c r="Q162" i="24"/>
  <c r="Q168" i="24"/>
  <c r="Q174" i="24"/>
  <c r="Q10" i="24"/>
  <c r="Q17" i="24"/>
  <c r="Q25" i="24"/>
  <c r="Q32" i="24"/>
  <c r="Q39" i="24"/>
  <c r="Q46" i="24"/>
  <c r="Q53" i="24"/>
  <c r="Q61" i="24"/>
  <c r="Q68" i="24"/>
  <c r="Q75" i="24"/>
  <c r="Q82" i="24"/>
  <c r="Q89" i="24"/>
  <c r="Q97" i="24"/>
  <c r="Q104" i="24"/>
  <c r="Q111" i="24"/>
  <c r="Q118" i="24"/>
  <c r="Q125" i="24"/>
  <c r="Q133" i="24"/>
  <c r="Q140" i="24"/>
  <c r="Q147" i="24"/>
  <c r="Q154" i="24"/>
  <c r="Q161" i="24"/>
  <c r="Q169" i="24"/>
  <c r="Q176" i="24"/>
  <c r="Q182" i="24"/>
  <c r="Q188" i="24"/>
  <c r="Q194" i="24"/>
  <c r="Q200" i="24"/>
  <c r="Q206" i="24"/>
  <c r="Q212" i="24"/>
  <c r="Q218" i="24"/>
  <c r="Q224" i="24"/>
  <c r="Q230" i="24"/>
  <c r="Q236" i="24"/>
  <c r="Q242" i="24"/>
  <c r="Q248" i="24"/>
  <c r="Q254" i="24"/>
  <c r="Q260" i="24"/>
  <c r="Q266" i="24"/>
  <c r="Q272" i="24"/>
  <c r="Q278" i="24"/>
  <c r="Q284" i="24"/>
  <c r="Q290" i="24"/>
  <c r="Q296" i="24"/>
  <c r="Q302" i="24"/>
  <c r="Q308" i="24"/>
  <c r="Q314" i="24"/>
  <c r="Q320" i="24"/>
  <c r="Q326" i="24"/>
  <c r="P4" i="24"/>
  <c r="P10" i="24"/>
  <c r="P16" i="24"/>
  <c r="P22" i="24"/>
  <c r="P28" i="24"/>
  <c r="P34" i="24"/>
  <c r="P40" i="24"/>
  <c r="P46" i="24"/>
  <c r="P52" i="24"/>
  <c r="P58" i="24"/>
  <c r="P64" i="24"/>
  <c r="P70" i="24"/>
  <c r="P76" i="24"/>
  <c r="P82" i="24"/>
  <c r="P88" i="24"/>
  <c r="P94" i="24"/>
  <c r="P100" i="24"/>
  <c r="P106" i="24"/>
  <c r="P112" i="24"/>
  <c r="P118" i="24"/>
  <c r="P124" i="24"/>
  <c r="P130" i="24"/>
  <c r="P136" i="24"/>
  <c r="P142" i="24"/>
  <c r="P148" i="24"/>
  <c r="P154" i="24"/>
  <c r="P160" i="24"/>
  <c r="P166" i="24"/>
  <c r="P172" i="24"/>
  <c r="P178" i="24"/>
  <c r="P184" i="24"/>
  <c r="P190" i="24"/>
  <c r="P196" i="24"/>
  <c r="P202" i="24"/>
  <c r="P208" i="24"/>
  <c r="P214" i="24"/>
  <c r="P220" i="24"/>
  <c r="P226" i="24"/>
  <c r="P232" i="24"/>
  <c r="P238" i="24"/>
  <c r="P244" i="24"/>
  <c r="P250" i="24"/>
  <c r="P256" i="24"/>
  <c r="P262" i="24"/>
  <c r="P268" i="24"/>
  <c r="P274" i="24"/>
  <c r="P280" i="24"/>
  <c r="P286" i="24"/>
  <c r="P292" i="24"/>
  <c r="P298" i="24"/>
  <c r="P304" i="24"/>
  <c r="P310" i="24"/>
  <c r="P316" i="24"/>
  <c r="P322" i="24"/>
  <c r="P328" i="24"/>
  <c r="Q9" i="24"/>
  <c r="Q19" i="24"/>
  <c r="Q27" i="24"/>
  <c r="Q35" i="24"/>
  <c r="Q44" i="24"/>
  <c r="Q52" i="24"/>
  <c r="Q62" i="24"/>
  <c r="Q70" i="24"/>
  <c r="Q79" i="24"/>
  <c r="Q87" i="24"/>
  <c r="Q95" i="24"/>
  <c r="Q105" i="24"/>
  <c r="Q113" i="24"/>
  <c r="Q122" i="24"/>
  <c r="Q130" i="24"/>
  <c r="Q139" i="24"/>
  <c r="Q148" i="24"/>
  <c r="Q157" i="24"/>
  <c r="Q165" i="24"/>
  <c r="Q173" i="24"/>
  <c r="Q181" i="24"/>
  <c r="Q189" i="24"/>
  <c r="Q196" i="24"/>
  <c r="Q203" i="24"/>
  <c r="Q210" i="24"/>
  <c r="Q217" i="24"/>
  <c r="Q225" i="24"/>
  <c r="Q232" i="24"/>
  <c r="Q239" i="24"/>
  <c r="Q246" i="24"/>
  <c r="Q253" i="24"/>
  <c r="Q261" i="24"/>
  <c r="Q268" i="24"/>
  <c r="Q275" i="24"/>
  <c r="Q282" i="24"/>
  <c r="Q289" i="24"/>
  <c r="Q297" i="24"/>
  <c r="Q304" i="24"/>
  <c r="Q311" i="24"/>
  <c r="Q318" i="24"/>
  <c r="Q325" i="24"/>
  <c r="P5" i="24"/>
  <c r="P12" i="24"/>
  <c r="P19" i="24"/>
  <c r="P26" i="24"/>
  <c r="P33" i="24"/>
  <c r="P41" i="24"/>
  <c r="P48" i="24"/>
  <c r="P55" i="24"/>
  <c r="P62" i="24"/>
  <c r="P69" i="24"/>
  <c r="P77" i="24"/>
  <c r="P84" i="24"/>
  <c r="P91" i="24"/>
  <c r="P98" i="24"/>
  <c r="P105" i="24"/>
  <c r="P113" i="24"/>
  <c r="P120" i="24"/>
  <c r="P127" i="24"/>
  <c r="P134" i="24"/>
  <c r="P141" i="24"/>
  <c r="Q13" i="24"/>
  <c r="Q21" i="24"/>
  <c r="Q29" i="24"/>
  <c r="Q38" i="24"/>
  <c r="Q47" i="24"/>
  <c r="Q56" i="24"/>
  <c r="Q64" i="24"/>
  <c r="Q73" i="24"/>
  <c r="Q81" i="24"/>
  <c r="Q91" i="24"/>
  <c r="Q99" i="24"/>
  <c r="Q107" i="24"/>
  <c r="Q116" i="24"/>
  <c r="Q124" i="24"/>
  <c r="Q134" i="24"/>
  <c r="Q142" i="24"/>
  <c r="Q151" i="24"/>
  <c r="Q159" i="24"/>
  <c r="Q167" i="24"/>
  <c r="Q177" i="24"/>
  <c r="Q184" i="24"/>
  <c r="Q191" i="24"/>
  <c r="Q198" i="24"/>
  <c r="Q205" i="24"/>
  <c r="Q213" i="24"/>
  <c r="Q220" i="24"/>
  <c r="Q227" i="24"/>
  <c r="Q234" i="24"/>
  <c r="Q241" i="24"/>
  <c r="Q249" i="24"/>
  <c r="Q256" i="24"/>
  <c r="Q263" i="24"/>
  <c r="Q270" i="24"/>
  <c r="Q277" i="24"/>
  <c r="Q285" i="24"/>
  <c r="Q292" i="24"/>
  <c r="Q299" i="24"/>
  <c r="Q306" i="24"/>
  <c r="Q313" i="24"/>
  <c r="Q321" i="24"/>
  <c r="Q328" i="24"/>
  <c r="P7" i="24"/>
  <c r="P14" i="24"/>
  <c r="P21" i="24"/>
  <c r="P29" i="24"/>
  <c r="P36" i="24"/>
  <c r="P43" i="24"/>
  <c r="P50" i="24"/>
  <c r="P57" i="24"/>
  <c r="P65" i="24"/>
  <c r="P72" i="24"/>
  <c r="P79" i="24"/>
  <c r="P86" i="24"/>
  <c r="P93" i="24"/>
  <c r="P101" i="24"/>
  <c r="P108" i="24"/>
  <c r="P115" i="24"/>
  <c r="P122" i="24"/>
  <c r="P129" i="24"/>
  <c r="P137" i="24"/>
  <c r="Q5" i="24"/>
  <c r="Q14" i="24"/>
  <c r="Q22" i="24"/>
  <c r="Q31" i="24"/>
  <c r="Q40" i="24"/>
  <c r="Q49" i="24"/>
  <c r="Q57" i="24"/>
  <c r="Q65" i="24"/>
  <c r="Q74" i="24"/>
  <c r="Q83" i="24"/>
  <c r="Q92" i="24"/>
  <c r="Q100" i="24"/>
  <c r="Q109" i="24"/>
  <c r="Q117" i="24"/>
  <c r="Q127" i="24"/>
  <c r="Q135" i="24"/>
  <c r="Q143" i="24"/>
  <c r="Q7" i="24"/>
  <c r="Q23" i="24"/>
  <c r="Q41" i="24"/>
  <c r="Q58" i="24"/>
  <c r="Q76" i="24"/>
  <c r="Q93" i="24"/>
  <c r="Q110" i="24"/>
  <c r="Q128" i="24"/>
  <c r="Q145" i="24"/>
  <c r="Q158" i="24"/>
  <c r="Q171" i="24"/>
  <c r="Q183" i="24"/>
  <c r="Q193" i="24"/>
  <c r="Q204" i="24"/>
  <c r="Q215" i="24"/>
  <c r="Q226" i="24"/>
  <c r="Q237" i="24"/>
  <c r="Q247" i="24"/>
  <c r="Q258" i="24"/>
  <c r="Q269" i="24"/>
  <c r="Q280" i="24"/>
  <c r="Q291" i="24"/>
  <c r="Q301" i="24"/>
  <c r="Q312" i="24"/>
  <c r="Q323" i="24"/>
  <c r="P6" i="24"/>
  <c r="P17" i="24"/>
  <c r="P27" i="24"/>
  <c r="P38" i="24"/>
  <c r="P49" i="24"/>
  <c r="P60" i="24"/>
  <c r="P71" i="24"/>
  <c r="P81" i="24"/>
  <c r="P92" i="24"/>
  <c r="P103" i="24"/>
  <c r="P114" i="24"/>
  <c r="P125" i="24"/>
  <c r="P135" i="24"/>
  <c r="P145" i="24"/>
  <c r="P152" i="24"/>
  <c r="P159" i="24"/>
  <c r="P167" i="24"/>
  <c r="P174" i="24"/>
  <c r="P181" i="24"/>
  <c r="P188" i="24"/>
  <c r="P195" i="24"/>
  <c r="P203" i="24"/>
  <c r="P210" i="24"/>
  <c r="P217" i="24"/>
  <c r="P224" i="24"/>
  <c r="P231" i="24"/>
  <c r="P239" i="24"/>
  <c r="P246" i="24"/>
  <c r="P253" i="24"/>
  <c r="P260" i="24"/>
  <c r="P267" i="24"/>
  <c r="P275" i="24"/>
  <c r="P282" i="24"/>
  <c r="P289" i="24"/>
  <c r="P296" i="24"/>
  <c r="P303" i="24"/>
  <c r="P311" i="24"/>
  <c r="P318" i="24"/>
  <c r="P325" i="24"/>
  <c r="Q8" i="24"/>
  <c r="Q26" i="24"/>
  <c r="Q43" i="24"/>
  <c r="Q59" i="24"/>
  <c r="Q77" i="24"/>
  <c r="Q94" i="24"/>
  <c r="Q112" i="24"/>
  <c r="Q129" i="24"/>
  <c r="Q146" i="24"/>
  <c r="Q160" i="24"/>
  <c r="Q172" i="24"/>
  <c r="Q185" i="24"/>
  <c r="Q195" i="24"/>
  <c r="Q207" i="24"/>
  <c r="Q216" i="24"/>
  <c r="Q228" i="24"/>
  <c r="Q238" i="24"/>
  <c r="Q250" i="24"/>
  <c r="Q259" i="24"/>
  <c r="Q271" i="24"/>
  <c r="Q281" i="24"/>
  <c r="Q293" i="24"/>
  <c r="Q303" i="24"/>
  <c r="Q315" i="24"/>
  <c r="Q324" i="24"/>
  <c r="P8" i="24"/>
  <c r="P18" i="24"/>
  <c r="P30" i="24"/>
  <c r="P39" i="24"/>
  <c r="P51" i="24"/>
  <c r="P61" i="24"/>
  <c r="P73" i="24"/>
  <c r="P83" i="24"/>
  <c r="P95" i="24"/>
  <c r="P104" i="24"/>
  <c r="P116" i="24"/>
  <c r="P126" i="24"/>
  <c r="P138" i="24"/>
  <c r="P146" i="24"/>
  <c r="P153" i="24"/>
  <c r="P161" i="24"/>
  <c r="P168" i="24"/>
  <c r="P175" i="24"/>
  <c r="P182" i="24"/>
  <c r="Q11" i="24"/>
  <c r="Q28" i="24"/>
  <c r="Q45" i="24"/>
  <c r="Q63" i="24"/>
  <c r="Q80" i="24"/>
  <c r="Q98" i="24"/>
  <c r="Q115" i="24"/>
  <c r="Q131" i="24"/>
  <c r="Q149" i="24"/>
  <c r="Q163" i="24"/>
  <c r="Q175" i="24"/>
  <c r="Q186" i="24"/>
  <c r="Q197" i="24"/>
  <c r="Q208" i="24"/>
  <c r="Q219" i="24"/>
  <c r="Q229" i="24"/>
  <c r="Q240" i="24"/>
  <c r="Q251" i="24"/>
  <c r="Q262" i="24"/>
  <c r="Q273" i="24"/>
  <c r="Q283" i="24"/>
  <c r="Q294" i="24"/>
  <c r="Q305" i="24"/>
  <c r="Q316" i="24"/>
  <c r="Q327" i="24"/>
  <c r="P9" i="24"/>
  <c r="P20" i="24"/>
  <c r="P31" i="24"/>
  <c r="P42" i="24"/>
  <c r="P53" i="24"/>
  <c r="P63" i="24"/>
  <c r="P74" i="24"/>
  <c r="P85" i="24"/>
  <c r="P96" i="24"/>
  <c r="P107" i="24"/>
  <c r="P117" i="24"/>
  <c r="P128" i="24"/>
  <c r="P139" i="24"/>
  <c r="P147" i="24"/>
  <c r="P155" i="24"/>
  <c r="P162" i="24"/>
  <c r="P169" i="24"/>
  <c r="P176" i="24"/>
  <c r="P183" i="24"/>
  <c r="P191" i="24"/>
  <c r="P198" i="24"/>
  <c r="P205" i="24"/>
  <c r="P212" i="24"/>
  <c r="P219" i="24"/>
  <c r="P227" i="24"/>
  <c r="P234" i="24"/>
  <c r="P241" i="24"/>
  <c r="P248" i="24"/>
  <c r="P255" i="24"/>
  <c r="P263" i="24"/>
  <c r="P270" i="24"/>
  <c r="P277" i="24"/>
  <c r="P284" i="24"/>
  <c r="P291" i="24"/>
  <c r="P299" i="24"/>
  <c r="P306" i="24"/>
  <c r="P313" i="24"/>
  <c r="P320" i="24"/>
  <c r="P327" i="24"/>
  <c r="V2" i="24"/>
  <c r="V1" i="24" s="1"/>
  <c r="N3" i="24" s="1"/>
  <c r="Q15" i="24"/>
  <c r="Q33" i="24"/>
  <c r="Q50" i="24"/>
  <c r="Q67" i="24"/>
  <c r="Q85" i="24"/>
  <c r="Q101" i="24"/>
  <c r="Q119" i="24"/>
  <c r="Q136" i="24"/>
  <c r="Q152" i="24"/>
  <c r="Q164" i="24"/>
  <c r="Q178" i="24"/>
  <c r="Q187" i="24"/>
  <c r="Q199" i="24"/>
  <c r="Q209" i="24"/>
  <c r="Q221" i="24"/>
  <c r="Q231" i="24"/>
  <c r="Q243" i="24"/>
  <c r="Q252" i="24"/>
  <c r="Q264" i="24"/>
  <c r="Q274" i="24"/>
  <c r="Q286" i="24"/>
  <c r="Q295" i="24"/>
  <c r="Q307" i="24"/>
  <c r="Q317" i="24"/>
  <c r="Q329" i="24"/>
  <c r="P11" i="24"/>
  <c r="P23" i="24"/>
  <c r="P32" i="24"/>
  <c r="P44" i="24"/>
  <c r="P54" i="24"/>
  <c r="P66" i="24"/>
  <c r="P75" i="24"/>
  <c r="P87" i="24"/>
  <c r="P97" i="24"/>
  <c r="P109" i="24"/>
  <c r="P119" i="24"/>
  <c r="P131" i="24"/>
  <c r="P140" i="24"/>
  <c r="P149" i="24"/>
  <c r="P156" i="24"/>
  <c r="P163" i="24"/>
  <c r="P170" i="24"/>
  <c r="Q16" i="24"/>
  <c r="Q69" i="24"/>
  <c r="Q121" i="24"/>
  <c r="Q166" i="24"/>
  <c r="Q201" i="24"/>
  <c r="Q233" i="24"/>
  <c r="Q265" i="24"/>
  <c r="Q298" i="24"/>
  <c r="Q330" i="24"/>
  <c r="P35" i="24"/>
  <c r="P67" i="24"/>
  <c r="P99" i="24"/>
  <c r="P132" i="24"/>
  <c r="P157" i="24"/>
  <c r="P177" i="24"/>
  <c r="P189" i="24"/>
  <c r="P200" i="24"/>
  <c r="P211" i="24"/>
  <c r="P222" i="24"/>
  <c r="P233" i="24"/>
  <c r="P243" i="24"/>
  <c r="P254" i="24"/>
  <c r="P265" i="24"/>
  <c r="P276" i="24"/>
  <c r="P287" i="24"/>
  <c r="P297" i="24"/>
  <c r="P308" i="24"/>
  <c r="P319" i="24"/>
  <c r="P330" i="24"/>
  <c r="Q20" i="24"/>
  <c r="Q71" i="24"/>
  <c r="Q123" i="24"/>
  <c r="Q170" i="24"/>
  <c r="Q202" i="24"/>
  <c r="Q235" i="24"/>
  <c r="Q267" i="24"/>
  <c r="Q300" i="24"/>
  <c r="Q4" i="24"/>
  <c r="P37" i="24"/>
  <c r="P68" i="24"/>
  <c r="P102" i="24"/>
  <c r="P133" i="24"/>
  <c r="P158" i="24"/>
  <c r="P179" i="24"/>
  <c r="P192" i="24"/>
  <c r="P201" i="24"/>
  <c r="P213" i="24"/>
  <c r="P223" i="24"/>
  <c r="P235" i="24"/>
  <c r="P245" i="24"/>
  <c r="P257" i="24"/>
  <c r="P266" i="24"/>
  <c r="P278" i="24"/>
  <c r="P288" i="24"/>
  <c r="P300" i="24"/>
  <c r="P309" i="24"/>
  <c r="P321" i="24"/>
  <c r="Q34" i="24"/>
  <c r="Q86" i="24"/>
  <c r="Q137" i="24"/>
  <c r="Q179" i="24"/>
  <c r="Q211" i="24"/>
  <c r="Q244" i="24"/>
  <c r="Q276" i="24"/>
  <c r="Q309" i="24"/>
  <c r="P13" i="24"/>
  <c r="P45" i="24"/>
  <c r="P78" i="24"/>
  <c r="P110" i="24"/>
  <c r="P143" i="24"/>
  <c r="P164" i="24"/>
  <c r="P180" i="24"/>
  <c r="P193" i="24"/>
  <c r="P204" i="24"/>
  <c r="P215" i="24"/>
  <c r="P225" i="24"/>
  <c r="P236" i="24"/>
  <c r="P247" i="24"/>
  <c r="P258" i="24"/>
  <c r="P269" i="24"/>
  <c r="P279" i="24"/>
  <c r="P290" i="24"/>
  <c r="P301" i="24"/>
  <c r="P312" i="24"/>
  <c r="P323" i="24"/>
  <c r="Q37" i="24"/>
  <c r="Q88" i="24"/>
  <c r="Q141" i="24"/>
  <c r="Q180" i="24"/>
  <c r="Q214" i="24"/>
  <c r="Q245" i="24"/>
  <c r="Q279" i="24"/>
  <c r="Q310" i="24"/>
  <c r="P15" i="24"/>
  <c r="P47" i="24"/>
  <c r="P80" i="24"/>
  <c r="P111" i="24"/>
  <c r="P144" i="24"/>
  <c r="P165" i="24"/>
  <c r="P185" i="24"/>
  <c r="P194" i="24"/>
  <c r="P206" i="24"/>
  <c r="P216" i="24"/>
  <c r="P228" i="24"/>
  <c r="P237" i="24"/>
  <c r="P249" i="24"/>
  <c r="P259" i="24"/>
  <c r="P271" i="24"/>
  <c r="P281" i="24"/>
  <c r="P293" i="24"/>
  <c r="P302" i="24"/>
  <c r="P314" i="24"/>
  <c r="P324" i="24"/>
  <c r="Q103" i="24"/>
  <c r="Q222" i="24"/>
  <c r="Q319" i="24"/>
  <c r="P89" i="24"/>
  <c r="P171" i="24"/>
  <c r="P207" i="24"/>
  <c r="P240" i="24"/>
  <c r="P272" i="24"/>
  <c r="P305" i="24"/>
  <c r="Q106" i="24"/>
  <c r="Q223" i="24"/>
  <c r="Q322" i="24"/>
  <c r="P90" i="24"/>
  <c r="P209" i="24"/>
  <c r="P242" i="24"/>
  <c r="P273" i="24"/>
  <c r="P187" i="24"/>
  <c r="P229" i="24"/>
  <c r="P326" i="24"/>
  <c r="P173" i="24"/>
  <c r="P307" i="24"/>
  <c r="P123" i="24"/>
  <c r="P285" i="24"/>
  <c r="Q51" i="24"/>
  <c r="Q153" i="24"/>
  <c r="Q255" i="24"/>
  <c r="P24" i="24"/>
  <c r="P121" i="24"/>
  <c r="P186" i="24"/>
  <c r="P218" i="24"/>
  <c r="P251" i="24"/>
  <c r="P283" i="24"/>
  <c r="P315" i="24"/>
  <c r="Q155" i="24"/>
  <c r="Q257" i="24"/>
  <c r="P25" i="24"/>
  <c r="P221" i="24"/>
  <c r="P317" i="24"/>
  <c r="Q190" i="24"/>
  <c r="Q287" i="24"/>
  <c r="P56" i="24"/>
  <c r="P150" i="24"/>
  <c r="P197" i="24"/>
  <c r="P261" i="24"/>
  <c r="Q55" i="24"/>
  <c r="Q192" i="24"/>
  <c r="Q288" i="24"/>
  <c r="P59" i="24"/>
  <c r="P151" i="24"/>
  <c r="P199" i="24"/>
  <c r="P230" i="24"/>
  <c r="P264" i="24"/>
  <c r="P295" i="24"/>
  <c r="P329" i="24"/>
  <c r="P252" i="24"/>
  <c r="P294" i="24"/>
  <c r="L336" i="23"/>
  <c r="J336" i="23"/>
  <c r="K336" i="23"/>
  <c r="M3" i="24" l="1"/>
  <c r="G382" i="24" s="1"/>
  <c r="Z3" i="24"/>
  <c r="W8" i="24"/>
  <c r="W14" i="24"/>
  <c r="W11" i="24"/>
  <c r="W18" i="24"/>
  <c r="W24" i="24"/>
  <c r="W30" i="24"/>
  <c r="W36" i="24"/>
  <c r="W42" i="24"/>
  <c r="W48" i="24"/>
  <c r="W54" i="24"/>
  <c r="W60" i="24"/>
  <c r="W66" i="24"/>
  <c r="W72" i="24"/>
  <c r="W78" i="24"/>
  <c r="W84" i="24"/>
  <c r="W90" i="24"/>
  <c r="W96" i="24"/>
  <c r="W102" i="24"/>
  <c r="W108" i="24"/>
  <c r="W114" i="24"/>
  <c r="W120" i="24"/>
  <c r="W126" i="24"/>
  <c r="W132" i="24"/>
  <c r="W138" i="24"/>
  <c r="W144" i="24"/>
  <c r="W150" i="24"/>
  <c r="W156" i="24"/>
  <c r="W162" i="24"/>
  <c r="W168" i="24"/>
  <c r="W174" i="24"/>
  <c r="W180" i="24"/>
  <c r="W186" i="24"/>
  <c r="W192" i="24"/>
  <c r="W198" i="24"/>
  <c r="W204" i="24"/>
  <c r="W210" i="24"/>
  <c r="W216" i="24"/>
  <c r="W222" i="24"/>
  <c r="W228" i="24"/>
  <c r="W10" i="24"/>
  <c r="W17" i="24"/>
  <c r="W23" i="24"/>
  <c r="W29" i="24"/>
  <c r="W35" i="24"/>
  <c r="W41" i="24"/>
  <c r="W47" i="24"/>
  <c r="W53" i="24"/>
  <c r="W59" i="24"/>
  <c r="W65" i="24"/>
  <c r="W71" i="24"/>
  <c r="W77" i="24"/>
  <c r="W83" i="24"/>
  <c r="W89" i="24"/>
  <c r="W95" i="24"/>
  <c r="W101" i="24"/>
  <c r="W107" i="24"/>
  <c r="W113" i="24"/>
  <c r="W119" i="24"/>
  <c r="W125" i="24"/>
  <c r="W131" i="24"/>
  <c r="W137" i="24"/>
  <c r="W143" i="24"/>
  <c r="W149" i="24"/>
  <c r="W155" i="24"/>
  <c r="W161" i="24"/>
  <c r="W167" i="24"/>
  <c r="W173" i="24"/>
  <c r="W179" i="24"/>
  <c r="W185" i="24"/>
  <c r="W191" i="24"/>
  <c r="W197" i="24"/>
  <c r="W203" i="24"/>
  <c r="W209" i="24"/>
  <c r="W215" i="24"/>
  <c r="W221" i="24"/>
  <c r="W227" i="24"/>
  <c r="W233" i="24"/>
  <c r="W239" i="24"/>
  <c r="W245" i="24"/>
  <c r="W251" i="24"/>
  <c r="W257" i="24"/>
  <c r="W263" i="24"/>
  <c r="W269" i="24"/>
  <c r="W275" i="24"/>
  <c r="W281" i="24"/>
  <c r="W287" i="24"/>
  <c r="W293" i="24"/>
  <c r="W299" i="24"/>
  <c r="W305" i="24"/>
  <c r="W311" i="24"/>
  <c r="W317" i="24"/>
  <c r="W323" i="24"/>
  <c r="W329" i="24"/>
  <c r="V8" i="24"/>
  <c r="V14" i="24"/>
  <c r="V20" i="24"/>
  <c r="V26" i="24"/>
  <c r="V32" i="24"/>
  <c r="V38" i="24"/>
  <c r="V44" i="24"/>
  <c r="V50" i="24"/>
  <c r="V56" i="24"/>
  <c r="V62" i="24"/>
  <c r="V68" i="24"/>
  <c r="V74" i="24"/>
  <c r="V80" i="24"/>
  <c r="V86" i="24"/>
  <c r="V92" i="24"/>
  <c r="V98" i="24"/>
  <c r="V104" i="24"/>
  <c r="V110" i="24"/>
  <c r="V116" i="24"/>
  <c r="V122" i="24"/>
  <c r="V128" i="24"/>
  <c r="V134" i="24"/>
  <c r="V140" i="24"/>
  <c r="V146" i="24"/>
  <c r="V152" i="24"/>
  <c r="V158" i="24"/>
  <c r="V164" i="24"/>
  <c r="V170" i="24"/>
  <c r="V176" i="24"/>
  <c r="V182" i="24"/>
  <c r="V188" i="24"/>
  <c r="V194" i="24"/>
  <c r="V200" i="24"/>
  <c r="V206" i="24"/>
  <c r="V212" i="24"/>
  <c r="V218" i="24"/>
  <c r="V224" i="24"/>
  <c r="V230" i="24"/>
  <c r="V236" i="24"/>
  <c r="V242" i="24"/>
  <c r="V248" i="24"/>
  <c r="V254" i="24"/>
  <c r="V260" i="24"/>
  <c r="V266" i="24"/>
  <c r="V272" i="24"/>
  <c r="V278" i="24"/>
  <c r="V284" i="24"/>
  <c r="V290" i="24"/>
  <c r="V296" i="24"/>
  <c r="V302" i="24"/>
  <c r="V308" i="24"/>
  <c r="V314" i="24"/>
  <c r="V320" i="24"/>
  <c r="V326" i="24"/>
  <c r="W5" i="24"/>
  <c r="W15" i="24"/>
  <c r="W25" i="24"/>
  <c r="W33" i="24"/>
  <c r="W43" i="24"/>
  <c r="W51" i="24"/>
  <c r="W61" i="24"/>
  <c r="W69" i="24"/>
  <c r="W79" i="24"/>
  <c r="W87" i="24"/>
  <c r="W97" i="24"/>
  <c r="W105" i="24"/>
  <c r="W115" i="24"/>
  <c r="W123" i="24"/>
  <c r="W133" i="24"/>
  <c r="W141" i="24"/>
  <c r="W151" i="24"/>
  <c r="W159" i="24"/>
  <c r="W169" i="24"/>
  <c r="W177" i="24"/>
  <c r="W187" i="24"/>
  <c r="W195" i="24"/>
  <c r="W205" i="24"/>
  <c r="W213" i="24"/>
  <c r="W223" i="24"/>
  <c r="W231" i="24"/>
  <c r="W238" i="24"/>
  <c r="W246" i="24"/>
  <c r="W253" i="24"/>
  <c r="W260" i="24"/>
  <c r="W267" i="24"/>
  <c r="W274" i="24"/>
  <c r="W282" i="24"/>
  <c r="W289" i="24"/>
  <c r="W296" i="24"/>
  <c r="W303" i="24"/>
  <c r="W310" i="24"/>
  <c r="W318" i="24"/>
  <c r="W325" i="24"/>
  <c r="V5" i="24"/>
  <c r="V12" i="24"/>
  <c r="V19" i="24"/>
  <c r="V27" i="24"/>
  <c r="V34" i="24"/>
  <c r="V41" i="24"/>
  <c r="V48" i="24"/>
  <c r="V55" i="24"/>
  <c r="V63" i="24"/>
  <c r="V70" i="24"/>
  <c r="V77" i="24"/>
  <c r="V84" i="24"/>
  <c r="V91" i="24"/>
  <c r="V99" i="24"/>
  <c r="V106" i="24"/>
  <c r="V113" i="24"/>
  <c r="V120" i="24"/>
  <c r="V127" i="24"/>
  <c r="V135" i="24"/>
  <c r="V142" i="24"/>
  <c r="V149" i="24"/>
  <c r="V156" i="24"/>
  <c r="V163" i="24"/>
  <c r="V171" i="24"/>
  <c r="V178" i="24"/>
  <c r="V185" i="24"/>
  <c r="V192" i="24"/>
  <c r="V199" i="24"/>
  <c r="W6" i="24"/>
  <c r="W16" i="24"/>
  <c r="W26" i="24"/>
  <c r="W34" i="24"/>
  <c r="W44" i="24"/>
  <c r="W52" i="24"/>
  <c r="W62" i="24"/>
  <c r="W70" i="24"/>
  <c r="W80" i="24"/>
  <c r="W88" i="24"/>
  <c r="W98" i="24"/>
  <c r="W106" i="24"/>
  <c r="W116" i="24"/>
  <c r="W124" i="24"/>
  <c r="W134" i="24"/>
  <c r="W142" i="24"/>
  <c r="W152" i="24"/>
  <c r="W160" i="24"/>
  <c r="W170" i="24"/>
  <c r="W178" i="24"/>
  <c r="W188" i="24"/>
  <c r="W196" i="24"/>
  <c r="W206" i="24"/>
  <c r="W214" i="24"/>
  <c r="W224" i="24"/>
  <c r="W232" i="24"/>
  <c r="W240" i="24"/>
  <c r="W247" i="24"/>
  <c r="W254" i="24"/>
  <c r="W261" i="24"/>
  <c r="W268" i="24"/>
  <c r="W276" i="24"/>
  <c r="W283" i="24"/>
  <c r="W290" i="24"/>
  <c r="W297" i="24"/>
  <c r="W304" i="24"/>
  <c r="W312" i="24"/>
  <c r="W319" i="24"/>
  <c r="W326" i="24"/>
  <c r="V6" i="24"/>
  <c r="V13" i="24"/>
  <c r="V21" i="24"/>
  <c r="V28" i="24"/>
  <c r="V35" i="24"/>
  <c r="V42" i="24"/>
  <c r="V49" i="24"/>
  <c r="V57" i="24"/>
  <c r="V64" i="24"/>
  <c r="V71" i="24"/>
  <c r="V78" i="24"/>
  <c r="V85" i="24"/>
  <c r="V93" i="24"/>
  <c r="V100" i="24"/>
  <c r="V107" i="24"/>
  <c r="V114" i="24"/>
  <c r="V121" i="24"/>
  <c r="V129" i="24"/>
  <c r="V136" i="24"/>
  <c r="V143" i="24"/>
  <c r="V150" i="24"/>
  <c r="V157" i="24"/>
  <c r="V165" i="24"/>
  <c r="V172" i="24"/>
  <c r="V179" i="24"/>
  <c r="V186" i="24"/>
  <c r="V193" i="24"/>
  <c r="V201" i="24"/>
  <c r="W7" i="24"/>
  <c r="W19" i="24"/>
  <c r="W27" i="24"/>
  <c r="W37" i="24"/>
  <c r="W45" i="24"/>
  <c r="W55" i="24"/>
  <c r="W63" i="24"/>
  <c r="W73" i="24"/>
  <c r="W81" i="24"/>
  <c r="W91" i="24"/>
  <c r="W99" i="24"/>
  <c r="W109" i="24"/>
  <c r="W117" i="24"/>
  <c r="W127" i="24"/>
  <c r="W135" i="24"/>
  <c r="W145" i="24"/>
  <c r="W153" i="24"/>
  <c r="W163" i="24"/>
  <c r="W171" i="24"/>
  <c r="W181" i="24"/>
  <c r="W189" i="24"/>
  <c r="W199" i="24"/>
  <c r="W207" i="24"/>
  <c r="W217" i="24"/>
  <c r="W225" i="24"/>
  <c r="W234" i="24"/>
  <c r="W241" i="24"/>
  <c r="W13" i="24"/>
  <c r="W22" i="24"/>
  <c r="W32" i="24"/>
  <c r="W40" i="24"/>
  <c r="W50" i="24"/>
  <c r="W58" i="24"/>
  <c r="W68" i="24"/>
  <c r="W76" i="24"/>
  <c r="W86" i="24"/>
  <c r="W94" i="24"/>
  <c r="W104" i="24"/>
  <c r="W112" i="24"/>
  <c r="W122" i="24"/>
  <c r="W130" i="24"/>
  <c r="W140" i="24"/>
  <c r="W148" i="24"/>
  <c r="W158" i="24"/>
  <c r="W166" i="24"/>
  <c r="W176" i="24"/>
  <c r="W184" i="24"/>
  <c r="W194" i="24"/>
  <c r="W202" i="24"/>
  <c r="W212" i="24"/>
  <c r="W220" i="24"/>
  <c r="W230" i="24"/>
  <c r="W237" i="24"/>
  <c r="W244" i="24"/>
  <c r="W252" i="24"/>
  <c r="W259" i="24"/>
  <c r="W266" i="24"/>
  <c r="W273" i="24"/>
  <c r="W280" i="24"/>
  <c r="W288" i="24"/>
  <c r="W295" i="24"/>
  <c r="W302" i="24"/>
  <c r="W309" i="24"/>
  <c r="W316" i="24"/>
  <c r="W324" i="24"/>
  <c r="W4" i="24"/>
  <c r="V11" i="24"/>
  <c r="V18" i="24"/>
  <c r="V25" i="24"/>
  <c r="V33" i="24"/>
  <c r="V40" i="24"/>
  <c r="V47" i="24"/>
  <c r="V54" i="24"/>
  <c r="V61" i="24"/>
  <c r="V69" i="24"/>
  <c r="V76" i="24"/>
  <c r="V83" i="24"/>
  <c r="V90" i="24"/>
  <c r="V97" i="24"/>
  <c r="V105" i="24"/>
  <c r="V112" i="24"/>
  <c r="V119" i="24"/>
  <c r="V126" i="24"/>
  <c r="V133" i="24"/>
  <c r="V141" i="24"/>
  <c r="V148" i="24"/>
  <c r="V155" i="24"/>
  <c r="V162" i="24"/>
  <c r="V169" i="24"/>
  <c r="V177" i="24"/>
  <c r="V184" i="24"/>
  <c r="V191" i="24"/>
  <c r="V198" i="24"/>
  <c r="V205" i="24"/>
  <c r="V213" i="24"/>
  <c r="V220" i="24"/>
  <c r="V227" i="24"/>
  <c r="V234" i="24"/>
  <c r="V241" i="24"/>
  <c r="V249" i="24"/>
  <c r="V256" i="24"/>
  <c r="V263" i="24"/>
  <c r="V270" i="24"/>
  <c r="V277" i="24"/>
  <c r="V285" i="24"/>
  <c r="V292" i="24"/>
  <c r="V299" i="24"/>
  <c r="V306" i="24"/>
  <c r="V313" i="24"/>
  <c r="V321" i="24"/>
  <c r="V328" i="24"/>
  <c r="W31" i="24"/>
  <c r="W57" i="24"/>
  <c r="W85" i="24"/>
  <c r="W111" i="24"/>
  <c r="W139" i="24"/>
  <c r="W165" i="24"/>
  <c r="W193" i="24"/>
  <c r="W219" i="24"/>
  <c r="W243" i="24"/>
  <c r="W258" i="24"/>
  <c r="W272" i="24"/>
  <c r="W286" i="24"/>
  <c r="W301" i="24"/>
  <c r="W315" i="24"/>
  <c r="W330" i="24"/>
  <c r="V17" i="24"/>
  <c r="V31" i="24"/>
  <c r="V46" i="24"/>
  <c r="V60" i="24"/>
  <c r="V75" i="24"/>
  <c r="V89" i="24"/>
  <c r="V103" i="24"/>
  <c r="V118" i="24"/>
  <c r="V132" i="24"/>
  <c r="V147" i="24"/>
  <c r="V161" i="24"/>
  <c r="V175" i="24"/>
  <c r="V190" i="24"/>
  <c r="V204" i="24"/>
  <c r="V214" i="24"/>
  <c r="V222" i="24"/>
  <c r="V231" i="24"/>
  <c r="V239" i="24"/>
  <c r="V247" i="24"/>
  <c r="V257" i="24"/>
  <c r="V265" i="24"/>
  <c r="V274" i="24"/>
  <c r="V282" i="24"/>
  <c r="V291" i="24"/>
  <c r="V300" i="24"/>
  <c r="V309" i="24"/>
  <c r="V317" i="24"/>
  <c r="V325" i="24"/>
  <c r="W12" i="24"/>
  <c r="W46" i="24"/>
  <c r="W75" i="24"/>
  <c r="W110" i="24"/>
  <c r="W146" i="24"/>
  <c r="W175" i="24"/>
  <c r="W208" i="24"/>
  <c r="W236" i="24"/>
  <c r="W256" i="24"/>
  <c r="W277" i="24"/>
  <c r="W292" i="24"/>
  <c r="W308" i="24"/>
  <c r="W327" i="24"/>
  <c r="V16" i="24"/>
  <c r="V36" i="24"/>
  <c r="V52" i="24"/>
  <c r="V67" i="24"/>
  <c r="V87" i="24"/>
  <c r="V102" i="24"/>
  <c r="V123" i="24"/>
  <c r="V138" i="24"/>
  <c r="V154" i="24"/>
  <c r="V173" i="24"/>
  <c r="V189" i="24"/>
  <c r="V207" i="24"/>
  <c r="V216" i="24"/>
  <c r="V226" i="24"/>
  <c r="V237" i="24"/>
  <c r="V246" i="24"/>
  <c r="V258" i="24"/>
  <c r="V268" i="24"/>
  <c r="V279" i="24"/>
  <c r="V288" i="24"/>
  <c r="V298" i="24"/>
  <c r="V310" i="24"/>
  <c r="V319" i="24"/>
  <c r="V330" i="24"/>
  <c r="W20" i="24"/>
  <c r="W49" i="24"/>
  <c r="W82" i="24"/>
  <c r="W118" i="24"/>
  <c r="W147" i="24"/>
  <c r="W182" i="24"/>
  <c r="W211" i="24"/>
  <c r="W242" i="24"/>
  <c r="W262" i="24"/>
  <c r="W278" i="24"/>
  <c r="W294" i="24"/>
  <c r="W313" i="24"/>
  <c r="W328" i="24"/>
  <c r="V22" i="24"/>
  <c r="V37" i="24"/>
  <c r="V53" i="24"/>
  <c r="V72" i="24"/>
  <c r="V88" i="24"/>
  <c r="V108" i="24"/>
  <c r="V124" i="24"/>
  <c r="V139" i="24"/>
  <c r="V159" i="24"/>
  <c r="V174" i="24"/>
  <c r="V195" i="24"/>
  <c r="V208" i="24"/>
  <c r="V217" i="24"/>
  <c r="V228" i="24"/>
  <c r="V238" i="24"/>
  <c r="V250" i="24"/>
  <c r="V259" i="24"/>
  <c r="V269" i="24"/>
  <c r="V280" i="24"/>
  <c r="V289" i="24"/>
  <c r="V301" i="24"/>
  <c r="V311" i="24"/>
  <c r="V322" i="24"/>
  <c r="V4" i="24"/>
  <c r="W21" i="24"/>
  <c r="W38" i="24"/>
  <c r="W67" i="24"/>
  <c r="W100" i="24"/>
  <c r="W129" i="24"/>
  <c r="W164" i="24"/>
  <c r="W200" i="24"/>
  <c r="W229" i="24"/>
  <c r="W250" i="24"/>
  <c r="W270" i="24"/>
  <c r="W285" i="24"/>
  <c r="W306" i="24"/>
  <c r="W321" i="24"/>
  <c r="V10" i="24"/>
  <c r="V29" i="24"/>
  <c r="V45" i="24"/>
  <c r="V65" i="24"/>
  <c r="V81" i="24"/>
  <c r="V96" i="24"/>
  <c r="V115" i="24"/>
  <c r="V131" i="24"/>
  <c r="V151" i="24"/>
  <c r="V167" i="24"/>
  <c r="V183" i="24"/>
  <c r="V202" i="24"/>
  <c r="V211" i="24"/>
  <c r="V223" i="24"/>
  <c r="V233" i="24"/>
  <c r="V244" i="24"/>
  <c r="V253" i="24"/>
  <c r="V264" i="24"/>
  <c r="V275" i="24"/>
  <c r="V286" i="24"/>
  <c r="V295" i="24"/>
  <c r="V305" i="24"/>
  <c r="V316" i="24"/>
  <c r="V327" i="24"/>
  <c r="W39" i="24"/>
  <c r="W103" i="24"/>
  <c r="W172" i="24"/>
  <c r="W235" i="24"/>
  <c r="W271" i="24"/>
  <c r="W307" i="24"/>
  <c r="V15" i="24"/>
  <c r="V51" i="24"/>
  <c r="V82" i="24"/>
  <c r="V117" i="24"/>
  <c r="V153" i="24"/>
  <c r="V187" i="24"/>
  <c r="V215" i="24"/>
  <c r="V235" i="24"/>
  <c r="V255" i="24"/>
  <c r="V276" i="24"/>
  <c r="V297" i="24"/>
  <c r="V318" i="24"/>
  <c r="W56" i="24"/>
  <c r="W121" i="24"/>
  <c r="W183" i="24"/>
  <c r="W248" i="24"/>
  <c r="W279" i="24"/>
  <c r="W64" i="24"/>
  <c r="W128" i="24"/>
  <c r="W190" i="24"/>
  <c r="W249" i="24"/>
  <c r="W284" i="24"/>
  <c r="W320" i="24"/>
  <c r="V24" i="24"/>
  <c r="V59" i="24"/>
  <c r="V95" i="24"/>
  <c r="V130" i="24"/>
  <c r="V166" i="24"/>
  <c r="V197" i="24"/>
  <c r="V221" i="24"/>
  <c r="V243" i="24"/>
  <c r="V262" i="24"/>
  <c r="V283" i="24"/>
  <c r="V304" i="24"/>
  <c r="V324" i="24"/>
  <c r="W74" i="24"/>
  <c r="W136" i="24"/>
  <c r="W201" i="24"/>
  <c r="W255" i="24"/>
  <c r="W291" i="24"/>
  <c r="W322" i="24"/>
  <c r="V30" i="24"/>
  <c r="V66" i="24"/>
  <c r="V101" i="24"/>
  <c r="V137" i="24"/>
  <c r="V168" i="24"/>
  <c r="V203" i="24"/>
  <c r="V225" i="24"/>
  <c r="V245" i="24"/>
  <c r="V267" i="24"/>
  <c r="V287" i="24"/>
  <c r="V307" i="24"/>
  <c r="V329" i="24"/>
  <c r="W154" i="24"/>
  <c r="W298" i="24"/>
  <c r="V39" i="24"/>
  <c r="V109" i="24"/>
  <c r="V180" i="24"/>
  <c r="V229" i="24"/>
  <c r="V271" i="24"/>
  <c r="V312" i="24"/>
  <c r="W157" i="24"/>
  <c r="W300" i="24"/>
  <c r="V43" i="24"/>
  <c r="V111" i="24"/>
  <c r="V181" i="24"/>
  <c r="V232" i="24"/>
  <c r="V273" i="24"/>
  <c r="V315" i="24"/>
  <c r="W9" i="24"/>
  <c r="W218" i="24"/>
  <c r="W314" i="24"/>
  <c r="V58" i="24"/>
  <c r="V125" i="24"/>
  <c r="V196" i="24"/>
  <c r="V240" i="24"/>
  <c r="V281" i="24"/>
  <c r="V323" i="24"/>
  <c r="W28" i="24"/>
  <c r="W226" i="24"/>
  <c r="V7" i="24"/>
  <c r="V73" i="24"/>
  <c r="V144" i="24"/>
  <c r="V209" i="24"/>
  <c r="V251" i="24"/>
  <c r="V293" i="24"/>
  <c r="W92" i="24"/>
  <c r="V79" i="24"/>
  <c r="V252" i="24"/>
  <c r="W93" i="24"/>
  <c r="V94" i="24"/>
  <c r="V261" i="24"/>
  <c r="W264" i="24"/>
  <c r="V145" i="24"/>
  <c r="V294" i="24"/>
  <c r="W265" i="24"/>
  <c r="V160" i="24"/>
  <c r="V303" i="24"/>
  <c r="V9" i="24"/>
  <c r="V23" i="24"/>
  <c r="V219" i="24"/>
  <c r="V210" i="24"/>
  <c r="S10" i="24"/>
  <c r="T10" i="24" s="1"/>
  <c r="S16" i="24"/>
  <c r="T16" i="24" s="1"/>
  <c r="S22" i="24"/>
  <c r="T22" i="24" s="1"/>
  <c r="S28" i="24"/>
  <c r="T28" i="24" s="1"/>
  <c r="S34" i="24"/>
  <c r="T34" i="24" s="1"/>
  <c r="S40" i="24"/>
  <c r="T40" i="24" s="1"/>
  <c r="S46" i="24"/>
  <c r="T46" i="24" s="1"/>
  <c r="S52" i="24"/>
  <c r="T52" i="24" s="1"/>
  <c r="S58" i="24"/>
  <c r="T58" i="24" s="1"/>
  <c r="S8" i="24"/>
  <c r="T8" i="24" s="1"/>
  <c r="S15" i="24"/>
  <c r="T15" i="24" s="1"/>
  <c r="S23" i="24"/>
  <c r="T23" i="24" s="1"/>
  <c r="S30" i="24"/>
  <c r="T30" i="24" s="1"/>
  <c r="S37" i="24"/>
  <c r="T37" i="24" s="1"/>
  <c r="S44" i="24"/>
  <c r="T44" i="24" s="1"/>
  <c r="S51" i="24"/>
  <c r="T51" i="24" s="1"/>
  <c r="S59" i="24"/>
  <c r="T59" i="24" s="1"/>
  <c r="S65" i="24"/>
  <c r="T65" i="24" s="1"/>
  <c r="S71" i="24"/>
  <c r="T71" i="24" s="1"/>
  <c r="S77" i="24"/>
  <c r="T77" i="24" s="1"/>
  <c r="S83" i="24"/>
  <c r="T83" i="24" s="1"/>
  <c r="S89" i="24"/>
  <c r="T89" i="24" s="1"/>
  <c r="S95" i="24"/>
  <c r="T95" i="24" s="1"/>
  <c r="S101" i="24"/>
  <c r="T101" i="24" s="1"/>
  <c r="S107" i="24"/>
  <c r="T107" i="24" s="1"/>
  <c r="S113" i="24"/>
  <c r="T113" i="24" s="1"/>
  <c r="S119" i="24"/>
  <c r="T119" i="24" s="1"/>
  <c r="S125" i="24"/>
  <c r="T125" i="24" s="1"/>
  <c r="S131" i="24"/>
  <c r="T131" i="24" s="1"/>
  <c r="S137" i="24"/>
  <c r="T137" i="24" s="1"/>
  <c r="S143" i="24"/>
  <c r="T143" i="24" s="1"/>
  <c r="S149" i="24"/>
  <c r="T149" i="24" s="1"/>
  <c r="S155" i="24"/>
  <c r="T155" i="24" s="1"/>
  <c r="S161" i="24"/>
  <c r="T161" i="24" s="1"/>
  <c r="S167" i="24"/>
  <c r="T167" i="24" s="1"/>
  <c r="S173" i="24"/>
  <c r="T173" i="24" s="1"/>
  <c r="S179" i="24"/>
  <c r="T179" i="24" s="1"/>
  <c r="S185" i="24"/>
  <c r="T185" i="24" s="1"/>
  <c r="S191" i="24"/>
  <c r="T191" i="24" s="1"/>
  <c r="S197" i="24"/>
  <c r="T197" i="24" s="1"/>
  <c r="S203" i="24"/>
  <c r="T203" i="24" s="1"/>
  <c r="S209" i="24"/>
  <c r="T209" i="24" s="1"/>
  <c r="S215" i="24"/>
  <c r="T215" i="24" s="1"/>
  <c r="S221" i="24"/>
  <c r="T221" i="24" s="1"/>
  <c r="S227" i="24"/>
  <c r="T227" i="24" s="1"/>
  <c r="S233" i="24"/>
  <c r="T233" i="24" s="1"/>
  <c r="S239" i="24"/>
  <c r="T239" i="24" s="1"/>
  <c r="S245" i="24"/>
  <c r="T245" i="24" s="1"/>
  <c r="S251" i="24"/>
  <c r="T251" i="24" s="1"/>
  <c r="S257" i="24"/>
  <c r="T257" i="24" s="1"/>
  <c r="S263" i="24"/>
  <c r="T263" i="24" s="1"/>
  <c r="S269" i="24"/>
  <c r="T269" i="24" s="1"/>
  <c r="S275" i="24"/>
  <c r="T275" i="24" s="1"/>
  <c r="S281" i="24"/>
  <c r="T281" i="24" s="1"/>
  <c r="S287" i="24"/>
  <c r="T287" i="24" s="1"/>
  <c r="S293" i="24"/>
  <c r="T293" i="24" s="1"/>
  <c r="S299" i="24"/>
  <c r="T299" i="24" s="1"/>
  <c r="S305" i="24"/>
  <c r="T305" i="24" s="1"/>
  <c r="S311" i="24"/>
  <c r="T311" i="24" s="1"/>
  <c r="S317" i="24"/>
  <c r="T317" i="24" s="1"/>
  <c r="S323" i="24"/>
  <c r="T323" i="24" s="1"/>
  <c r="S329" i="24"/>
  <c r="T329" i="24" s="1"/>
  <c r="S9" i="24"/>
  <c r="T9" i="24" s="1"/>
  <c r="S18" i="24"/>
  <c r="T18" i="24" s="1"/>
  <c r="S26" i="24"/>
  <c r="T26" i="24" s="1"/>
  <c r="S35" i="24"/>
  <c r="T35" i="24" s="1"/>
  <c r="S43" i="24"/>
  <c r="T43" i="24" s="1"/>
  <c r="S53" i="24"/>
  <c r="T53" i="24" s="1"/>
  <c r="S61" i="24"/>
  <c r="T61" i="24" s="1"/>
  <c r="S68" i="24"/>
  <c r="T68" i="24" s="1"/>
  <c r="S75" i="24"/>
  <c r="T75" i="24" s="1"/>
  <c r="S82" i="24"/>
  <c r="T82" i="24" s="1"/>
  <c r="S90" i="24"/>
  <c r="T90" i="24" s="1"/>
  <c r="S97" i="24"/>
  <c r="T97" i="24" s="1"/>
  <c r="S104" i="24"/>
  <c r="T104" i="24" s="1"/>
  <c r="S111" i="24"/>
  <c r="T111" i="24" s="1"/>
  <c r="S118" i="24"/>
  <c r="T118" i="24" s="1"/>
  <c r="S11" i="24"/>
  <c r="T11" i="24" s="1"/>
  <c r="S19" i="24"/>
  <c r="T19" i="24" s="1"/>
  <c r="S27" i="24"/>
  <c r="T27" i="24" s="1"/>
  <c r="S36" i="24"/>
  <c r="T36" i="24" s="1"/>
  <c r="S45" i="24"/>
  <c r="T45" i="24" s="1"/>
  <c r="S54" i="24"/>
  <c r="T54" i="24" s="1"/>
  <c r="S62" i="24"/>
  <c r="T62" i="24" s="1"/>
  <c r="S69" i="24"/>
  <c r="T69" i="24" s="1"/>
  <c r="S76" i="24"/>
  <c r="T76" i="24" s="1"/>
  <c r="S84" i="24"/>
  <c r="T84" i="24" s="1"/>
  <c r="S91" i="24"/>
  <c r="T91" i="24" s="1"/>
  <c r="S6" i="24"/>
  <c r="T6" i="24" s="1"/>
  <c r="S14" i="24"/>
  <c r="T14" i="24" s="1"/>
  <c r="S24" i="24"/>
  <c r="T24" i="24" s="1"/>
  <c r="S32" i="24"/>
  <c r="T32" i="24" s="1"/>
  <c r="S41" i="24"/>
  <c r="T41" i="24" s="1"/>
  <c r="S49" i="24"/>
  <c r="T49" i="24" s="1"/>
  <c r="S57" i="24"/>
  <c r="T57" i="24" s="1"/>
  <c r="S66" i="24"/>
  <c r="T66" i="24" s="1"/>
  <c r="S73" i="24"/>
  <c r="T73" i="24" s="1"/>
  <c r="S80" i="24"/>
  <c r="T80" i="24" s="1"/>
  <c r="S87" i="24"/>
  <c r="T87" i="24" s="1"/>
  <c r="S94" i="24"/>
  <c r="T94" i="24" s="1"/>
  <c r="S102" i="24"/>
  <c r="T102" i="24" s="1"/>
  <c r="S109" i="24"/>
  <c r="T109" i="24" s="1"/>
  <c r="S116" i="24"/>
  <c r="T116" i="24" s="1"/>
  <c r="S123" i="24"/>
  <c r="T123" i="24" s="1"/>
  <c r="S130" i="24"/>
  <c r="T130" i="24" s="1"/>
  <c r="S138" i="24"/>
  <c r="T138" i="24" s="1"/>
  <c r="S145" i="24"/>
  <c r="T145" i="24" s="1"/>
  <c r="S152" i="24"/>
  <c r="T152" i="24" s="1"/>
  <c r="S159" i="24"/>
  <c r="T159" i="24" s="1"/>
  <c r="S166" i="24"/>
  <c r="T166" i="24" s="1"/>
  <c r="S174" i="24"/>
  <c r="T174" i="24" s="1"/>
  <c r="S181" i="24"/>
  <c r="T181" i="24" s="1"/>
  <c r="S188" i="24"/>
  <c r="T188" i="24" s="1"/>
  <c r="S195" i="24"/>
  <c r="T195" i="24" s="1"/>
  <c r="S202" i="24"/>
  <c r="T202" i="24" s="1"/>
  <c r="S210" i="24"/>
  <c r="T210" i="24" s="1"/>
  <c r="S217" i="24"/>
  <c r="T217" i="24" s="1"/>
  <c r="S224" i="24"/>
  <c r="T224" i="24" s="1"/>
  <c r="S231" i="24"/>
  <c r="T231" i="24" s="1"/>
  <c r="S238" i="24"/>
  <c r="T238" i="24" s="1"/>
  <c r="S246" i="24"/>
  <c r="T246" i="24" s="1"/>
  <c r="S253" i="24"/>
  <c r="T253" i="24" s="1"/>
  <c r="S260" i="24"/>
  <c r="T260" i="24" s="1"/>
  <c r="S267" i="24"/>
  <c r="T267" i="24" s="1"/>
  <c r="S274" i="24"/>
  <c r="T274" i="24" s="1"/>
  <c r="S282" i="24"/>
  <c r="T282" i="24" s="1"/>
  <c r="S289" i="24"/>
  <c r="T289" i="24" s="1"/>
  <c r="S296" i="24"/>
  <c r="T296" i="24" s="1"/>
  <c r="S303" i="24"/>
  <c r="T303" i="24" s="1"/>
  <c r="S310" i="24"/>
  <c r="T310" i="24" s="1"/>
  <c r="S318" i="24"/>
  <c r="T318" i="24" s="1"/>
  <c r="S325" i="24"/>
  <c r="T325" i="24" s="1"/>
  <c r="S3" i="24"/>
  <c r="S7" i="24"/>
  <c r="T7" i="24" s="1"/>
  <c r="S25" i="24"/>
  <c r="T25" i="24" s="1"/>
  <c r="S42" i="24"/>
  <c r="T42" i="24" s="1"/>
  <c r="S60" i="24"/>
  <c r="T60" i="24" s="1"/>
  <c r="S74" i="24"/>
  <c r="T74" i="24" s="1"/>
  <c r="S88" i="24"/>
  <c r="T88" i="24" s="1"/>
  <c r="S100" i="24"/>
  <c r="T100" i="24" s="1"/>
  <c r="S112" i="24"/>
  <c r="T112" i="24" s="1"/>
  <c r="S122" i="24"/>
  <c r="T122" i="24" s="1"/>
  <c r="S132" i="24"/>
  <c r="T132" i="24" s="1"/>
  <c r="S140" i="24"/>
  <c r="T140" i="24" s="1"/>
  <c r="S148" i="24"/>
  <c r="T148" i="24" s="1"/>
  <c r="S157" i="24"/>
  <c r="T157" i="24" s="1"/>
  <c r="S165" i="24"/>
  <c r="T165" i="24" s="1"/>
  <c r="S175" i="24"/>
  <c r="T175" i="24" s="1"/>
  <c r="S183" i="24"/>
  <c r="T183" i="24" s="1"/>
  <c r="S192" i="24"/>
  <c r="T192" i="24" s="1"/>
  <c r="S200" i="24"/>
  <c r="T200" i="24" s="1"/>
  <c r="S208" i="24"/>
  <c r="T208" i="24" s="1"/>
  <c r="S218" i="24"/>
  <c r="T218" i="24" s="1"/>
  <c r="S226" i="24"/>
  <c r="T226" i="24" s="1"/>
  <c r="S235" i="24"/>
  <c r="T235" i="24" s="1"/>
  <c r="S243" i="24"/>
  <c r="T243" i="24" s="1"/>
  <c r="S252" i="24"/>
  <c r="T252" i="24" s="1"/>
  <c r="S261" i="24"/>
  <c r="T261" i="24" s="1"/>
  <c r="S270" i="24"/>
  <c r="T270" i="24" s="1"/>
  <c r="S278" i="24"/>
  <c r="T278" i="24" s="1"/>
  <c r="S286" i="24"/>
  <c r="T286" i="24" s="1"/>
  <c r="S295" i="24"/>
  <c r="T295" i="24" s="1"/>
  <c r="S304" i="24"/>
  <c r="T304" i="24" s="1"/>
  <c r="S313" i="24"/>
  <c r="T313" i="24" s="1"/>
  <c r="S321" i="24"/>
  <c r="T321" i="24" s="1"/>
  <c r="S330" i="24"/>
  <c r="T330" i="24" s="1"/>
  <c r="S13" i="24"/>
  <c r="T13" i="24" s="1"/>
  <c r="S31" i="24"/>
  <c r="T31" i="24" s="1"/>
  <c r="S48" i="24"/>
  <c r="T48" i="24" s="1"/>
  <c r="S64" i="24"/>
  <c r="T64" i="24" s="1"/>
  <c r="S79" i="24"/>
  <c r="T79" i="24" s="1"/>
  <c r="S93" i="24"/>
  <c r="T93" i="24" s="1"/>
  <c r="S105" i="24"/>
  <c r="T105" i="24" s="1"/>
  <c r="S115" i="24"/>
  <c r="T115" i="24" s="1"/>
  <c r="S126" i="24"/>
  <c r="T126" i="24" s="1"/>
  <c r="S134" i="24"/>
  <c r="T134" i="24" s="1"/>
  <c r="S142" i="24"/>
  <c r="T142" i="24" s="1"/>
  <c r="S151" i="24"/>
  <c r="T151" i="24" s="1"/>
  <c r="S160" i="24"/>
  <c r="T160" i="24" s="1"/>
  <c r="S169" i="24"/>
  <c r="T169" i="24" s="1"/>
  <c r="S177" i="24"/>
  <c r="T177" i="24" s="1"/>
  <c r="S186" i="24"/>
  <c r="T186" i="24" s="1"/>
  <c r="S194" i="24"/>
  <c r="T194" i="24" s="1"/>
  <c r="S204" i="24"/>
  <c r="T204" i="24" s="1"/>
  <c r="S212" i="24"/>
  <c r="T212" i="24" s="1"/>
  <c r="S220" i="24"/>
  <c r="T220" i="24" s="1"/>
  <c r="S229" i="24"/>
  <c r="T229" i="24" s="1"/>
  <c r="S237" i="24"/>
  <c r="T237" i="24" s="1"/>
  <c r="S247" i="24"/>
  <c r="T247" i="24" s="1"/>
  <c r="S255" i="24"/>
  <c r="T255" i="24" s="1"/>
  <c r="S264" i="24"/>
  <c r="T264" i="24" s="1"/>
  <c r="S272" i="24"/>
  <c r="T272" i="24" s="1"/>
  <c r="S280" i="24"/>
  <c r="T280" i="24" s="1"/>
  <c r="S290" i="24"/>
  <c r="T290" i="24" s="1"/>
  <c r="S298" i="24"/>
  <c r="T298" i="24" s="1"/>
  <c r="S307" i="24"/>
  <c r="T307" i="24" s="1"/>
  <c r="S315" i="24"/>
  <c r="T315" i="24" s="1"/>
  <c r="S324" i="24"/>
  <c r="T324" i="24" s="1"/>
  <c r="R3" i="24"/>
  <c r="S17" i="24"/>
  <c r="T17" i="24" s="1"/>
  <c r="S33" i="24"/>
  <c r="T33" i="24" s="1"/>
  <c r="S50" i="24"/>
  <c r="T50" i="24" s="1"/>
  <c r="S67" i="24"/>
  <c r="T67" i="24" s="1"/>
  <c r="S81" i="24"/>
  <c r="T81" i="24" s="1"/>
  <c r="S96" i="24"/>
  <c r="T96" i="24" s="1"/>
  <c r="S106" i="24"/>
  <c r="T106" i="24" s="1"/>
  <c r="S117" i="24"/>
  <c r="T117" i="24" s="1"/>
  <c r="S127" i="24"/>
  <c r="T127" i="24" s="1"/>
  <c r="S135" i="24"/>
  <c r="T135" i="24" s="1"/>
  <c r="S144" i="24"/>
  <c r="T144" i="24" s="1"/>
  <c r="S153" i="24"/>
  <c r="T153" i="24" s="1"/>
  <c r="S162" i="24"/>
  <c r="T162" i="24" s="1"/>
  <c r="S170" i="24"/>
  <c r="T170" i="24" s="1"/>
  <c r="S178" i="24"/>
  <c r="T178" i="24" s="1"/>
  <c r="S187" i="24"/>
  <c r="T187" i="24" s="1"/>
  <c r="S196" i="24"/>
  <c r="T196" i="24" s="1"/>
  <c r="S205" i="24"/>
  <c r="T205" i="24" s="1"/>
  <c r="S213" i="24"/>
  <c r="T213" i="24" s="1"/>
  <c r="S222" i="24"/>
  <c r="T222" i="24" s="1"/>
  <c r="S230" i="24"/>
  <c r="T230" i="24" s="1"/>
  <c r="S240" i="24"/>
  <c r="T240" i="24" s="1"/>
  <c r="S248" i="24"/>
  <c r="T248" i="24" s="1"/>
  <c r="S256" i="24"/>
  <c r="T256" i="24" s="1"/>
  <c r="S265" i="24"/>
  <c r="T265" i="24" s="1"/>
  <c r="S273" i="24"/>
  <c r="T273" i="24" s="1"/>
  <c r="S283" i="24"/>
  <c r="T283" i="24" s="1"/>
  <c r="S291" i="24"/>
  <c r="T291" i="24" s="1"/>
  <c r="S300" i="24"/>
  <c r="T300" i="24" s="1"/>
  <c r="S308" i="24"/>
  <c r="T308" i="24" s="1"/>
  <c r="S316" i="24"/>
  <c r="T316" i="24" s="1"/>
  <c r="S326" i="24"/>
  <c r="T326" i="24" s="1"/>
  <c r="S20" i="24"/>
  <c r="T20" i="24" s="1"/>
  <c r="S55" i="24"/>
  <c r="T55" i="24" s="1"/>
  <c r="S85" i="24"/>
  <c r="T85" i="24" s="1"/>
  <c r="S108" i="24"/>
  <c r="T108" i="24" s="1"/>
  <c r="S128" i="24"/>
  <c r="T128" i="24" s="1"/>
  <c r="S146" i="24"/>
  <c r="T146" i="24" s="1"/>
  <c r="S163" i="24"/>
  <c r="T163" i="24" s="1"/>
  <c r="S180" i="24"/>
  <c r="T180" i="24" s="1"/>
  <c r="S198" i="24"/>
  <c r="T198" i="24" s="1"/>
  <c r="S214" i="24"/>
  <c r="T214" i="24" s="1"/>
  <c r="S232" i="24"/>
  <c r="T232" i="24" s="1"/>
  <c r="S249" i="24"/>
  <c r="T249" i="24" s="1"/>
  <c r="S266" i="24"/>
  <c r="T266" i="24" s="1"/>
  <c r="S284" i="24"/>
  <c r="T284" i="24" s="1"/>
  <c r="S301" i="24"/>
  <c r="T301" i="24" s="1"/>
  <c r="S319" i="24"/>
  <c r="T319" i="24" s="1"/>
  <c r="S21" i="24"/>
  <c r="T21" i="24" s="1"/>
  <c r="S56" i="24"/>
  <c r="T56" i="24" s="1"/>
  <c r="S86" i="24"/>
  <c r="T86" i="24" s="1"/>
  <c r="S110" i="24"/>
  <c r="T110" i="24" s="1"/>
  <c r="S129" i="24"/>
  <c r="T129" i="24" s="1"/>
  <c r="S147" i="24"/>
  <c r="T147" i="24" s="1"/>
  <c r="S164" i="24"/>
  <c r="T164" i="24" s="1"/>
  <c r="S182" i="24"/>
  <c r="T182" i="24" s="1"/>
  <c r="S199" i="24"/>
  <c r="T199" i="24" s="1"/>
  <c r="S216" i="24"/>
  <c r="T216" i="24" s="1"/>
  <c r="S234" i="24"/>
  <c r="T234" i="24" s="1"/>
  <c r="S250" i="24"/>
  <c r="T250" i="24" s="1"/>
  <c r="S268" i="24"/>
  <c r="T268" i="24" s="1"/>
  <c r="S285" i="24"/>
  <c r="T285" i="24" s="1"/>
  <c r="S302" i="24"/>
  <c r="T302" i="24" s="1"/>
  <c r="S320" i="24"/>
  <c r="T320" i="24" s="1"/>
  <c r="S29" i="24"/>
  <c r="T29" i="24" s="1"/>
  <c r="S63" i="24"/>
  <c r="T63" i="24" s="1"/>
  <c r="S92" i="24"/>
  <c r="T92" i="24" s="1"/>
  <c r="S114" i="24"/>
  <c r="T114" i="24" s="1"/>
  <c r="S133" i="24"/>
  <c r="T133" i="24" s="1"/>
  <c r="S150" i="24"/>
  <c r="T150" i="24" s="1"/>
  <c r="S168" i="24"/>
  <c r="T168" i="24" s="1"/>
  <c r="S184" i="24"/>
  <c r="T184" i="24" s="1"/>
  <c r="S201" i="24"/>
  <c r="T201" i="24" s="1"/>
  <c r="S219" i="24"/>
  <c r="T219" i="24" s="1"/>
  <c r="S236" i="24"/>
  <c r="T236" i="24" s="1"/>
  <c r="S254" i="24"/>
  <c r="T254" i="24" s="1"/>
  <c r="S271" i="24"/>
  <c r="T271" i="24" s="1"/>
  <c r="S288" i="24"/>
  <c r="T288" i="24" s="1"/>
  <c r="S306" i="24"/>
  <c r="T306" i="24" s="1"/>
  <c r="S322" i="24"/>
  <c r="T322" i="24" s="1"/>
  <c r="S38" i="24"/>
  <c r="T38" i="24" s="1"/>
  <c r="S70" i="24"/>
  <c r="T70" i="24" s="1"/>
  <c r="S98" i="24"/>
  <c r="T98" i="24" s="1"/>
  <c r="S120" i="24"/>
  <c r="T120" i="24" s="1"/>
  <c r="S136" i="24"/>
  <c r="T136" i="24" s="1"/>
  <c r="S154" i="24"/>
  <c r="T154" i="24" s="1"/>
  <c r="S171" i="24"/>
  <c r="T171" i="24" s="1"/>
  <c r="S189" i="24"/>
  <c r="T189" i="24" s="1"/>
  <c r="S206" i="24"/>
  <c r="T206" i="24" s="1"/>
  <c r="S223" i="24"/>
  <c r="T223" i="24" s="1"/>
  <c r="S241" i="24"/>
  <c r="T241" i="24" s="1"/>
  <c r="S258" i="24"/>
  <c r="T258" i="24" s="1"/>
  <c r="S276" i="24"/>
  <c r="T276" i="24" s="1"/>
  <c r="S292" i="24"/>
  <c r="T292" i="24" s="1"/>
  <c r="S309" i="24"/>
  <c r="T309" i="24" s="1"/>
  <c r="S327" i="24"/>
  <c r="T327" i="24" s="1"/>
  <c r="S72" i="24"/>
  <c r="T72" i="24" s="1"/>
  <c r="S139" i="24"/>
  <c r="T139" i="24" s="1"/>
  <c r="S190" i="24"/>
  <c r="T190" i="24" s="1"/>
  <c r="S242" i="24"/>
  <c r="T242" i="24" s="1"/>
  <c r="S294" i="24"/>
  <c r="T294" i="24" s="1"/>
  <c r="S78" i="24"/>
  <c r="T78" i="24" s="1"/>
  <c r="S141" i="24"/>
  <c r="T141" i="24" s="1"/>
  <c r="S193" i="24"/>
  <c r="T193" i="24" s="1"/>
  <c r="S244" i="24"/>
  <c r="T244" i="24" s="1"/>
  <c r="S297" i="24"/>
  <c r="T297" i="24" s="1"/>
  <c r="S5" i="24"/>
  <c r="T5" i="24" s="1"/>
  <c r="S99" i="24"/>
  <c r="T99" i="24" s="1"/>
  <c r="S156" i="24"/>
  <c r="T156" i="24" s="1"/>
  <c r="S207" i="24"/>
  <c r="T207" i="24" s="1"/>
  <c r="S259" i="24"/>
  <c r="T259" i="24" s="1"/>
  <c r="S312" i="24"/>
  <c r="T312" i="24" s="1"/>
  <c r="S12" i="24"/>
  <c r="T12" i="24" s="1"/>
  <c r="S103" i="24"/>
  <c r="T103" i="24" s="1"/>
  <c r="S158" i="24"/>
  <c r="T158" i="24" s="1"/>
  <c r="S211" i="24"/>
  <c r="T211" i="24" s="1"/>
  <c r="S262" i="24"/>
  <c r="T262" i="24" s="1"/>
  <c r="S314" i="24"/>
  <c r="T314" i="24" s="1"/>
  <c r="S121" i="24"/>
  <c r="T121" i="24" s="1"/>
  <c r="S277" i="24"/>
  <c r="T277" i="24" s="1"/>
  <c r="S279" i="24"/>
  <c r="T279" i="24" s="1"/>
  <c r="S124" i="24"/>
  <c r="T124" i="24" s="1"/>
  <c r="S172" i="24"/>
  <c r="T172" i="24" s="1"/>
  <c r="S328" i="24"/>
  <c r="T328" i="24" s="1"/>
  <c r="S4" i="24"/>
  <c r="T4" i="24" s="1"/>
  <c r="S225" i="24"/>
  <c r="T225" i="24" s="1"/>
  <c r="S47" i="24"/>
  <c r="T47" i="24" s="1"/>
  <c r="S228" i="24"/>
  <c r="T228" i="24" s="1"/>
  <c r="S176" i="24"/>
  <c r="T176" i="24" s="1"/>
  <c r="S39" i="24"/>
  <c r="T39" i="24" s="1"/>
  <c r="R84" i="24"/>
  <c r="R330" i="24"/>
  <c r="R324" i="24"/>
  <c r="R317" i="24"/>
  <c r="R309" i="24"/>
  <c r="R303" i="24"/>
  <c r="R99" i="24"/>
  <c r="R208" i="24"/>
  <c r="R287" i="24"/>
  <c r="R281" i="24"/>
  <c r="R276" i="24"/>
  <c r="R265" i="24"/>
  <c r="R262" i="24"/>
  <c r="R257" i="24"/>
  <c r="R252" i="24"/>
  <c r="R247" i="24"/>
  <c r="R240" i="24"/>
  <c r="R234" i="24"/>
  <c r="R228" i="24"/>
  <c r="R222" i="24"/>
  <c r="R215" i="24"/>
  <c r="R305" i="24"/>
  <c r="R201" i="24"/>
  <c r="R196" i="24"/>
  <c r="R190" i="24"/>
  <c r="R184" i="24"/>
  <c r="R178" i="24"/>
  <c r="R172" i="24"/>
  <c r="R167" i="24"/>
  <c r="R162" i="24"/>
  <c r="R156" i="24"/>
  <c r="R126" i="24"/>
  <c r="R146" i="24"/>
  <c r="R139" i="24"/>
  <c r="R133" i="24"/>
  <c r="R129" i="24"/>
  <c r="R123" i="24"/>
  <c r="R117" i="24"/>
  <c r="R111" i="24"/>
  <c r="R105" i="24"/>
  <c r="R102" i="24"/>
  <c r="R92" i="24"/>
  <c r="R86" i="24"/>
  <c r="R80" i="24"/>
  <c r="R74" i="24"/>
  <c r="R68" i="24"/>
  <c r="R61" i="24"/>
  <c r="R51" i="24"/>
  <c r="R48" i="24"/>
  <c r="R41" i="24"/>
  <c r="R314" i="24"/>
  <c r="R32" i="24"/>
  <c r="R26" i="24"/>
  <c r="R23" i="24"/>
  <c r="R18" i="24"/>
  <c r="R13" i="24"/>
  <c r="R5" i="24"/>
  <c r="R329" i="24"/>
  <c r="R323" i="24"/>
  <c r="R316" i="24"/>
  <c r="R308" i="24"/>
  <c r="R302" i="24"/>
  <c r="R297" i="24"/>
  <c r="R292" i="24"/>
  <c r="R286" i="24"/>
  <c r="R280" i="24"/>
  <c r="R274" i="24"/>
  <c r="R267" i="24"/>
  <c r="R263" i="24"/>
  <c r="R256" i="24"/>
  <c r="R251" i="24"/>
  <c r="R246" i="24"/>
  <c r="R239" i="24"/>
  <c r="R233" i="24"/>
  <c r="R227" i="24"/>
  <c r="R221" i="24"/>
  <c r="R214" i="24"/>
  <c r="R203" i="24"/>
  <c r="R195" i="24"/>
  <c r="R189" i="24"/>
  <c r="R182" i="24"/>
  <c r="R177" i="24"/>
  <c r="R98" i="24"/>
  <c r="R166" i="24"/>
  <c r="R161" i="24"/>
  <c r="R155" i="24"/>
  <c r="R150" i="24"/>
  <c r="R145" i="24"/>
  <c r="R137" i="24"/>
  <c r="R132" i="24"/>
  <c r="R128" i="24"/>
  <c r="R122" i="24"/>
  <c r="R116" i="24"/>
  <c r="R110" i="24"/>
  <c r="R104" i="24"/>
  <c r="R96" i="24"/>
  <c r="R91" i="24"/>
  <c r="R85" i="24"/>
  <c r="R79" i="24"/>
  <c r="R73" i="24"/>
  <c r="R66" i="24"/>
  <c r="R60" i="24"/>
  <c r="R53" i="24"/>
  <c r="R47" i="24"/>
  <c r="R40" i="24"/>
  <c r="R36" i="24"/>
  <c r="R31" i="24"/>
  <c r="R25" i="24"/>
  <c r="R22" i="24"/>
  <c r="R17" i="24"/>
  <c r="R12" i="24"/>
  <c r="R4" i="24"/>
  <c r="R328" i="24"/>
  <c r="R322" i="24"/>
  <c r="R315" i="24"/>
  <c r="R307" i="24"/>
  <c r="R301" i="24"/>
  <c r="R296" i="24"/>
  <c r="R291" i="24"/>
  <c r="R285" i="24"/>
  <c r="R310" i="24"/>
  <c r="R273" i="24"/>
  <c r="R266" i="24"/>
  <c r="R261" i="24"/>
  <c r="R255" i="24"/>
  <c r="R250" i="24"/>
  <c r="R245" i="24"/>
  <c r="R238" i="24"/>
  <c r="R232" i="24"/>
  <c r="R226" i="24"/>
  <c r="R213" i="24"/>
  <c r="R217" i="24"/>
  <c r="R200" i="24"/>
  <c r="R194" i="24"/>
  <c r="R188" i="24"/>
  <c r="R181" i="24"/>
  <c r="R176" i="24"/>
  <c r="R171" i="24"/>
  <c r="R165" i="24"/>
  <c r="R160" i="24"/>
  <c r="R154" i="24"/>
  <c r="R143" i="24"/>
  <c r="R144" i="24"/>
  <c r="R136" i="24"/>
  <c r="R131" i="24"/>
  <c r="R127" i="24"/>
  <c r="R121" i="24"/>
  <c r="R115" i="24"/>
  <c r="R109" i="24"/>
  <c r="R243" i="24"/>
  <c r="R95" i="24"/>
  <c r="R90" i="24"/>
  <c r="R78" i="24"/>
  <c r="R72" i="24"/>
  <c r="R65" i="24"/>
  <c r="R59" i="24"/>
  <c r="R52" i="24"/>
  <c r="R46" i="24"/>
  <c r="R42" i="24"/>
  <c r="R35" i="24"/>
  <c r="R30" i="24"/>
  <c r="R21" i="24"/>
  <c r="R16" i="24"/>
  <c r="R11" i="24"/>
  <c r="R327" i="24"/>
  <c r="R320" i="24"/>
  <c r="R321" i="24"/>
  <c r="R306" i="24"/>
  <c r="R300" i="24"/>
  <c r="R295" i="24"/>
  <c r="R290" i="24"/>
  <c r="R284" i="24"/>
  <c r="R279" i="24"/>
  <c r="R272" i="24"/>
  <c r="R271" i="24"/>
  <c r="R260" i="24"/>
  <c r="R254" i="24"/>
  <c r="R249" i="24"/>
  <c r="R244" i="24"/>
  <c r="R237" i="24"/>
  <c r="R231" i="24"/>
  <c r="R225" i="24"/>
  <c r="R219" i="24"/>
  <c r="R210" i="24"/>
  <c r="R57" i="24"/>
  <c r="R199" i="24"/>
  <c r="R193" i="24"/>
  <c r="R183" i="24"/>
  <c r="R187" i="24"/>
  <c r="R175" i="24"/>
  <c r="R170" i="24"/>
  <c r="R164" i="24"/>
  <c r="R159" i="24"/>
  <c r="R153" i="24"/>
  <c r="R149" i="24"/>
  <c r="R142" i="24"/>
  <c r="R135" i="24"/>
  <c r="R138" i="24"/>
  <c r="R124" i="24"/>
  <c r="R120" i="24"/>
  <c r="R114" i="24"/>
  <c r="R108" i="24"/>
  <c r="R101" i="24"/>
  <c r="R94" i="24"/>
  <c r="R89" i="24"/>
  <c r="R83" i="24"/>
  <c r="R77" i="24"/>
  <c r="R71" i="24"/>
  <c r="R64" i="24"/>
  <c r="R58" i="24"/>
  <c r="R55" i="24"/>
  <c r="R45" i="24"/>
  <c r="R39" i="24"/>
  <c r="R34" i="24"/>
  <c r="R29" i="24"/>
  <c r="R24" i="24"/>
  <c r="R216" i="24"/>
  <c r="R10" i="24"/>
  <c r="R326" i="24"/>
  <c r="R319" i="24"/>
  <c r="R312" i="24"/>
  <c r="R299" i="24"/>
  <c r="R294" i="24"/>
  <c r="R289" i="24"/>
  <c r="R283" i="24"/>
  <c r="R278" i="24"/>
  <c r="R269" i="24"/>
  <c r="R264" i="24"/>
  <c r="R259" i="24"/>
  <c r="R313" i="24"/>
  <c r="R275" i="24"/>
  <c r="R242" i="24"/>
  <c r="R236" i="24"/>
  <c r="R230" i="24"/>
  <c r="R224" i="24"/>
  <c r="R218" i="24"/>
  <c r="R211" i="24"/>
  <c r="R204" i="24"/>
  <c r="R198" i="24"/>
  <c r="R192" i="24"/>
  <c r="R186" i="24"/>
  <c r="R180" i="24"/>
  <c r="R174" i="24"/>
  <c r="R169" i="24"/>
  <c r="R207" i="24"/>
  <c r="R158" i="24"/>
  <c r="R152" i="24"/>
  <c r="R148" i="24"/>
  <c r="R141" i="24"/>
  <c r="R134" i="24"/>
  <c r="R67" i="24"/>
  <c r="R205" i="24"/>
  <c r="R119" i="24"/>
  <c r="R113" i="24"/>
  <c r="R107" i="24"/>
  <c r="R100" i="24"/>
  <c r="R93" i="24"/>
  <c r="R88" i="24"/>
  <c r="R82" i="24"/>
  <c r="R76" i="24"/>
  <c r="R70" i="24"/>
  <c r="R63" i="24"/>
  <c r="R56" i="24"/>
  <c r="R50" i="24"/>
  <c r="R44" i="24"/>
  <c r="R209" i="24"/>
  <c r="R103" i="24"/>
  <c r="R28" i="24"/>
  <c r="R7" i="24"/>
  <c r="R20" i="24"/>
  <c r="R206" i="24"/>
  <c r="R9" i="24"/>
  <c r="R6" i="24"/>
  <c r="R325" i="24"/>
  <c r="R318" i="24"/>
  <c r="R311" i="24"/>
  <c r="R304" i="24"/>
  <c r="R298" i="24"/>
  <c r="R288" i="24"/>
  <c r="R282" i="24"/>
  <c r="R277" i="24"/>
  <c r="R268" i="24"/>
  <c r="R270" i="24"/>
  <c r="R258" i="24"/>
  <c r="R253" i="24"/>
  <c r="R248" i="24"/>
  <c r="R241" i="24"/>
  <c r="R235" i="24"/>
  <c r="R229" i="24"/>
  <c r="R223" i="24"/>
  <c r="R212" i="24"/>
  <c r="R202" i="24"/>
  <c r="R197" i="24"/>
  <c r="R191" i="24"/>
  <c r="R185" i="24"/>
  <c r="R179" i="24"/>
  <c r="R173" i="24"/>
  <c r="R168" i="24"/>
  <c r="R163" i="24"/>
  <c r="R157" i="24"/>
  <c r="R151" i="24"/>
  <c r="R147" i="24"/>
  <c r="R140" i="24"/>
  <c r="R130" i="24"/>
  <c r="R125" i="24"/>
  <c r="R118" i="24"/>
  <c r="R112" i="24"/>
  <c r="R106" i="24"/>
  <c r="R97" i="24"/>
  <c r="R37" i="24"/>
  <c r="R87" i="24"/>
  <c r="R81" i="24"/>
  <c r="R75" i="24"/>
  <c r="R69" i="24"/>
  <c r="R62" i="24"/>
  <c r="R54" i="24"/>
  <c r="R49" i="24"/>
  <c r="R43" i="24"/>
  <c r="R38" i="24"/>
  <c r="R33" i="24"/>
  <c r="R27" i="24"/>
  <c r="R19" i="24"/>
  <c r="R14" i="24"/>
  <c r="R8" i="24"/>
  <c r="J328" i="24"/>
  <c r="J324" i="24"/>
  <c r="J320" i="24"/>
  <c r="J316" i="24"/>
  <c r="J312" i="24"/>
  <c r="J308" i="24"/>
  <c r="J304" i="24"/>
  <c r="J300" i="24"/>
  <c r="J296" i="24"/>
  <c r="J292" i="24"/>
  <c r="J288" i="24"/>
  <c r="J284" i="24"/>
  <c r="J280" i="24"/>
  <c r="J276" i="24"/>
  <c r="J272" i="24"/>
  <c r="J268" i="24"/>
  <c r="J264" i="24"/>
  <c r="J260" i="24"/>
  <c r="J256" i="24"/>
  <c r="J252" i="24"/>
  <c r="J248" i="24"/>
  <c r="J244" i="24"/>
  <c r="J240" i="24"/>
  <c r="J236" i="24"/>
  <c r="J232" i="24"/>
  <c r="J228" i="24"/>
  <c r="J224" i="24"/>
  <c r="J220" i="24"/>
  <c r="J216" i="24"/>
  <c r="J212" i="24"/>
  <c r="J208" i="24"/>
  <c r="J204" i="24"/>
  <c r="J200" i="24"/>
  <c r="J196" i="24"/>
  <c r="J192" i="24"/>
  <c r="J188" i="24"/>
  <c r="J184" i="24"/>
  <c r="J180" i="24"/>
  <c r="J176" i="24"/>
  <c r="J172" i="24"/>
  <c r="J168" i="24"/>
  <c r="J164" i="24"/>
  <c r="J160" i="24"/>
  <c r="J156" i="24"/>
  <c r="J152" i="24"/>
  <c r="J148" i="24"/>
  <c r="J144" i="24"/>
  <c r="J140" i="24"/>
  <c r="J136" i="24"/>
  <c r="J132" i="24"/>
  <c r="J128" i="24"/>
  <c r="J124" i="24"/>
  <c r="J120" i="24"/>
  <c r="J116" i="24"/>
  <c r="J112" i="24"/>
  <c r="J108" i="24"/>
  <c r="J104" i="24"/>
  <c r="J100" i="24"/>
  <c r="J96" i="24"/>
  <c r="J92" i="24"/>
  <c r="J88" i="24"/>
  <c r="J84" i="24"/>
  <c r="J80" i="24"/>
  <c r="J76" i="24"/>
  <c r="J72" i="24"/>
  <c r="J68" i="24"/>
  <c r="J64" i="24"/>
  <c r="J60" i="24"/>
  <c r="J56" i="24"/>
  <c r="J52" i="24"/>
  <c r="J48" i="24"/>
  <c r="J44" i="24"/>
  <c r="J40" i="24"/>
  <c r="J36" i="24"/>
  <c r="J32" i="24"/>
  <c r="J28" i="24"/>
  <c r="J24" i="24"/>
  <c r="J20" i="24"/>
  <c r="J16" i="24"/>
  <c r="J12" i="24"/>
  <c r="J8" i="24"/>
  <c r="I331" i="24"/>
  <c r="J327" i="24"/>
  <c r="J323" i="24"/>
  <c r="J319" i="24"/>
  <c r="J315" i="24"/>
  <c r="J311" i="24"/>
  <c r="J307" i="24"/>
  <c r="J303" i="24"/>
  <c r="J299" i="24"/>
  <c r="J295" i="24"/>
  <c r="J291" i="24"/>
  <c r="J287" i="24"/>
  <c r="J283" i="24"/>
  <c r="J279" i="24"/>
  <c r="J275" i="24"/>
  <c r="J271" i="24"/>
  <c r="J267" i="24"/>
  <c r="J263" i="24"/>
  <c r="J259" i="24"/>
  <c r="J255" i="24"/>
  <c r="J251" i="24"/>
  <c r="J247" i="24"/>
  <c r="J243" i="24"/>
  <c r="J239" i="24"/>
  <c r="J235" i="24"/>
  <c r="J231" i="24"/>
  <c r="J227" i="24"/>
  <c r="J223" i="24"/>
  <c r="J219" i="24"/>
  <c r="J215" i="24"/>
  <c r="J211" i="24"/>
  <c r="J207" i="24"/>
  <c r="J203" i="24"/>
  <c r="J199" i="24"/>
  <c r="J195" i="24"/>
  <c r="J191" i="24"/>
  <c r="J187" i="24"/>
  <c r="J183" i="24"/>
  <c r="J179" i="24"/>
  <c r="J175" i="24"/>
  <c r="J171" i="24"/>
  <c r="J167" i="24"/>
  <c r="J163" i="24"/>
  <c r="J159" i="24"/>
  <c r="J155" i="24"/>
  <c r="J151" i="24"/>
  <c r="J147" i="24"/>
  <c r="J143" i="24"/>
  <c r="J139" i="24"/>
  <c r="J135" i="24"/>
  <c r="J131" i="24"/>
  <c r="J127" i="24"/>
  <c r="J123" i="24"/>
  <c r="J119" i="24"/>
  <c r="J115" i="24"/>
  <c r="J111" i="24"/>
  <c r="J107" i="24"/>
  <c r="J103" i="24"/>
  <c r="J99" i="24"/>
  <c r="J95" i="24"/>
  <c r="J91" i="24"/>
  <c r="J87" i="24"/>
  <c r="J83" i="24"/>
  <c r="J79" i="24"/>
  <c r="J75" i="24"/>
  <c r="J71" i="24"/>
  <c r="J67" i="24"/>
  <c r="J63" i="24"/>
  <c r="J59" i="24"/>
  <c r="J55" i="24"/>
  <c r="J51" i="24"/>
  <c r="J47" i="24"/>
  <c r="J43" i="24"/>
  <c r="J39" i="24"/>
  <c r="J35" i="24"/>
  <c r="J31" i="24"/>
  <c r="J27" i="24"/>
  <c r="J23" i="24"/>
  <c r="J19" i="24"/>
  <c r="J15" i="24"/>
  <c r="J11" i="24"/>
  <c r="J7" i="24"/>
  <c r="H331" i="24"/>
  <c r="J330" i="24"/>
  <c r="J326" i="24"/>
  <c r="J322" i="24"/>
  <c r="J318" i="24"/>
  <c r="J314" i="24"/>
  <c r="J310" i="24"/>
  <c r="J306" i="24"/>
  <c r="J302" i="24"/>
  <c r="J298" i="24"/>
  <c r="J294" i="24"/>
  <c r="J290" i="24"/>
  <c r="J286" i="24"/>
  <c r="J282" i="24"/>
  <c r="J278" i="24"/>
  <c r="J274" i="24"/>
  <c r="J270" i="24"/>
  <c r="J266" i="24"/>
  <c r="J262" i="24"/>
  <c r="J258" i="24"/>
  <c r="J254" i="24"/>
  <c r="J250" i="24"/>
  <c r="J246" i="24"/>
  <c r="J242" i="24"/>
  <c r="J238" i="24"/>
  <c r="J234" i="24"/>
  <c r="J230" i="24"/>
  <c r="J226" i="24"/>
  <c r="J222" i="24"/>
  <c r="J218" i="24"/>
  <c r="J214" i="24"/>
  <c r="J210" i="24"/>
  <c r="J206" i="24"/>
  <c r="J202" i="24"/>
  <c r="J198" i="24"/>
  <c r="J194" i="24"/>
  <c r="J190" i="24"/>
  <c r="J186" i="24"/>
  <c r="J182" i="24"/>
  <c r="J178" i="24"/>
  <c r="J174" i="24"/>
  <c r="J170" i="24"/>
  <c r="J166" i="24"/>
  <c r="J162" i="24"/>
  <c r="J158" i="24"/>
  <c r="J154" i="24"/>
  <c r="J150" i="24"/>
  <c r="J146" i="24"/>
  <c r="J142" i="24"/>
  <c r="J138" i="24"/>
  <c r="J134" i="24"/>
  <c r="J130" i="24"/>
  <c r="J126" i="24"/>
  <c r="J122" i="24"/>
  <c r="J118" i="24"/>
  <c r="J114" i="24"/>
  <c r="J110" i="24"/>
  <c r="J106" i="24"/>
  <c r="J102" i="24"/>
  <c r="J98" i="24"/>
  <c r="J94" i="24"/>
  <c r="J90" i="24"/>
  <c r="J86" i="24"/>
  <c r="J82" i="24"/>
  <c r="J78" i="24"/>
  <c r="J74" i="24"/>
  <c r="J70" i="24"/>
  <c r="J66" i="24"/>
  <c r="J62" i="24"/>
  <c r="J58" i="24"/>
  <c r="J54" i="24"/>
  <c r="J50" i="24"/>
  <c r="J46" i="24"/>
  <c r="J42" i="24"/>
  <c r="J38" i="24"/>
  <c r="J34" i="24"/>
  <c r="J30" i="24"/>
  <c r="J26" i="24"/>
  <c r="J22" i="24"/>
  <c r="J18" i="24"/>
  <c r="J14" i="24"/>
  <c r="J10" i="24"/>
  <c r="J6" i="24"/>
  <c r="J329" i="24"/>
  <c r="J325" i="24"/>
  <c r="J321" i="24"/>
  <c r="J317" i="24"/>
  <c r="J313" i="24"/>
  <c r="J309" i="24"/>
  <c r="J305" i="24"/>
  <c r="J301" i="24"/>
  <c r="J297" i="24"/>
  <c r="J293" i="24"/>
  <c r="J289" i="24"/>
  <c r="J285" i="24"/>
  <c r="J281" i="24"/>
  <c r="J277" i="24"/>
  <c r="J273" i="24"/>
  <c r="J269" i="24"/>
  <c r="J265" i="24"/>
  <c r="J261" i="24"/>
  <c r="J257" i="24"/>
  <c r="J253" i="24"/>
  <c r="J249" i="24"/>
  <c r="J245" i="24"/>
  <c r="J241" i="24"/>
  <c r="J237" i="24"/>
  <c r="J233" i="24"/>
  <c r="J229" i="24"/>
  <c r="J225" i="24"/>
  <c r="J221" i="24"/>
  <c r="J217" i="24"/>
  <c r="J213" i="24"/>
  <c r="J209" i="24"/>
  <c r="J205" i="24"/>
  <c r="J201" i="24"/>
  <c r="J197" i="24"/>
  <c r="J193" i="24"/>
  <c r="J189" i="24"/>
  <c r="J185" i="24"/>
  <c r="J181" i="24"/>
  <c r="J177" i="24"/>
  <c r="J173" i="24"/>
  <c r="J169" i="24"/>
  <c r="J165" i="24"/>
  <c r="J161" i="24"/>
  <c r="J157" i="24"/>
  <c r="J153" i="24"/>
  <c r="J149" i="24"/>
  <c r="J145" i="24"/>
  <c r="J141" i="24"/>
  <c r="J137" i="24"/>
  <c r="J133" i="24"/>
  <c r="J129" i="24"/>
  <c r="J125" i="24"/>
  <c r="J121" i="24"/>
  <c r="J117" i="24"/>
  <c r="J113" i="24"/>
  <c r="J109" i="24"/>
  <c r="J105" i="24"/>
  <c r="J101" i="24"/>
  <c r="J97" i="24"/>
  <c r="J93" i="24"/>
  <c r="J89" i="24"/>
  <c r="J85" i="24"/>
  <c r="J81" i="24"/>
  <c r="J77" i="24"/>
  <c r="J73" i="24"/>
  <c r="J69" i="24"/>
  <c r="J65" i="24"/>
  <c r="J61" i="24"/>
  <c r="J57" i="24"/>
  <c r="J53" i="24"/>
  <c r="J49" i="24"/>
  <c r="J45" i="24"/>
  <c r="J41" i="24"/>
  <c r="J37" i="24"/>
  <c r="J33" i="24"/>
  <c r="J29" i="24"/>
  <c r="J25" i="24"/>
  <c r="J21" i="24"/>
  <c r="J17" i="24"/>
  <c r="J13" i="24"/>
  <c r="J9" i="24"/>
  <c r="J5" i="24"/>
  <c r="J4" i="24"/>
  <c r="O3" i="13"/>
  <c r="O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O303" i="13"/>
  <c r="O304" i="13"/>
  <c r="O305" i="13"/>
  <c r="O306" i="13"/>
  <c r="O307" i="13"/>
  <c r="O308" i="13"/>
  <c r="O309" i="13"/>
  <c r="O310" i="13"/>
  <c r="O311" i="13"/>
  <c r="O312" i="13"/>
  <c r="O313" i="13"/>
  <c r="O314" i="13"/>
  <c r="O315" i="13"/>
  <c r="O316" i="13"/>
  <c r="O317" i="13"/>
  <c r="O318" i="13"/>
  <c r="O319" i="13"/>
  <c r="O320" i="13"/>
  <c r="O321" i="13"/>
  <c r="O322" i="13"/>
  <c r="O323" i="13"/>
  <c r="O324" i="13"/>
  <c r="O325" i="13"/>
  <c r="O326" i="13"/>
  <c r="O327" i="13"/>
  <c r="O328" i="13"/>
  <c r="O2" i="13"/>
  <c r="M308" i="24" l="1"/>
  <c r="X264" i="24"/>
  <c r="M264" i="24" s="1"/>
  <c r="X92" i="24"/>
  <c r="M92" i="24" s="1"/>
  <c r="X300" i="24"/>
  <c r="X255" i="24"/>
  <c r="M255" i="24" s="1"/>
  <c r="X249" i="24"/>
  <c r="M249" i="24" s="1"/>
  <c r="X183" i="24"/>
  <c r="M183" i="24" s="1"/>
  <c r="X172" i="24"/>
  <c r="X270" i="24"/>
  <c r="M270" i="24" s="1"/>
  <c r="X100" i="24"/>
  <c r="M100" i="24" s="1"/>
  <c r="X147" i="24"/>
  <c r="M147" i="24" s="1"/>
  <c r="X308" i="24"/>
  <c r="X175" i="24"/>
  <c r="X193" i="24"/>
  <c r="M193" i="24" s="1"/>
  <c r="X230" i="24"/>
  <c r="M230" i="24" s="1"/>
  <c r="X176" i="24"/>
  <c r="M176" i="24" s="1"/>
  <c r="X122" i="24"/>
  <c r="X68" i="24"/>
  <c r="M68" i="24" s="1"/>
  <c r="X13" i="24"/>
  <c r="X199" i="24"/>
  <c r="M199" i="24" s="1"/>
  <c r="M38" i="24"/>
  <c r="M278" i="24"/>
  <c r="M200" i="24"/>
  <c r="X226" i="24"/>
  <c r="M226" i="24" s="1"/>
  <c r="X157" i="24"/>
  <c r="X201" i="24"/>
  <c r="M201" i="24" s="1"/>
  <c r="X190" i="24"/>
  <c r="M190" i="24" s="1"/>
  <c r="X121" i="24"/>
  <c r="M121" i="24" s="1"/>
  <c r="X103" i="24"/>
  <c r="M103" i="24" s="1"/>
  <c r="X67" i="24"/>
  <c r="M67" i="24" s="1"/>
  <c r="X278" i="24"/>
  <c r="X118" i="24"/>
  <c r="X292" i="24"/>
  <c r="M292" i="24" s="1"/>
  <c r="X146" i="24"/>
  <c r="X165" i="24"/>
  <c r="M165" i="24" s="1"/>
  <c r="X266" i="24"/>
  <c r="X28" i="24"/>
  <c r="M28" i="24" s="1"/>
  <c r="X298" i="24"/>
  <c r="M298" i="24" s="1"/>
  <c r="X136" i="24"/>
  <c r="X128" i="24"/>
  <c r="M128" i="24" s="1"/>
  <c r="X56" i="24"/>
  <c r="M56" i="24" s="1"/>
  <c r="X38" i="24"/>
  <c r="X277" i="24"/>
  <c r="X110" i="24"/>
  <c r="M110" i="24" s="1"/>
  <c r="X272" i="24"/>
  <c r="M272" i="24" s="1"/>
  <c r="X302" i="24"/>
  <c r="M302" i="24" s="1"/>
  <c r="X212" i="24"/>
  <c r="M212" i="24" s="1"/>
  <c r="X158" i="24"/>
  <c r="M158" i="24" s="1"/>
  <c r="X104" i="24"/>
  <c r="M104" i="24" s="1"/>
  <c r="X50" i="24"/>
  <c r="M50" i="24" s="1"/>
  <c r="M13" i="24"/>
  <c r="M157" i="24"/>
  <c r="M277" i="24"/>
  <c r="M118" i="24"/>
  <c r="M300" i="24"/>
  <c r="M122" i="24"/>
  <c r="M266" i="24"/>
  <c r="M175" i="24"/>
  <c r="M64" i="24"/>
  <c r="M136" i="24"/>
  <c r="T331" i="24"/>
  <c r="X265" i="24"/>
  <c r="M265" i="24" s="1"/>
  <c r="X93" i="24"/>
  <c r="M93" i="24" s="1"/>
  <c r="X314" i="24"/>
  <c r="M314" i="24" s="1"/>
  <c r="X154" i="24"/>
  <c r="M154" i="24" s="1"/>
  <c r="X74" i="24"/>
  <c r="M74" i="24" s="1"/>
  <c r="X64" i="24"/>
  <c r="X321" i="24"/>
  <c r="M321" i="24" s="1"/>
  <c r="X200" i="24"/>
  <c r="X21" i="24"/>
  <c r="M21" i="24" s="1"/>
  <c r="X242" i="24"/>
  <c r="M242" i="24" s="1"/>
  <c r="X49" i="24"/>
  <c r="M49" i="24" s="1"/>
  <c r="X256" i="24"/>
  <c r="M256" i="24" s="1"/>
  <c r="X218" i="24"/>
  <c r="M218" i="24" s="1"/>
  <c r="X322" i="24"/>
  <c r="M322" i="24" s="1"/>
  <c r="X320" i="24"/>
  <c r="M320" i="24" s="1"/>
  <c r="X279" i="24"/>
  <c r="M279" i="24" s="1"/>
  <c r="X306" i="24"/>
  <c r="M306" i="24" s="1"/>
  <c r="X164" i="24"/>
  <c r="M164" i="24" s="1"/>
  <c r="X328" i="24"/>
  <c r="M328" i="24" s="1"/>
  <c r="X20" i="24"/>
  <c r="M20" i="24" s="1"/>
  <c r="X236" i="24"/>
  <c r="M236" i="24" s="1"/>
  <c r="X85" i="24"/>
  <c r="M85" i="24" s="1"/>
  <c r="X194" i="24"/>
  <c r="M194" i="24" s="1"/>
  <c r="X140" i="24"/>
  <c r="M140" i="24" s="1"/>
  <c r="X86" i="24"/>
  <c r="M86" i="24" s="1"/>
  <c r="X32" i="24"/>
  <c r="X163" i="24"/>
  <c r="M163" i="24" s="1"/>
  <c r="X55" i="24"/>
  <c r="M55" i="24" s="1"/>
  <c r="X291" i="24"/>
  <c r="M291" i="24" s="1"/>
  <c r="X284" i="24"/>
  <c r="M284" i="24" s="1"/>
  <c r="X248" i="24"/>
  <c r="M248" i="24" s="1"/>
  <c r="X285" i="24"/>
  <c r="M285" i="24" s="1"/>
  <c r="X129" i="24"/>
  <c r="M129" i="24" s="1"/>
  <c r="X313" i="24"/>
  <c r="M313" i="24" s="1"/>
  <c r="X182" i="24"/>
  <c r="M182" i="24" s="1"/>
  <c r="X12" i="24"/>
  <c r="M12" i="24" s="1"/>
  <c r="X57" i="24"/>
  <c r="M57" i="24" s="1"/>
  <c r="X171" i="24"/>
  <c r="M171" i="24" s="1"/>
  <c r="X63" i="24"/>
  <c r="X178" i="24"/>
  <c r="M178" i="24" s="1"/>
  <c r="X70" i="24"/>
  <c r="M70" i="24" s="1"/>
  <c r="X224" i="24"/>
  <c r="M224" i="24" s="1"/>
  <c r="X170" i="24"/>
  <c r="M170" i="24" s="1"/>
  <c r="X116" i="24"/>
  <c r="M116" i="24" s="1"/>
  <c r="X62" i="24"/>
  <c r="M62" i="24" s="1"/>
  <c r="X99" i="24"/>
  <c r="M99" i="24" s="1"/>
  <c r="X106" i="24"/>
  <c r="M106" i="24" s="1"/>
  <c r="X91" i="24"/>
  <c r="M91" i="24" s="1"/>
  <c r="X254" i="24"/>
  <c r="M254" i="24" s="1"/>
  <c r="X206" i="24"/>
  <c r="X152" i="24"/>
  <c r="M152" i="24" s="1"/>
  <c r="X98" i="24"/>
  <c r="M98" i="24" s="1"/>
  <c r="X44" i="24"/>
  <c r="M44" i="24" s="1"/>
  <c r="X260" i="24"/>
  <c r="M260" i="24" s="1"/>
  <c r="X135" i="24"/>
  <c r="M135" i="24" s="1"/>
  <c r="X27" i="24"/>
  <c r="M27" i="24" s="1"/>
  <c r="X290" i="24"/>
  <c r="M290" i="24" s="1"/>
  <c r="X142" i="24"/>
  <c r="M142" i="24" s="1"/>
  <c r="X296" i="24"/>
  <c r="M296" i="24" s="1"/>
  <c r="X127" i="24"/>
  <c r="M127" i="24" s="1"/>
  <c r="X19" i="24"/>
  <c r="M19" i="24" s="1"/>
  <c r="X326" i="24"/>
  <c r="M326" i="24" s="1"/>
  <c r="X188" i="24"/>
  <c r="M188" i="24" s="1"/>
  <c r="X134" i="24"/>
  <c r="M134" i="24" s="1"/>
  <c r="X80" i="24"/>
  <c r="M80" i="24" s="1"/>
  <c r="X26" i="24"/>
  <c r="M26" i="24" s="1"/>
  <c r="X250" i="24"/>
  <c r="M250" i="24" s="1"/>
  <c r="M206" i="24"/>
  <c r="M146" i="24"/>
  <c r="M172" i="24"/>
  <c r="M32" i="24"/>
  <c r="X6" i="24"/>
  <c r="M6" i="24" s="1"/>
  <c r="J335" i="24"/>
  <c r="M63" i="24"/>
  <c r="X9" i="24"/>
  <c r="M9" i="24" s="1"/>
  <c r="X235" i="24"/>
  <c r="M235" i="24" s="1"/>
  <c r="X271" i="24"/>
  <c r="M271" i="24" s="1"/>
  <c r="V331" i="24"/>
  <c r="X211" i="24"/>
  <c r="M211" i="24" s="1"/>
  <c r="X46" i="24"/>
  <c r="M46" i="24" s="1"/>
  <c r="X330" i="24"/>
  <c r="M330" i="24" s="1"/>
  <c r="X243" i="24"/>
  <c r="M243" i="24" s="1"/>
  <c r="X295" i="24"/>
  <c r="M295" i="24" s="1"/>
  <c r="X252" i="24"/>
  <c r="M252" i="24" s="1"/>
  <c r="X202" i="24"/>
  <c r="M202" i="24" s="1"/>
  <c r="X148" i="24"/>
  <c r="M148" i="24" s="1"/>
  <c r="X94" i="24"/>
  <c r="M94" i="24" s="1"/>
  <c r="X40" i="24"/>
  <c r="M40" i="24" s="1"/>
  <c r="X225" i="24"/>
  <c r="M225" i="24" s="1"/>
  <c r="X117" i="24"/>
  <c r="M117" i="24" s="1"/>
  <c r="X7" i="24"/>
  <c r="M7" i="24" s="1"/>
  <c r="X319" i="24"/>
  <c r="M319" i="24" s="1"/>
  <c r="X276" i="24"/>
  <c r="M276" i="24" s="1"/>
  <c r="X232" i="24"/>
  <c r="M232" i="24" s="1"/>
  <c r="X124" i="24"/>
  <c r="M124" i="24" s="1"/>
  <c r="X16" i="24"/>
  <c r="M16" i="24" s="1"/>
  <c r="X325" i="24"/>
  <c r="M325" i="24" s="1"/>
  <c r="X282" i="24"/>
  <c r="M282" i="24" s="1"/>
  <c r="X238" i="24"/>
  <c r="M238" i="24" s="1"/>
  <c r="X187" i="24"/>
  <c r="M187" i="24" s="1"/>
  <c r="X133" i="24"/>
  <c r="M133" i="24" s="1"/>
  <c r="X79" i="24"/>
  <c r="M79" i="24" s="1"/>
  <c r="X25" i="24"/>
  <c r="M25" i="24" s="1"/>
  <c r="X311" i="24"/>
  <c r="M311" i="24" s="1"/>
  <c r="X275" i="24"/>
  <c r="M275" i="24" s="1"/>
  <c r="X239" i="24"/>
  <c r="M239" i="24" s="1"/>
  <c r="X203" i="24"/>
  <c r="M203" i="24" s="1"/>
  <c r="X167" i="24"/>
  <c r="M167" i="24" s="1"/>
  <c r="X131" i="24"/>
  <c r="M131" i="24" s="1"/>
  <c r="X95" i="24"/>
  <c r="M95" i="24" s="1"/>
  <c r="X59" i="24"/>
  <c r="M59" i="24" s="1"/>
  <c r="X23" i="24"/>
  <c r="M23" i="24" s="1"/>
  <c r="X210" i="24"/>
  <c r="M210" i="24" s="1"/>
  <c r="X174" i="24"/>
  <c r="M174" i="24" s="1"/>
  <c r="X138" i="24"/>
  <c r="M138" i="24" s="1"/>
  <c r="X102" i="24"/>
  <c r="M102" i="24" s="1"/>
  <c r="X66" i="24"/>
  <c r="M66" i="24" s="1"/>
  <c r="X30" i="24"/>
  <c r="M30" i="24" s="1"/>
  <c r="X327" i="24"/>
  <c r="M327" i="24" s="1"/>
  <c r="X208" i="24"/>
  <c r="M208" i="24" s="1"/>
  <c r="X315" i="24"/>
  <c r="M315" i="24" s="1"/>
  <c r="X219" i="24"/>
  <c r="M219" i="24" s="1"/>
  <c r="X4" i="24"/>
  <c r="M4" i="24" s="1"/>
  <c r="W331" i="24"/>
  <c r="X288" i="24"/>
  <c r="M288" i="24" s="1"/>
  <c r="X244" i="24"/>
  <c r="M244" i="24" s="1"/>
  <c r="X217" i="24"/>
  <c r="M217" i="24" s="1"/>
  <c r="X109" i="24"/>
  <c r="M109" i="24" s="1"/>
  <c r="X312" i="24"/>
  <c r="M312" i="24" s="1"/>
  <c r="X268" i="24"/>
  <c r="M268" i="24" s="1"/>
  <c r="X318" i="24"/>
  <c r="M318" i="24" s="1"/>
  <c r="X274" i="24"/>
  <c r="M274" i="24" s="1"/>
  <c r="X231" i="24"/>
  <c r="M231" i="24" s="1"/>
  <c r="X177" i="24"/>
  <c r="M177" i="24" s="1"/>
  <c r="X123" i="24"/>
  <c r="M123" i="24" s="1"/>
  <c r="X69" i="24"/>
  <c r="M69" i="24" s="1"/>
  <c r="X15" i="24"/>
  <c r="M15" i="24" s="1"/>
  <c r="X305" i="24"/>
  <c r="M305" i="24" s="1"/>
  <c r="X269" i="24"/>
  <c r="M269" i="24" s="1"/>
  <c r="X233" i="24"/>
  <c r="M233" i="24" s="1"/>
  <c r="X197" i="24"/>
  <c r="M197" i="24" s="1"/>
  <c r="X161" i="24"/>
  <c r="M161" i="24" s="1"/>
  <c r="X125" i="24"/>
  <c r="M125" i="24" s="1"/>
  <c r="X89" i="24"/>
  <c r="M89" i="24" s="1"/>
  <c r="X53" i="24"/>
  <c r="M53" i="24" s="1"/>
  <c r="X17" i="24"/>
  <c r="M17" i="24" s="1"/>
  <c r="X204" i="24"/>
  <c r="M204" i="24" s="1"/>
  <c r="X168" i="24"/>
  <c r="M168" i="24" s="1"/>
  <c r="X132" i="24"/>
  <c r="M132" i="24" s="1"/>
  <c r="X96" i="24"/>
  <c r="M96" i="24" s="1"/>
  <c r="X60" i="24"/>
  <c r="M60" i="24" s="1"/>
  <c r="X24" i="24"/>
  <c r="M24" i="24" s="1"/>
  <c r="J331" i="24"/>
  <c r="X294" i="24"/>
  <c r="M294" i="24" s="1"/>
  <c r="X301" i="24"/>
  <c r="M301" i="24" s="1"/>
  <c r="X31" i="24"/>
  <c r="M31" i="24" s="1"/>
  <c r="X324" i="24"/>
  <c r="M324" i="24" s="1"/>
  <c r="X280" i="24"/>
  <c r="M280" i="24" s="1"/>
  <c r="X237" i="24"/>
  <c r="M237" i="24" s="1"/>
  <c r="X184" i="24"/>
  <c r="M184" i="24" s="1"/>
  <c r="X130" i="24"/>
  <c r="M130" i="24" s="1"/>
  <c r="X76" i="24"/>
  <c r="M76" i="24" s="1"/>
  <c r="X22" i="24"/>
  <c r="M22" i="24" s="1"/>
  <c r="X207" i="24"/>
  <c r="M207" i="24" s="1"/>
  <c r="X153" i="24"/>
  <c r="M153" i="24" s="1"/>
  <c r="X45" i="24"/>
  <c r="M45" i="24" s="1"/>
  <c r="X304" i="24"/>
  <c r="M304" i="24" s="1"/>
  <c r="X261" i="24"/>
  <c r="M261" i="24" s="1"/>
  <c r="X214" i="24"/>
  <c r="M214" i="24" s="1"/>
  <c r="X160" i="24"/>
  <c r="M160" i="24" s="1"/>
  <c r="X52" i="24"/>
  <c r="M52" i="24" s="1"/>
  <c r="X310" i="24"/>
  <c r="M310" i="24" s="1"/>
  <c r="X267" i="24"/>
  <c r="M267" i="24" s="1"/>
  <c r="X223" i="24"/>
  <c r="M223" i="24" s="1"/>
  <c r="X169" i="24"/>
  <c r="M169" i="24" s="1"/>
  <c r="X115" i="24"/>
  <c r="M115" i="24" s="1"/>
  <c r="X61" i="24"/>
  <c r="M61" i="24" s="1"/>
  <c r="X5" i="24"/>
  <c r="M5" i="24" s="1"/>
  <c r="X299" i="24"/>
  <c r="M299" i="24" s="1"/>
  <c r="X263" i="24"/>
  <c r="M263" i="24" s="1"/>
  <c r="X227" i="24"/>
  <c r="M227" i="24" s="1"/>
  <c r="X191" i="24"/>
  <c r="M191" i="24" s="1"/>
  <c r="X155" i="24"/>
  <c r="M155" i="24" s="1"/>
  <c r="X119" i="24"/>
  <c r="M119" i="24" s="1"/>
  <c r="X83" i="24"/>
  <c r="M83" i="24" s="1"/>
  <c r="X47" i="24"/>
  <c r="M47" i="24" s="1"/>
  <c r="X10" i="24"/>
  <c r="M10" i="24" s="1"/>
  <c r="X198" i="24"/>
  <c r="M198" i="24" s="1"/>
  <c r="X162" i="24"/>
  <c r="M162" i="24" s="1"/>
  <c r="X126" i="24"/>
  <c r="M126" i="24" s="1"/>
  <c r="X90" i="24"/>
  <c r="M90" i="24" s="1"/>
  <c r="X54" i="24"/>
  <c r="M54" i="24" s="1"/>
  <c r="X18" i="24"/>
  <c r="M18" i="24" s="1"/>
  <c r="X286" i="24"/>
  <c r="M286" i="24" s="1"/>
  <c r="Y10" i="24"/>
  <c r="Z10" i="24" s="1"/>
  <c r="Y16" i="24"/>
  <c r="Z16" i="24" s="1"/>
  <c r="Y22" i="24"/>
  <c r="Z22" i="24" s="1"/>
  <c r="Y28" i="24"/>
  <c r="Z28" i="24" s="1"/>
  <c r="Y34" i="24"/>
  <c r="Z34" i="24" s="1"/>
  <c r="Y40" i="24"/>
  <c r="Z40" i="24" s="1"/>
  <c r="Y46" i="24"/>
  <c r="Z46" i="24" s="1"/>
  <c r="Y52" i="24"/>
  <c r="Z52" i="24" s="1"/>
  <c r="Y58" i="24"/>
  <c r="Z58" i="24" s="1"/>
  <c r="Y64" i="24"/>
  <c r="Z64" i="24" s="1"/>
  <c r="Y70" i="24"/>
  <c r="Z70" i="24" s="1"/>
  <c r="Y76" i="24"/>
  <c r="Z76" i="24" s="1"/>
  <c r="Y82" i="24"/>
  <c r="Z82" i="24" s="1"/>
  <c r="Y88" i="24"/>
  <c r="Z88" i="24" s="1"/>
  <c r="Y94" i="24"/>
  <c r="Z94" i="24" s="1"/>
  <c r="Y100" i="24"/>
  <c r="Z100" i="24" s="1"/>
  <c r="Y106" i="24"/>
  <c r="Z106" i="24" s="1"/>
  <c r="Y112" i="24"/>
  <c r="Z112" i="24" s="1"/>
  <c r="Y118" i="24"/>
  <c r="Z118" i="24" s="1"/>
  <c r="Y124" i="24"/>
  <c r="Z124" i="24" s="1"/>
  <c r="Y130" i="24"/>
  <c r="Z130" i="24" s="1"/>
  <c r="Y136" i="24"/>
  <c r="Z136" i="24" s="1"/>
  <c r="Y142" i="24"/>
  <c r="Z142" i="24" s="1"/>
  <c r="Y148" i="24"/>
  <c r="Z148" i="24" s="1"/>
  <c r="Y154" i="24"/>
  <c r="Z154" i="24" s="1"/>
  <c r="Y160" i="24"/>
  <c r="Z160" i="24" s="1"/>
  <c r="Y166" i="24"/>
  <c r="Z166" i="24" s="1"/>
  <c r="Y172" i="24"/>
  <c r="Z172" i="24" s="1"/>
  <c r="Y178" i="24"/>
  <c r="Z178" i="24" s="1"/>
  <c r="Y184" i="24"/>
  <c r="Z184" i="24" s="1"/>
  <c r="Y190" i="24"/>
  <c r="Z190" i="24" s="1"/>
  <c r="Y196" i="24"/>
  <c r="Z196" i="24" s="1"/>
  <c r="Y202" i="24"/>
  <c r="Z202" i="24" s="1"/>
  <c r="Y208" i="24"/>
  <c r="Z208" i="24" s="1"/>
  <c r="Y214" i="24"/>
  <c r="Z214" i="24" s="1"/>
  <c r="Y220" i="24"/>
  <c r="Z220" i="24" s="1"/>
  <c r="Y226" i="24"/>
  <c r="Z226" i="24" s="1"/>
  <c r="Y232" i="24"/>
  <c r="Z232" i="24" s="1"/>
  <c r="Y238" i="24"/>
  <c r="Z238" i="24" s="1"/>
  <c r="Y244" i="24"/>
  <c r="Z244" i="24" s="1"/>
  <c r="Y250" i="24"/>
  <c r="Z250" i="24" s="1"/>
  <c r="Y256" i="24"/>
  <c r="Z256" i="24" s="1"/>
  <c r="Y262" i="24"/>
  <c r="Z262" i="24" s="1"/>
  <c r="Y268" i="24"/>
  <c r="Z268" i="24" s="1"/>
  <c r="Y274" i="24"/>
  <c r="Z274" i="24" s="1"/>
  <c r="Y280" i="24"/>
  <c r="Z280" i="24" s="1"/>
  <c r="Y286" i="24"/>
  <c r="Z286" i="24" s="1"/>
  <c r="Y292" i="24"/>
  <c r="Z292" i="24" s="1"/>
  <c r="Y298" i="24"/>
  <c r="Z298" i="24" s="1"/>
  <c r="Y304" i="24"/>
  <c r="Z304" i="24" s="1"/>
  <c r="Y310" i="24"/>
  <c r="Z310" i="24" s="1"/>
  <c r="Y316" i="24"/>
  <c r="Z316" i="24" s="1"/>
  <c r="Y8" i="24"/>
  <c r="Z8" i="24" s="1"/>
  <c r="Y14" i="24"/>
  <c r="Z14" i="24" s="1"/>
  <c r="Y20" i="24"/>
  <c r="Z20" i="24" s="1"/>
  <c r="Y26" i="24"/>
  <c r="Z26" i="24" s="1"/>
  <c r="Y32" i="24"/>
  <c r="Z32" i="24" s="1"/>
  <c r="Y38" i="24"/>
  <c r="Z38" i="24" s="1"/>
  <c r="Y44" i="24"/>
  <c r="Z44" i="24" s="1"/>
  <c r="Y50" i="24"/>
  <c r="Z50" i="24" s="1"/>
  <c r="Y56" i="24"/>
  <c r="Z56" i="24" s="1"/>
  <c r="Y62" i="24"/>
  <c r="Z62" i="24" s="1"/>
  <c r="Y68" i="24"/>
  <c r="Z68" i="24" s="1"/>
  <c r="Y74" i="24"/>
  <c r="Z74" i="24" s="1"/>
  <c r="Y80" i="24"/>
  <c r="Z80" i="24" s="1"/>
  <c r="Y86" i="24"/>
  <c r="Z86" i="24" s="1"/>
  <c r="Y92" i="24"/>
  <c r="Z92" i="24" s="1"/>
  <c r="Y98" i="24"/>
  <c r="Z98" i="24" s="1"/>
  <c r="Y104" i="24"/>
  <c r="Z104" i="24" s="1"/>
  <c r="Y110" i="24"/>
  <c r="Z110" i="24" s="1"/>
  <c r="Y116" i="24"/>
  <c r="Z116" i="24" s="1"/>
  <c r="Y122" i="24"/>
  <c r="Z122" i="24" s="1"/>
  <c r="Y128" i="24"/>
  <c r="Z128" i="24" s="1"/>
  <c r="Y134" i="24"/>
  <c r="Z134" i="24" s="1"/>
  <c r="Y140" i="24"/>
  <c r="Z140" i="24" s="1"/>
  <c r="Y146" i="24"/>
  <c r="Z146" i="24" s="1"/>
  <c r="Y152" i="24"/>
  <c r="Z152" i="24" s="1"/>
  <c r="Y158" i="24"/>
  <c r="Z158" i="24" s="1"/>
  <c r="Y164" i="24"/>
  <c r="Z164" i="24" s="1"/>
  <c r="Y170" i="24"/>
  <c r="Z170" i="24" s="1"/>
  <c r="Y176" i="24"/>
  <c r="Z176" i="24" s="1"/>
  <c r="Y182" i="24"/>
  <c r="Z182" i="24" s="1"/>
  <c r="Y188" i="24"/>
  <c r="Z188" i="24" s="1"/>
  <c r="Y194" i="24"/>
  <c r="Z194" i="24" s="1"/>
  <c r="Y200" i="24"/>
  <c r="Z200" i="24" s="1"/>
  <c r="Y206" i="24"/>
  <c r="Z206" i="24" s="1"/>
  <c r="Y212" i="24"/>
  <c r="Z212" i="24" s="1"/>
  <c r="Y218" i="24"/>
  <c r="Z218" i="24" s="1"/>
  <c r="Y224" i="24"/>
  <c r="Z224" i="24" s="1"/>
  <c r="Y230" i="24"/>
  <c r="Z230" i="24" s="1"/>
  <c r="Y236" i="24"/>
  <c r="Z236" i="24" s="1"/>
  <c r="Y242" i="24"/>
  <c r="Z242" i="24" s="1"/>
  <c r="Y248" i="24"/>
  <c r="Z248" i="24" s="1"/>
  <c r="Y254" i="24"/>
  <c r="Z254" i="24" s="1"/>
  <c r="Y260" i="24"/>
  <c r="Z260" i="24" s="1"/>
  <c r="Y266" i="24"/>
  <c r="Z266" i="24" s="1"/>
  <c r="Y272" i="24"/>
  <c r="Z272" i="24" s="1"/>
  <c r="Y278" i="24"/>
  <c r="Z278" i="24" s="1"/>
  <c r="Y284" i="24"/>
  <c r="Z284" i="24" s="1"/>
  <c r="Y290" i="24"/>
  <c r="Z290" i="24" s="1"/>
  <c r="Y296" i="24"/>
  <c r="Z296" i="24" s="1"/>
  <c r="Y302" i="24"/>
  <c r="Z302" i="24" s="1"/>
  <c r="Y308" i="24"/>
  <c r="Z308" i="24" s="1"/>
  <c r="Y314" i="24"/>
  <c r="Z314" i="24" s="1"/>
  <c r="Y320" i="24"/>
  <c r="Z320" i="24" s="1"/>
  <c r="Y326" i="24"/>
  <c r="Z326" i="24" s="1"/>
  <c r="Y3" i="24"/>
  <c r="Y5" i="24"/>
  <c r="Z5" i="24" s="1"/>
  <c r="Y13" i="24"/>
  <c r="Z13" i="24" s="1"/>
  <c r="Y23" i="24"/>
  <c r="Z23" i="24" s="1"/>
  <c r="Y31" i="24"/>
  <c r="Z31" i="24" s="1"/>
  <c r="Y41" i="24"/>
  <c r="Z41" i="24" s="1"/>
  <c r="Y49" i="24"/>
  <c r="Z49" i="24" s="1"/>
  <c r="Y59" i="24"/>
  <c r="Z59" i="24" s="1"/>
  <c r="Y67" i="24"/>
  <c r="Z67" i="24" s="1"/>
  <c r="Y77" i="24"/>
  <c r="Z77" i="24" s="1"/>
  <c r="Y85" i="24"/>
  <c r="Z85" i="24" s="1"/>
  <c r="Y95" i="24"/>
  <c r="Z95" i="24" s="1"/>
  <c r="Y103" i="24"/>
  <c r="Z103" i="24" s="1"/>
  <c r="Y113" i="24"/>
  <c r="Z113" i="24" s="1"/>
  <c r="Y121" i="24"/>
  <c r="Z121" i="24" s="1"/>
  <c r="Y131" i="24"/>
  <c r="Z131" i="24" s="1"/>
  <c r="Y139" i="24"/>
  <c r="Z139" i="24" s="1"/>
  <c r="Y149" i="24"/>
  <c r="Z149" i="24" s="1"/>
  <c r="Y157" i="24"/>
  <c r="Z157" i="24" s="1"/>
  <c r="Y167" i="24"/>
  <c r="Z167" i="24" s="1"/>
  <c r="Y175" i="24"/>
  <c r="Z175" i="24" s="1"/>
  <c r="Y185" i="24"/>
  <c r="Z185" i="24" s="1"/>
  <c r="Y193" i="24"/>
  <c r="Z193" i="24" s="1"/>
  <c r="Y203" i="24"/>
  <c r="Z203" i="24" s="1"/>
  <c r="Y211" i="24"/>
  <c r="Z211" i="24" s="1"/>
  <c r="Y221" i="24"/>
  <c r="Z221" i="24" s="1"/>
  <c r="Y229" i="24"/>
  <c r="Z229" i="24" s="1"/>
  <c r="Y239" i="24"/>
  <c r="Z239" i="24" s="1"/>
  <c r="Y247" i="24"/>
  <c r="Z247" i="24" s="1"/>
  <c r="Y257" i="24"/>
  <c r="Z257" i="24" s="1"/>
  <c r="Y265" i="24"/>
  <c r="Z265" i="24" s="1"/>
  <c r="Y275" i="24"/>
  <c r="Z275" i="24" s="1"/>
  <c r="Y283" i="24"/>
  <c r="Z283" i="24" s="1"/>
  <c r="Y293" i="24"/>
  <c r="Z293" i="24" s="1"/>
  <c r="Y301" i="24"/>
  <c r="Z301" i="24" s="1"/>
  <c r="Y311" i="24"/>
  <c r="Z311" i="24" s="1"/>
  <c r="Y319" i="24"/>
  <c r="Z319" i="24" s="1"/>
  <c r="Y327" i="24"/>
  <c r="Z327" i="24" s="1"/>
  <c r="Y6" i="24"/>
  <c r="Z6" i="24" s="1"/>
  <c r="Y15" i="24"/>
  <c r="Z15" i="24" s="1"/>
  <c r="Y24" i="24"/>
  <c r="Z24" i="24" s="1"/>
  <c r="Y33" i="24"/>
  <c r="Z33" i="24" s="1"/>
  <c r="Y42" i="24"/>
  <c r="Z42" i="24" s="1"/>
  <c r="Y51" i="24"/>
  <c r="Z51" i="24" s="1"/>
  <c r="Y60" i="24"/>
  <c r="Z60" i="24" s="1"/>
  <c r="Y69" i="24"/>
  <c r="Z69" i="24" s="1"/>
  <c r="Y78" i="24"/>
  <c r="Z78" i="24" s="1"/>
  <c r="Y87" i="24"/>
  <c r="Z87" i="24" s="1"/>
  <c r="Y96" i="24"/>
  <c r="Z96" i="24" s="1"/>
  <c r="Y105" i="24"/>
  <c r="Z105" i="24" s="1"/>
  <c r="Y114" i="24"/>
  <c r="Z114" i="24" s="1"/>
  <c r="Y123" i="24"/>
  <c r="Z123" i="24" s="1"/>
  <c r="Y132" i="24"/>
  <c r="Z132" i="24" s="1"/>
  <c r="Y141" i="24"/>
  <c r="Z141" i="24" s="1"/>
  <c r="Y150" i="24"/>
  <c r="Z150" i="24" s="1"/>
  <c r="Y159" i="24"/>
  <c r="Z159" i="24" s="1"/>
  <c r="Y168" i="24"/>
  <c r="Z168" i="24" s="1"/>
  <c r="Y177" i="24"/>
  <c r="Z177" i="24" s="1"/>
  <c r="Y186" i="24"/>
  <c r="Z186" i="24" s="1"/>
  <c r="Y195" i="24"/>
  <c r="Z195" i="24" s="1"/>
  <c r="Y204" i="24"/>
  <c r="Z204" i="24" s="1"/>
  <c r="Y213" i="24"/>
  <c r="Z213" i="24" s="1"/>
  <c r="Y222" i="24"/>
  <c r="Z222" i="24" s="1"/>
  <c r="Y231" i="24"/>
  <c r="Z231" i="24" s="1"/>
  <c r="Y240" i="24"/>
  <c r="Z240" i="24" s="1"/>
  <c r="Y249" i="24"/>
  <c r="Z249" i="24" s="1"/>
  <c r="Y258" i="24"/>
  <c r="Z258" i="24" s="1"/>
  <c r="Y267" i="24"/>
  <c r="Z267" i="24" s="1"/>
  <c r="Y7" i="24"/>
  <c r="Z7" i="24" s="1"/>
  <c r="Y17" i="24"/>
  <c r="Z17" i="24" s="1"/>
  <c r="Y25" i="24"/>
  <c r="Z25" i="24" s="1"/>
  <c r="Y35" i="24"/>
  <c r="Z35" i="24" s="1"/>
  <c r="Y43" i="24"/>
  <c r="Z43" i="24" s="1"/>
  <c r="Y53" i="24"/>
  <c r="Z53" i="24" s="1"/>
  <c r="Y61" i="24"/>
  <c r="Z61" i="24" s="1"/>
  <c r="Y71" i="24"/>
  <c r="Z71" i="24" s="1"/>
  <c r="Y79" i="24"/>
  <c r="Z79" i="24" s="1"/>
  <c r="Y89" i="24"/>
  <c r="Z89" i="24" s="1"/>
  <c r="Y97" i="24"/>
  <c r="Z97" i="24" s="1"/>
  <c r="Y107" i="24"/>
  <c r="Z107" i="24" s="1"/>
  <c r="Y115" i="24"/>
  <c r="Z115" i="24" s="1"/>
  <c r="Y125" i="24"/>
  <c r="Z125" i="24" s="1"/>
  <c r="Y133" i="24"/>
  <c r="Z133" i="24" s="1"/>
  <c r="Y143" i="24"/>
  <c r="Z143" i="24" s="1"/>
  <c r="Y151" i="24"/>
  <c r="Z151" i="24" s="1"/>
  <c r="Y161" i="24"/>
  <c r="Z161" i="24" s="1"/>
  <c r="Y169" i="24"/>
  <c r="Z169" i="24" s="1"/>
  <c r="Y179" i="24"/>
  <c r="Z179" i="24" s="1"/>
  <c r="Y187" i="24"/>
  <c r="Z187" i="24" s="1"/>
  <c r="Y197" i="24"/>
  <c r="Z197" i="24" s="1"/>
  <c r="Y205" i="24"/>
  <c r="Z205" i="24" s="1"/>
  <c r="Y215" i="24"/>
  <c r="Z215" i="24" s="1"/>
  <c r="Y223" i="24"/>
  <c r="Z223" i="24" s="1"/>
  <c r="Y233" i="24"/>
  <c r="Z233" i="24" s="1"/>
  <c r="Y241" i="24"/>
  <c r="Z241" i="24" s="1"/>
  <c r="Y251" i="24"/>
  <c r="Z251" i="24" s="1"/>
  <c r="Y259" i="24"/>
  <c r="Z259" i="24" s="1"/>
  <c r="Y269" i="24"/>
  <c r="Z269" i="24" s="1"/>
  <c r="Y12" i="24"/>
  <c r="Z12" i="24" s="1"/>
  <c r="Y21" i="24"/>
  <c r="Z21" i="24" s="1"/>
  <c r="Y30" i="24"/>
  <c r="Z30" i="24" s="1"/>
  <c r="Y39" i="24"/>
  <c r="Z39" i="24" s="1"/>
  <c r="Y48" i="24"/>
  <c r="Z48" i="24" s="1"/>
  <c r="Y57" i="24"/>
  <c r="Z57" i="24" s="1"/>
  <c r="Y66" i="24"/>
  <c r="Z66" i="24" s="1"/>
  <c r="Y75" i="24"/>
  <c r="Z75" i="24" s="1"/>
  <c r="Y84" i="24"/>
  <c r="Z84" i="24" s="1"/>
  <c r="Y93" i="24"/>
  <c r="Z93" i="24" s="1"/>
  <c r="Y102" i="24"/>
  <c r="Z102" i="24" s="1"/>
  <c r="Y111" i="24"/>
  <c r="Z111" i="24" s="1"/>
  <c r="Y120" i="24"/>
  <c r="Z120" i="24" s="1"/>
  <c r="Y129" i="24"/>
  <c r="Z129" i="24" s="1"/>
  <c r="Y138" i="24"/>
  <c r="Z138" i="24" s="1"/>
  <c r="Y147" i="24"/>
  <c r="Z147" i="24" s="1"/>
  <c r="Y156" i="24"/>
  <c r="Z156" i="24" s="1"/>
  <c r="Y165" i="24"/>
  <c r="Z165" i="24" s="1"/>
  <c r="Y174" i="24"/>
  <c r="Z174" i="24" s="1"/>
  <c r="Y183" i="24"/>
  <c r="Z183" i="24" s="1"/>
  <c r="Y192" i="24"/>
  <c r="Z192" i="24" s="1"/>
  <c r="Y201" i="24"/>
  <c r="Z201" i="24" s="1"/>
  <c r="Y210" i="24"/>
  <c r="Z210" i="24" s="1"/>
  <c r="Y219" i="24"/>
  <c r="Z219" i="24" s="1"/>
  <c r="Y228" i="24"/>
  <c r="Z228" i="24" s="1"/>
  <c r="Y237" i="24"/>
  <c r="Z237" i="24" s="1"/>
  <c r="Y246" i="24"/>
  <c r="Z246" i="24" s="1"/>
  <c r="Y255" i="24"/>
  <c r="Z255" i="24" s="1"/>
  <c r="Y264" i="24"/>
  <c r="Z264" i="24" s="1"/>
  <c r="Y273" i="24"/>
  <c r="Z273" i="24" s="1"/>
  <c r="Y282" i="24"/>
  <c r="Z282" i="24" s="1"/>
  <c r="Y291" i="24"/>
  <c r="Z291" i="24" s="1"/>
  <c r="Y300" i="24"/>
  <c r="Z300" i="24" s="1"/>
  <c r="Y309" i="24"/>
  <c r="Z309" i="24" s="1"/>
  <c r="Y318" i="24"/>
  <c r="Z318" i="24" s="1"/>
  <c r="Y325" i="24"/>
  <c r="Z325" i="24" s="1"/>
  <c r="X3" i="24"/>
  <c r="Y27" i="24"/>
  <c r="Z27" i="24" s="1"/>
  <c r="Y54" i="24"/>
  <c r="Z54" i="24" s="1"/>
  <c r="Y81" i="24"/>
  <c r="Z81" i="24" s="1"/>
  <c r="Y108" i="24"/>
  <c r="Z108" i="24" s="1"/>
  <c r="Y135" i="24"/>
  <c r="Z135" i="24" s="1"/>
  <c r="Y162" i="24"/>
  <c r="Z162" i="24" s="1"/>
  <c r="Y189" i="24"/>
  <c r="Z189" i="24" s="1"/>
  <c r="Y216" i="24"/>
  <c r="Z216" i="24" s="1"/>
  <c r="Y243" i="24"/>
  <c r="Z243" i="24" s="1"/>
  <c r="Y270" i="24"/>
  <c r="Z270" i="24" s="1"/>
  <c r="Y285" i="24"/>
  <c r="Z285" i="24" s="1"/>
  <c r="Y297" i="24"/>
  <c r="Z297" i="24" s="1"/>
  <c r="Y312" i="24"/>
  <c r="Z312" i="24" s="1"/>
  <c r="Y323" i="24"/>
  <c r="Z323" i="24" s="1"/>
  <c r="Y29" i="24"/>
  <c r="Z29" i="24" s="1"/>
  <c r="Y55" i="24"/>
  <c r="Z55" i="24" s="1"/>
  <c r="Y83" i="24"/>
  <c r="Z83" i="24" s="1"/>
  <c r="Y109" i="24"/>
  <c r="Z109" i="24" s="1"/>
  <c r="Y137" i="24"/>
  <c r="Z137" i="24" s="1"/>
  <c r="Y163" i="24"/>
  <c r="Z163" i="24" s="1"/>
  <c r="Y191" i="24"/>
  <c r="Z191" i="24" s="1"/>
  <c r="Y217" i="24"/>
  <c r="Z217" i="24" s="1"/>
  <c r="Y245" i="24"/>
  <c r="Z245" i="24" s="1"/>
  <c r="Y271" i="24"/>
  <c r="Z271" i="24" s="1"/>
  <c r="Y287" i="24"/>
  <c r="Z287" i="24" s="1"/>
  <c r="Y299" i="24"/>
  <c r="Z299" i="24" s="1"/>
  <c r="Y313" i="24"/>
  <c r="Z313" i="24" s="1"/>
  <c r="Y324" i="24"/>
  <c r="Z324" i="24" s="1"/>
  <c r="Y9" i="24"/>
  <c r="Z9" i="24" s="1"/>
  <c r="Y36" i="24"/>
  <c r="Z36" i="24" s="1"/>
  <c r="Y63" i="24"/>
  <c r="Z63" i="24" s="1"/>
  <c r="Y90" i="24"/>
  <c r="Z90" i="24" s="1"/>
  <c r="Y117" i="24"/>
  <c r="Z117" i="24" s="1"/>
  <c r="Y144" i="24"/>
  <c r="Z144" i="24" s="1"/>
  <c r="Y171" i="24"/>
  <c r="Z171" i="24" s="1"/>
  <c r="Y198" i="24"/>
  <c r="Z198" i="24" s="1"/>
  <c r="Y225" i="24"/>
  <c r="Z225" i="24" s="1"/>
  <c r="Y252" i="24"/>
  <c r="Z252" i="24" s="1"/>
  <c r="Y276" i="24"/>
  <c r="Z276" i="24" s="1"/>
  <c r="Y288" i="24"/>
  <c r="Z288" i="24" s="1"/>
  <c r="Y303" i="24"/>
  <c r="Z303" i="24" s="1"/>
  <c r="Y315" i="24"/>
  <c r="Z315" i="24" s="1"/>
  <c r="Y328" i="24"/>
  <c r="Z328" i="24" s="1"/>
  <c r="Y19" i="24"/>
  <c r="Z19" i="24" s="1"/>
  <c r="Y47" i="24"/>
  <c r="Z47" i="24" s="1"/>
  <c r="Y73" i="24"/>
  <c r="Z73" i="24" s="1"/>
  <c r="Y101" i="24"/>
  <c r="Z101" i="24" s="1"/>
  <c r="Y127" i="24"/>
  <c r="Z127" i="24" s="1"/>
  <c r="Y155" i="24"/>
  <c r="Z155" i="24" s="1"/>
  <c r="Y181" i="24"/>
  <c r="Z181" i="24" s="1"/>
  <c r="Y209" i="24"/>
  <c r="Z209" i="24" s="1"/>
  <c r="Y235" i="24"/>
  <c r="Z235" i="24" s="1"/>
  <c r="Y263" i="24"/>
  <c r="Z263" i="24" s="1"/>
  <c r="Y281" i="24"/>
  <c r="Z281" i="24" s="1"/>
  <c r="Y295" i="24"/>
  <c r="Z295" i="24" s="1"/>
  <c r="Y307" i="24"/>
  <c r="Z307" i="24" s="1"/>
  <c r="Y322" i="24"/>
  <c r="Z322" i="24" s="1"/>
  <c r="Y4" i="24"/>
  <c r="Z4" i="24" s="1"/>
  <c r="Y72" i="24"/>
  <c r="Z72" i="24" s="1"/>
  <c r="Y153" i="24"/>
  <c r="Z153" i="24" s="1"/>
  <c r="Y234" i="24"/>
  <c r="Z234" i="24" s="1"/>
  <c r="Y294" i="24"/>
  <c r="Z294" i="24" s="1"/>
  <c r="Y330" i="24"/>
  <c r="Z330" i="24" s="1"/>
  <c r="Y37" i="24"/>
  <c r="Z37" i="24" s="1"/>
  <c r="Y126" i="24"/>
  <c r="Z126" i="24" s="1"/>
  <c r="Y227" i="24"/>
  <c r="Z227" i="24" s="1"/>
  <c r="Y305" i="24"/>
  <c r="Z305" i="24" s="1"/>
  <c r="Y45" i="24"/>
  <c r="Z45" i="24" s="1"/>
  <c r="Y145" i="24"/>
  <c r="Z145" i="24" s="1"/>
  <c r="Y253" i="24"/>
  <c r="Z253" i="24" s="1"/>
  <c r="Y306" i="24"/>
  <c r="Z306" i="24" s="1"/>
  <c r="Y65" i="24"/>
  <c r="Z65" i="24" s="1"/>
  <c r="Y173" i="24"/>
  <c r="Z173" i="24" s="1"/>
  <c r="Y261" i="24"/>
  <c r="Z261" i="24" s="1"/>
  <c r="Y317" i="24"/>
  <c r="Z317" i="24" s="1"/>
  <c r="Y11" i="24"/>
  <c r="Z11" i="24" s="1"/>
  <c r="Y99" i="24"/>
  <c r="Z99" i="24" s="1"/>
  <c r="Y199" i="24"/>
  <c r="Z199" i="24" s="1"/>
  <c r="Y279" i="24"/>
  <c r="Z279" i="24" s="1"/>
  <c r="Y329" i="24"/>
  <c r="Z329" i="24" s="1"/>
  <c r="Y207" i="24"/>
  <c r="Z207" i="24" s="1"/>
  <c r="Y277" i="24"/>
  <c r="Z277" i="24" s="1"/>
  <c r="Y18" i="24"/>
  <c r="Z18" i="24" s="1"/>
  <c r="Y289" i="24"/>
  <c r="Z289" i="24" s="1"/>
  <c r="Y91" i="24"/>
  <c r="Z91" i="24" s="1"/>
  <c r="Y321" i="24"/>
  <c r="Z321" i="24" s="1"/>
  <c r="Y119" i="24"/>
  <c r="Z119" i="24" s="1"/>
  <c r="Y180" i="24"/>
  <c r="Z180" i="24" s="1"/>
  <c r="X316" i="24"/>
  <c r="M316" i="24" s="1"/>
  <c r="X273" i="24"/>
  <c r="M273" i="24" s="1"/>
  <c r="X145" i="24"/>
  <c r="M145" i="24" s="1"/>
  <c r="X37" i="24"/>
  <c r="M37" i="24" s="1"/>
  <c r="X297" i="24"/>
  <c r="M297" i="24" s="1"/>
  <c r="X303" i="24"/>
  <c r="M303" i="24" s="1"/>
  <c r="X213" i="24"/>
  <c r="M213" i="24" s="1"/>
  <c r="X159" i="24"/>
  <c r="M159" i="24" s="1"/>
  <c r="X105" i="24"/>
  <c r="M105" i="24" s="1"/>
  <c r="X51" i="24"/>
  <c r="M51" i="24" s="1"/>
  <c r="X329" i="24"/>
  <c r="M329" i="24" s="1"/>
  <c r="X293" i="24"/>
  <c r="M293" i="24" s="1"/>
  <c r="X257" i="24"/>
  <c r="M257" i="24" s="1"/>
  <c r="X221" i="24"/>
  <c r="M221" i="24" s="1"/>
  <c r="X185" i="24"/>
  <c r="M185" i="24" s="1"/>
  <c r="X149" i="24"/>
  <c r="M149" i="24" s="1"/>
  <c r="X113" i="24"/>
  <c r="M113" i="24" s="1"/>
  <c r="X77" i="24"/>
  <c r="M77" i="24" s="1"/>
  <c r="X41" i="24"/>
  <c r="M41" i="24" s="1"/>
  <c r="X228" i="24"/>
  <c r="M228" i="24" s="1"/>
  <c r="X192" i="24"/>
  <c r="M192" i="24" s="1"/>
  <c r="X156" i="24"/>
  <c r="M156" i="24" s="1"/>
  <c r="X120" i="24"/>
  <c r="M120" i="24" s="1"/>
  <c r="X84" i="24"/>
  <c r="M84" i="24" s="1"/>
  <c r="X48" i="24"/>
  <c r="M48" i="24" s="1"/>
  <c r="X11" i="24"/>
  <c r="M11" i="24" s="1"/>
  <c r="J338" i="24"/>
  <c r="J344" i="24"/>
  <c r="J350" i="24"/>
  <c r="J341" i="24"/>
  <c r="J347" i="24"/>
  <c r="J353" i="24"/>
  <c r="J336" i="24"/>
  <c r="J342" i="24"/>
  <c r="J348" i="24"/>
  <c r="J354" i="24"/>
  <c r="J345" i="24"/>
  <c r="J346" i="24"/>
  <c r="J337" i="24"/>
  <c r="J349" i="24"/>
  <c r="J343" i="24"/>
  <c r="J351" i="24"/>
  <c r="J352" i="24"/>
  <c r="J340" i="24"/>
  <c r="J339" i="24"/>
  <c r="X39" i="24"/>
  <c r="M39" i="24" s="1"/>
  <c r="X229" i="24"/>
  <c r="M229" i="24" s="1"/>
  <c r="X262" i="24"/>
  <c r="M262" i="24" s="1"/>
  <c r="X82" i="24"/>
  <c r="M82" i="24" s="1"/>
  <c r="X139" i="24"/>
  <c r="M139" i="24" s="1"/>
  <c r="X309" i="24"/>
  <c r="M309" i="24" s="1"/>
  <c r="X220" i="24"/>
  <c r="M220" i="24" s="1"/>
  <c r="X166" i="24"/>
  <c r="M166" i="24" s="1"/>
  <c r="X112" i="24"/>
  <c r="M112" i="24" s="1"/>
  <c r="X58" i="24"/>
  <c r="M58" i="24" s="1"/>
  <c r="X241" i="24"/>
  <c r="M241" i="24" s="1"/>
  <c r="X189" i="24"/>
  <c r="M189" i="24" s="1"/>
  <c r="X81" i="24"/>
  <c r="M81" i="24" s="1"/>
  <c r="X247" i="24"/>
  <c r="M247" i="24" s="1"/>
  <c r="X196" i="24"/>
  <c r="M196" i="24" s="1"/>
  <c r="X88" i="24"/>
  <c r="M88" i="24" s="1"/>
  <c r="X34" i="24"/>
  <c r="M34" i="24" s="1"/>
  <c r="X253" i="24"/>
  <c r="M253" i="24" s="1"/>
  <c r="X205" i="24"/>
  <c r="M205" i="24" s="1"/>
  <c r="X151" i="24"/>
  <c r="M151" i="24" s="1"/>
  <c r="X97" i="24"/>
  <c r="M97" i="24" s="1"/>
  <c r="X43" i="24"/>
  <c r="M43" i="24" s="1"/>
  <c r="X323" i="24"/>
  <c r="M323" i="24" s="1"/>
  <c r="X287" i="24"/>
  <c r="M287" i="24" s="1"/>
  <c r="X251" i="24"/>
  <c r="M251" i="24" s="1"/>
  <c r="X215" i="24"/>
  <c r="M215" i="24" s="1"/>
  <c r="X179" i="24"/>
  <c r="M179" i="24" s="1"/>
  <c r="X143" i="24"/>
  <c r="M143" i="24" s="1"/>
  <c r="X107" i="24"/>
  <c r="M107" i="24" s="1"/>
  <c r="X71" i="24"/>
  <c r="M71" i="24" s="1"/>
  <c r="X35" i="24"/>
  <c r="M35" i="24" s="1"/>
  <c r="X222" i="24"/>
  <c r="M222" i="24" s="1"/>
  <c r="X186" i="24"/>
  <c r="M186" i="24" s="1"/>
  <c r="X150" i="24"/>
  <c r="M150" i="24" s="1"/>
  <c r="X114" i="24"/>
  <c r="M114" i="24" s="1"/>
  <c r="X78" i="24"/>
  <c r="M78" i="24" s="1"/>
  <c r="X42" i="24"/>
  <c r="M42" i="24" s="1"/>
  <c r="X14" i="24"/>
  <c r="M14" i="24" s="1"/>
  <c r="X307" i="24"/>
  <c r="M307" i="24" s="1"/>
  <c r="X75" i="24"/>
  <c r="M75" i="24" s="1"/>
  <c r="X258" i="24"/>
  <c r="M258" i="24" s="1"/>
  <c r="X111" i="24"/>
  <c r="M111" i="24" s="1"/>
  <c r="X259" i="24"/>
  <c r="M259" i="24" s="1"/>
  <c r="X234" i="24"/>
  <c r="M234" i="24" s="1"/>
  <c r="X181" i="24"/>
  <c r="M181" i="24" s="1"/>
  <c r="X73" i="24"/>
  <c r="M73" i="24" s="1"/>
  <c r="X283" i="24"/>
  <c r="M283" i="24" s="1"/>
  <c r="X240" i="24"/>
  <c r="M240" i="24" s="1"/>
  <c r="X289" i="24"/>
  <c r="M289" i="24" s="1"/>
  <c r="X246" i="24"/>
  <c r="M246" i="24" s="1"/>
  <c r="X195" i="24"/>
  <c r="M195" i="24" s="1"/>
  <c r="X141" i="24"/>
  <c r="M141" i="24" s="1"/>
  <c r="X87" i="24"/>
  <c r="M87" i="24" s="1"/>
  <c r="X33" i="24"/>
  <c r="M33" i="24" s="1"/>
  <c r="X317" i="24"/>
  <c r="M317" i="24" s="1"/>
  <c r="X281" i="24"/>
  <c r="M281" i="24" s="1"/>
  <c r="X245" i="24"/>
  <c r="M245" i="24" s="1"/>
  <c r="X209" i="24"/>
  <c r="M209" i="24" s="1"/>
  <c r="X173" i="24"/>
  <c r="M173" i="24" s="1"/>
  <c r="X137" i="24"/>
  <c r="M137" i="24" s="1"/>
  <c r="X101" i="24"/>
  <c r="M101" i="24" s="1"/>
  <c r="X65" i="24"/>
  <c r="M65" i="24" s="1"/>
  <c r="X29" i="24"/>
  <c r="M29" i="24" s="1"/>
  <c r="X216" i="24"/>
  <c r="M216" i="24" s="1"/>
  <c r="X180" i="24"/>
  <c r="M180" i="24" s="1"/>
  <c r="X144" i="24"/>
  <c r="M144" i="24" s="1"/>
  <c r="X108" i="24"/>
  <c r="M108" i="24" s="1"/>
  <c r="X72" i="24"/>
  <c r="M72" i="24" s="1"/>
  <c r="X36" i="24"/>
  <c r="M36" i="24" s="1"/>
  <c r="X8" i="24"/>
  <c r="M8" i="24" s="1"/>
  <c r="P331" i="24"/>
  <c r="R15" i="24"/>
  <c r="R293" i="24"/>
  <c r="Q331" i="24"/>
  <c r="R220" i="24"/>
  <c r="Z331" i="24" l="1"/>
  <c r="Z349" i="24"/>
  <c r="T349" i="24"/>
  <c r="Z342" i="24"/>
  <c r="T342" i="24"/>
  <c r="Z344" i="24"/>
  <c r="T344" i="24"/>
  <c r="Z339" i="24"/>
  <c r="T339" i="24"/>
  <c r="Z337" i="24"/>
  <c r="T337" i="24"/>
  <c r="Z336" i="24"/>
  <c r="T336" i="24"/>
  <c r="Z338" i="24"/>
  <c r="T338" i="24"/>
  <c r="Z340" i="24"/>
  <c r="T340" i="24"/>
  <c r="T346" i="24"/>
  <c r="Z346" i="24"/>
  <c r="Z353" i="24"/>
  <c r="T353" i="24"/>
  <c r="Z352" i="24"/>
  <c r="T352" i="24"/>
  <c r="T345" i="24"/>
  <c r="Z345" i="24"/>
  <c r="Z347" i="24"/>
  <c r="T347" i="24"/>
  <c r="T351" i="24"/>
  <c r="Z351" i="24"/>
  <c r="Z354" i="24"/>
  <c r="T354" i="24"/>
  <c r="Z341" i="24"/>
  <c r="T341" i="24"/>
  <c r="Z335" i="24"/>
  <c r="Y335" i="24"/>
  <c r="T335" i="24"/>
  <c r="Z343" i="24"/>
  <c r="T343" i="24"/>
  <c r="Z348" i="24"/>
  <c r="T348" i="24"/>
  <c r="Z350" i="24"/>
  <c r="T350" i="24"/>
  <c r="M345" i="24"/>
  <c r="M347" i="24"/>
  <c r="M351" i="24"/>
  <c r="M354" i="24"/>
  <c r="M348" i="24"/>
  <c r="M349" i="24"/>
  <c r="M344" i="24"/>
  <c r="M340" i="24"/>
  <c r="M353" i="24"/>
  <c r="X331" i="24"/>
  <c r="M331" i="24" s="1"/>
  <c r="M388" i="24"/>
  <c r="M394" i="24"/>
  <c r="M400" i="24"/>
  <c r="M389" i="24"/>
  <c r="M395" i="24"/>
  <c r="M401" i="24"/>
  <c r="M384" i="24"/>
  <c r="M390" i="24"/>
  <c r="M396" i="24"/>
  <c r="M402" i="24"/>
  <c r="M392" i="24"/>
  <c r="M385" i="24"/>
  <c r="M391" i="24"/>
  <c r="M397" i="24"/>
  <c r="M383" i="24"/>
  <c r="M386" i="24"/>
  <c r="M398" i="24"/>
  <c r="M387" i="24"/>
  <c r="M393" i="24"/>
  <c r="M399" i="24"/>
  <c r="M338" i="24"/>
  <c r="M352" i="24"/>
  <c r="M346" i="24"/>
  <c r="M341" i="24"/>
  <c r="M335" i="24"/>
  <c r="M342" i="24"/>
  <c r="M339" i="24"/>
  <c r="M337" i="24"/>
  <c r="M336" i="24"/>
  <c r="M343" i="24"/>
  <c r="M350" i="24"/>
  <c r="X401" i="24"/>
  <c r="X395" i="24"/>
  <c r="X392" i="24"/>
  <c r="X389" i="24"/>
  <c r="X383" i="24"/>
  <c r="X400" i="24"/>
  <c r="X397" i="24"/>
  <c r="X394" i="24"/>
  <c r="X391" i="24"/>
  <c r="X388" i="24"/>
  <c r="X385" i="24"/>
  <c r="X402" i="24"/>
  <c r="X393" i="24"/>
  <c r="X390" i="24"/>
  <c r="X387" i="24"/>
  <c r="X384" i="24"/>
  <c r="Y401" i="24"/>
  <c r="Y395" i="24"/>
  <c r="Y392" i="24"/>
  <c r="Y389" i="24"/>
  <c r="Y386" i="24"/>
  <c r="Y383" i="24"/>
  <c r="Y390" i="24"/>
  <c r="Y396" i="24"/>
  <c r="Y400" i="24"/>
  <c r="Y394" i="24"/>
  <c r="Y391" i="24"/>
  <c r="Y388" i="24"/>
  <c r="Y385" i="24"/>
  <c r="Y384" i="24"/>
  <c r="Y402" i="24"/>
  <c r="Y393" i="24"/>
  <c r="Y387" i="24"/>
  <c r="X348" i="24"/>
  <c r="G348" i="24"/>
  <c r="Y348" i="24"/>
  <c r="S348" i="24"/>
  <c r="R348" i="24"/>
  <c r="Y343" i="24"/>
  <c r="S343" i="24"/>
  <c r="R343" i="24"/>
  <c r="X343" i="24"/>
  <c r="G343" i="24"/>
  <c r="G350" i="24"/>
  <c r="R350" i="24"/>
  <c r="Y350" i="24"/>
  <c r="X350" i="24"/>
  <c r="S350" i="24"/>
  <c r="G339" i="24"/>
  <c r="S339" i="24"/>
  <c r="Y339" i="24"/>
  <c r="X339" i="24"/>
  <c r="R339" i="24"/>
  <c r="Y349" i="24"/>
  <c r="X349" i="24"/>
  <c r="S349" i="24"/>
  <c r="R349" i="24"/>
  <c r="G349" i="24"/>
  <c r="Y342" i="24"/>
  <c r="G342" i="24"/>
  <c r="X342" i="24"/>
  <c r="S342" i="24"/>
  <c r="R342" i="24"/>
  <c r="G344" i="24"/>
  <c r="X344" i="24"/>
  <c r="S344" i="24"/>
  <c r="Y344" i="24"/>
  <c r="R344" i="24"/>
  <c r="R340" i="24"/>
  <c r="Y340" i="24"/>
  <c r="S340" i="24"/>
  <c r="G340" i="24"/>
  <c r="X340" i="24"/>
  <c r="Y337" i="24"/>
  <c r="G337" i="24"/>
  <c r="X337" i="24"/>
  <c r="S337" i="24"/>
  <c r="R337" i="24"/>
  <c r="R336" i="24"/>
  <c r="G336" i="24"/>
  <c r="X336" i="24"/>
  <c r="Y336" i="24"/>
  <c r="S336" i="24"/>
  <c r="G338" i="24"/>
  <c r="Y338" i="24"/>
  <c r="S338" i="24"/>
  <c r="R338" i="24"/>
  <c r="X338" i="24"/>
  <c r="S353" i="24"/>
  <c r="X353" i="24"/>
  <c r="G353" i="24"/>
  <c r="Y353" i="24"/>
  <c r="R353" i="24"/>
  <c r="R352" i="24"/>
  <c r="Y352" i="24"/>
  <c r="G352" i="24"/>
  <c r="X352" i="24"/>
  <c r="S352" i="24"/>
  <c r="R346" i="24"/>
  <c r="Y346" i="24"/>
  <c r="G346" i="24"/>
  <c r="X346" i="24"/>
  <c r="S346" i="24"/>
  <c r="G351" i="24"/>
  <c r="X351" i="24"/>
  <c r="R351" i="24"/>
  <c r="S351" i="24"/>
  <c r="Y351" i="24"/>
  <c r="G345" i="24"/>
  <c r="S345" i="24"/>
  <c r="Y345" i="24"/>
  <c r="R345" i="24"/>
  <c r="X345" i="24"/>
  <c r="S347" i="24"/>
  <c r="R347" i="24"/>
  <c r="X347" i="24"/>
  <c r="Y347" i="24"/>
  <c r="G347" i="24"/>
  <c r="Y331" i="24"/>
  <c r="S335" i="24"/>
  <c r="R335" i="24"/>
  <c r="X335" i="24"/>
  <c r="G335" i="24"/>
  <c r="G354" i="24"/>
  <c r="X354" i="24"/>
  <c r="S354" i="24"/>
  <c r="R354" i="24"/>
  <c r="Y354" i="24"/>
  <c r="S341" i="24"/>
  <c r="G341" i="24"/>
  <c r="Y341" i="24"/>
  <c r="R341" i="24"/>
  <c r="X341" i="24"/>
  <c r="R331" i="24"/>
  <c r="V15" i="8"/>
  <c r="V17" i="8"/>
  <c r="V20" i="8"/>
  <c r="V28" i="8"/>
  <c r="V31" i="8"/>
  <c r="V32" i="8"/>
  <c r="V33" i="8"/>
  <c r="V36" i="8"/>
  <c r="V37" i="8"/>
  <c r="V41" i="8"/>
  <c r="V45" i="8"/>
  <c r="V47" i="8"/>
  <c r="V48" i="8"/>
  <c r="V49" i="8"/>
  <c r="V51" i="8"/>
  <c r="V54" i="8"/>
  <c r="V57" i="8"/>
  <c r="V59" i="8"/>
  <c r="V60" i="8"/>
  <c r="V63" i="8"/>
  <c r="V67" i="8"/>
  <c r="V68" i="8"/>
  <c r="V69" i="8"/>
  <c r="V71" i="8"/>
  <c r="V76" i="8"/>
  <c r="V77" i="8"/>
  <c r="V78" i="8"/>
  <c r="V80" i="8"/>
  <c r="V85" i="8"/>
  <c r="V86" i="8"/>
  <c r="V88" i="8"/>
  <c r="V89" i="8"/>
  <c r="V90" i="8"/>
  <c r="V92" i="8"/>
  <c r="V93" i="8"/>
  <c r="V106" i="8"/>
  <c r="V107" i="8"/>
  <c r="V111" i="8"/>
  <c r="V112" i="8"/>
  <c r="V117" i="8"/>
  <c r="V120" i="8"/>
  <c r="V121" i="8"/>
  <c r="V125" i="8"/>
  <c r="V127" i="8"/>
  <c r="V129" i="8"/>
  <c r="V130" i="8"/>
  <c r="V131" i="8"/>
  <c r="V133" i="8"/>
  <c r="V139" i="8"/>
  <c r="V140" i="8"/>
  <c r="V142" i="8"/>
  <c r="V143" i="8"/>
  <c r="V145" i="8"/>
  <c r="V146" i="8"/>
  <c r="V147" i="8"/>
  <c r="V149" i="8"/>
  <c r="V151" i="8"/>
  <c r="V153" i="8"/>
  <c r="V154" i="8"/>
  <c r="V159" i="8"/>
  <c r="V160" i="8"/>
  <c r="V162" i="8"/>
  <c r="V163" i="8"/>
  <c r="V165" i="8"/>
  <c r="V169" i="8"/>
  <c r="V172" i="8"/>
  <c r="V175" i="8"/>
  <c r="V176" i="8"/>
  <c r="V178" i="8"/>
  <c r="V180" i="8"/>
  <c r="V185" i="8"/>
  <c r="V186" i="8"/>
  <c r="V190" i="8"/>
  <c r="V193" i="8"/>
  <c r="V194" i="8"/>
  <c r="V196" i="8"/>
  <c r="V198" i="8"/>
  <c r="V200" i="8"/>
  <c r="V202" i="8"/>
  <c r="V212" i="8"/>
  <c r="V217" i="8"/>
  <c r="V219" i="8"/>
  <c r="V226" i="8"/>
  <c r="V229" i="8"/>
  <c r="V231" i="8"/>
  <c r="V232" i="8"/>
  <c r="V233" i="8"/>
  <c r="V234" i="8"/>
  <c r="V236" i="8"/>
  <c r="V238" i="8"/>
  <c r="V243" i="8"/>
  <c r="V244" i="8"/>
  <c r="V250" i="8"/>
  <c r="V252" i="8"/>
  <c r="V256" i="8"/>
  <c r="V257" i="8"/>
  <c r="V259" i="8"/>
  <c r="V260" i="8"/>
  <c r="V267" i="8"/>
  <c r="V270" i="8"/>
  <c r="V271" i="8"/>
  <c r="V272" i="8"/>
  <c r="V275" i="8"/>
  <c r="V276" i="8"/>
  <c r="V279" i="8"/>
  <c r="V283" i="8"/>
  <c r="V290" i="8"/>
  <c r="V292" i="8"/>
  <c r="V294" i="8"/>
  <c r="V295" i="8"/>
  <c r="V296" i="8"/>
  <c r="V297" i="8"/>
  <c r="V298" i="8"/>
  <c r="V300" i="8"/>
  <c r="V301" i="8"/>
  <c r="V306" i="8"/>
  <c r="V307" i="8"/>
  <c r="V310" i="8"/>
  <c r="V314" i="8"/>
  <c r="V317" i="8"/>
  <c r="V321" i="8"/>
  <c r="V322" i="8"/>
  <c r="V323" i="8"/>
  <c r="V324" i="8"/>
  <c r="V326" i="8"/>
  <c r="B160" i="21"/>
  <c r="B161" i="21"/>
  <c r="B164" i="21"/>
  <c r="B165" i="21"/>
  <c r="B168" i="21"/>
  <c r="B169" i="21"/>
  <c r="B172" i="21"/>
  <c r="B173" i="21"/>
  <c r="B176" i="21"/>
  <c r="B177" i="21"/>
  <c r="B181" i="21"/>
  <c r="B185" i="21"/>
  <c r="B178" i="21"/>
  <c r="B179" i="21"/>
  <c r="B180" i="21"/>
  <c r="B182" i="21"/>
  <c r="B183" i="21"/>
  <c r="B184" i="21"/>
  <c r="B157" i="21"/>
  <c r="B158" i="21"/>
  <c r="B159" i="21"/>
  <c r="B162" i="21"/>
  <c r="B163" i="21"/>
  <c r="B166" i="21"/>
  <c r="B167" i="21"/>
  <c r="B170" i="21"/>
  <c r="B171" i="21"/>
  <c r="B174" i="21"/>
  <c r="B175" i="21"/>
  <c r="B139" i="21"/>
  <c r="B140" i="21"/>
  <c r="B141" i="21"/>
  <c r="B142" i="21"/>
  <c r="B143" i="21"/>
  <c r="B144" i="21"/>
  <c r="B145" i="21"/>
  <c r="B146" i="21"/>
  <c r="B147" i="21"/>
  <c r="B148" i="21"/>
  <c r="B149" i="21"/>
  <c r="B150" i="21"/>
  <c r="B151" i="21"/>
  <c r="B152" i="21"/>
  <c r="B153" i="21"/>
  <c r="B154" i="21"/>
  <c r="B155" i="21"/>
  <c r="B156" i="21"/>
  <c r="B2" i="21"/>
  <c r="B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 i="21"/>
  <c r="B2" i="14"/>
  <c r="V3" i="8" s="1"/>
  <c r="B3" i="14"/>
  <c r="B4" i="14"/>
  <c r="B5" i="14"/>
  <c r="B6" i="14"/>
  <c r="B7" i="14"/>
  <c r="V8" i="8" s="1"/>
  <c r="B8" i="14"/>
  <c r="B9" i="14"/>
  <c r="B10" i="14"/>
  <c r="B11" i="14"/>
  <c r="B12" i="14"/>
  <c r="B13" i="14"/>
  <c r="B14" i="14"/>
  <c r="B15" i="14"/>
  <c r="V18" i="8" s="1"/>
  <c r="B16" i="14"/>
  <c r="B17" i="14"/>
  <c r="B18" i="14"/>
  <c r="B19" i="14"/>
  <c r="B20" i="14"/>
  <c r="B21" i="14"/>
  <c r="B22" i="14"/>
  <c r="B23" i="14"/>
  <c r="B24" i="14"/>
  <c r="B25" i="14"/>
  <c r="B26" i="14"/>
  <c r="V34" i="8" s="1"/>
  <c r="B27" i="14"/>
  <c r="B28" i="14"/>
  <c r="B29" i="14"/>
  <c r="B30" i="14"/>
  <c r="B31" i="14"/>
  <c r="B32" i="14"/>
  <c r="B33" i="14"/>
  <c r="B34" i="14"/>
  <c r="V46" i="8" s="1"/>
  <c r="B35" i="14"/>
  <c r="B36" i="14"/>
  <c r="B37" i="14"/>
  <c r="B38" i="14"/>
  <c r="B39" i="14"/>
  <c r="B40" i="14"/>
  <c r="B41" i="14"/>
  <c r="B42" i="14"/>
  <c r="B43" i="14"/>
  <c r="B44" i="14"/>
  <c r="B45" i="14"/>
  <c r="V66" i="8" s="1"/>
  <c r="B46" i="14"/>
  <c r="B47" i="14"/>
  <c r="B48" i="14"/>
  <c r="V73" i="8" s="1"/>
  <c r="B49" i="14"/>
  <c r="B50" i="14"/>
  <c r="B51" i="14"/>
  <c r="B52" i="14"/>
  <c r="B53" i="14"/>
  <c r="B54" i="14"/>
  <c r="B55" i="14"/>
  <c r="B56" i="14"/>
  <c r="B57" i="14"/>
  <c r="V91" i="8" s="1"/>
  <c r="B58" i="14"/>
  <c r="B59" i="14"/>
  <c r="B60" i="14"/>
  <c r="B61" i="14"/>
  <c r="B62" i="14"/>
  <c r="B63" i="14"/>
  <c r="B64" i="14"/>
  <c r="B65" i="14"/>
  <c r="B66" i="14"/>
  <c r="B67" i="14"/>
  <c r="V103" i="8" s="1"/>
  <c r="B68" i="14"/>
  <c r="B69" i="14"/>
  <c r="B70" i="14"/>
  <c r="B71" i="14"/>
  <c r="V109" i="8" s="1"/>
  <c r="B72" i="14"/>
  <c r="B73" i="14"/>
  <c r="B74" i="14"/>
  <c r="B75" i="14"/>
  <c r="B76" i="14"/>
  <c r="B77" i="14"/>
  <c r="B78" i="14"/>
  <c r="B79" i="14"/>
  <c r="B80" i="14"/>
  <c r="B81" i="14"/>
  <c r="B82" i="14"/>
  <c r="B83" i="14"/>
  <c r="B84" i="14"/>
  <c r="B85" i="14"/>
  <c r="B86" i="14"/>
  <c r="B87" i="14"/>
  <c r="B88" i="14"/>
  <c r="B89" i="14"/>
  <c r="B90" i="14"/>
  <c r="B91" i="14"/>
  <c r="V150" i="8" s="1"/>
  <c r="B92" i="14"/>
  <c r="B93" i="14"/>
  <c r="B94" i="14"/>
  <c r="B95" i="14"/>
  <c r="B96" i="14"/>
  <c r="B97" i="14"/>
  <c r="B98" i="14"/>
  <c r="B99" i="14"/>
  <c r="B100" i="14"/>
  <c r="B101" i="14"/>
  <c r="B102" i="14"/>
  <c r="B103" i="14"/>
  <c r="B104" i="14"/>
  <c r="B105" i="14"/>
  <c r="B106" i="14"/>
  <c r="B107" i="14"/>
  <c r="B108" i="14"/>
  <c r="B109" i="14"/>
  <c r="B110" i="14"/>
  <c r="V184" i="8" s="1"/>
  <c r="B111" i="14"/>
  <c r="V187" i="8" s="1"/>
  <c r="B112" i="14"/>
  <c r="B113" i="14"/>
  <c r="B114" i="14"/>
  <c r="B115" i="14"/>
  <c r="B116" i="14"/>
  <c r="B117" i="14"/>
  <c r="B118" i="14"/>
  <c r="B119" i="14"/>
  <c r="B120" i="14"/>
  <c r="B121" i="14"/>
  <c r="B122" i="14"/>
  <c r="V205" i="8" s="1"/>
  <c r="B123" i="14"/>
  <c r="B124" i="14"/>
  <c r="B125" i="14"/>
  <c r="B126" i="14"/>
  <c r="B127" i="14"/>
  <c r="B128" i="14"/>
  <c r="B129" i="14"/>
  <c r="B130" i="14"/>
  <c r="B131" i="14"/>
  <c r="B132" i="14"/>
  <c r="B133" i="14"/>
  <c r="B134" i="14"/>
  <c r="B135" i="14"/>
  <c r="B136" i="14"/>
  <c r="V223" i="8" s="1"/>
  <c r="B137" i="14"/>
  <c r="B138" i="14"/>
  <c r="V225" i="8" s="1"/>
  <c r="B139" i="14"/>
  <c r="B140" i="14"/>
  <c r="B141" i="14"/>
  <c r="B142" i="14"/>
  <c r="B143" i="14"/>
  <c r="B144" i="14"/>
  <c r="B145" i="14"/>
  <c r="V239" i="8" s="1"/>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 i="14"/>
  <c r="R402" i="24" l="1"/>
  <c r="X399" i="24"/>
  <c r="Z399" i="24"/>
  <c r="T399" i="24"/>
  <c r="T397" i="24"/>
  <c r="Z397" i="24"/>
  <c r="T390" i="24"/>
  <c r="Z390" i="24"/>
  <c r="T394" i="24"/>
  <c r="Z394" i="24"/>
  <c r="Z393" i="24"/>
  <c r="T393" i="24"/>
  <c r="T391" i="24"/>
  <c r="Z391" i="24"/>
  <c r="T384" i="24"/>
  <c r="Z384" i="24"/>
  <c r="T388" i="24"/>
  <c r="Z388" i="24"/>
  <c r="Z387" i="24"/>
  <c r="T387" i="24"/>
  <c r="T385" i="24"/>
  <c r="Z385" i="24"/>
  <c r="Z401" i="24"/>
  <c r="T401" i="24"/>
  <c r="Z398" i="24"/>
  <c r="T398" i="24"/>
  <c r="Z392" i="24"/>
  <c r="T392" i="24"/>
  <c r="Z395" i="24"/>
  <c r="T395" i="24"/>
  <c r="Z386" i="24"/>
  <c r="T386" i="24"/>
  <c r="T402" i="24"/>
  <c r="Z402" i="24"/>
  <c r="Z389" i="24"/>
  <c r="T389" i="24"/>
  <c r="T383" i="24"/>
  <c r="Z383" i="24"/>
  <c r="X396" i="24"/>
  <c r="T396" i="24"/>
  <c r="Z396" i="24"/>
  <c r="T400" i="24"/>
  <c r="Z400" i="24"/>
  <c r="Y399" i="24"/>
  <c r="Y398" i="24"/>
  <c r="X386" i="24"/>
  <c r="Y397" i="24"/>
  <c r="J387" i="24"/>
  <c r="G387" i="24"/>
  <c r="R387" i="24"/>
  <c r="S387" i="24"/>
  <c r="G385" i="24"/>
  <c r="J385" i="24"/>
  <c r="R385" i="24"/>
  <c r="S385" i="24"/>
  <c r="J401" i="24"/>
  <c r="G401" i="24"/>
  <c r="R401" i="24"/>
  <c r="S401" i="24"/>
  <c r="G398" i="24"/>
  <c r="J398" i="24"/>
  <c r="S398" i="24"/>
  <c r="R398" i="24"/>
  <c r="G392" i="24"/>
  <c r="J392" i="24"/>
  <c r="S392" i="24"/>
  <c r="R392" i="24"/>
  <c r="J395" i="24"/>
  <c r="G395" i="24"/>
  <c r="S395" i="24"/>
  <c r="R395" i="24"/>
  <c r="X398" i="24"/>
  <c r="G386" i="24"/>
  <c r="J386" i="24"/>
  <c r="R386" i="24"/>
  <c r="S386" i="24"/>
  <c r="G402" i="24"/>
  <c r="J402" i="24"/>
  <c r="S402" i="24"/>
  <c r="J389" i="24"/>
  <c r="G389" i="24"/>
  <c r="R389" i="24"/>
  <c r="S389" i="24"/>
  <c r="G383" i="24"/>
  <c r="J383" i="24"/>
  <c r="R383" i="24"/>
  <c r="S383" i="24"/>
  <c r="G396" i="24"/>
  <c r="J396" i="24"/>
  <c r="R396" i="24"/>
  <c r="S396" i="24"/>
  <c r="J400" i="24"/>
  <c r="G400" i="24"/>
  <c r="R400" i="24"/>
  <c r="S400" i="24"/>
  <c r="J399" i="24"/>
  <c r="G399" i="24"/>
  <c r="R399" i="24"/>
  <c r="S399" i="24"/>
  <c r="G397" i="24"/>
  <c r="J397" i="24"/>
  <c r="R397" i="24"/>
  <c r="S397" i="24"/>
  <c r="G390" i="24"/>
  <c r="J390" i="24"/>
  <c r="R390" i="24"/>
  <c r="S390" i="24"/>
  <c r="J394" i="24"/>
  <c r="G394" i="24"/>
  <c r="R394" i="24"/>
  <c r="S394" i="24"/>
  <c r="J393" i="24"/>
  <c r="G393" i="24"/>
  <c r="R393" i="24"/>
  <c r="S393" i="24"/>
  <c r="G391" i="24"/>
  <c r="J391" i="24"/>
  <c r="S391" i="24"/>
  <c r="R391" i="24"/>
  <c r="G384" i="24"/>
  <c r="J384" i="24"/>
  <c r="R384" i="24"/>
  <c r="S384" i="24"/>
  <c r="J388" i="24"/>
  <c r="G388" i="24"/>
  <c r="S388" i="24"/>
  <c r="R388" i="24"/>
  <c r="W331" i="8"/>
  <c r="V309" i="8"/>
  <c r="V258" i="8"/>
  <c r="V208" i="8"/>
  <c r="V155" i="8"/>
  <c r="V116" i="8"/>
  <c r="V74" i="8"/>
  <c r="V38" i="8"/>
  <c r="V16" i="8"/>
  <c r="V9" i="8"/>
  <c r="W309" i="8"/>
  <c r="X309" i="8" s="1"/>
  <c r="V316" i="8"/>
  <c r="V265" i="8"/>
  <c r="V214" i="8"/>
  <c r="V164" i="8"/>
  <c r="V104" i="8"/>
  <c r="W247" i="8"/>
  <c r="V313" i="8"/>
  <c r="V289" i="8"/>
  <c r="V263" i="8"/>
  <c r="V319" i="8"/>
  <c r="V311" i="8"/>
  <c r="V302" i="8"/>
  <c r="V287" i="8"/>
  <c r="V280" i="8"/>
  <c r="V268" i="8"/>
  <c r="V261" i="8"/>
  <c r="V249" i="8"/>
  <c r="V241" i="8"/>
  <c r="V227" i="8"/>
  <c r="V216" i="8"/>
  <c r="V209" i="8"/>
  <c r="V201" i="8"/>
  <c r="V189" i="8"/>
  <c r="V177" i="8"/>
  <c r="V167" i="8"/>
  <c r="V156" i="8"/>
  <c r="V138" i="8"/>
  <c r="V128" i="8"/>
  <c r="V118" i="8"/>
  <c r="V108" i="8"/>
  <c r="V99" i="8"/>
  <c r="V87" i="8"/>
  <c r="V75" i="8"/>
  <c r="V62" i="8"/>
  <c r="V52" i="8"/>
  <c r="V39" i="8"/>
  <c r="V26" i="8"/>
  <c r="V19" i="8"/>
  <c r="V10" i="8"/>
  <c r="W2" i="8"/>
  <c r="W241" i="8"/>
  <c r="W216" i="8"/>
  <c r="W201" i="8"/>
  <c r="W278" i="8"/>
  <c r="W258" i="8"/>
  <c r="W311" i="8"/>
  <c r="W287" i="8"/>
  <c r="W325" i="8"/>
  <c r="V299" i="8"/>
  <c r="V248" i="8"/>
  <c r="V199" i="8"/>
  <c r="V137" i="8"/>
  <c r="V98" i="8"/>
  <c r="V61" i="8"/>
  <c r="V25" i="8"/>
  <c r="W240" i="8"/>
  <c r="W126" i="8"/>
  <c r="W84" i="8"/>
  <c r="W61" i="8"/>
  <c r="V328" i="8"/>
  <c r="X328" i="8" s="1"/>
  <c r="V277" i="8"/>
  <c r="V222" i="8"/>
  <c r="V173" i="8"/>
  <c r="V115" i="8"/>
  <c r="V72" i="8"/>
  <c r="V35" i="8"/>
  <c r="W207" i="8"/>
  <c r="W264" i="8"/>
  <c r="W304" i="8"/>
  <c r="W282" i="8"/>
  <c r="W318" i="8"/>
  <c r="V286" i="8"/>
  <c r="X286" i="8" s="1"/>
  <c r="V240" i="8"/>
  <c r="V188" i="8"/>
  <c r="V126" i="8"/>
  <c r="V84" i="8"/>
  <c r="V50" i="8"/>
  <c r="W105" i="8"/>
  <c r="W320" i="8"/>
  <c r="V308" i="8"/>
  <c r="V255" i="8"/>
  <c r="V207" i="8"/>
  <c r="V152" i="8"/>
  <c r="V327" i="8"/>
  <c r="V315" i="8"/>
  <c r="V305" i="8"/>
  <c r="V291" i="8"/>
  <c r="V284" i="8"/>
  <c r="V274" i="8"/>
  <c r="V264" i="8"/>
  <c r="V254" i="8"/>
  <c r="V246" i="8"/>
  <c r="V235" i="8"/>
  <c r="V221" i="8"/>
  <c r="V213" i="8"/>
  <c r="V206" i="8"/>
  <c r="V195" i="8"/>
  <c r="V182" i="8"/>
  <c r="V171" i="8"/>
  <c r="V161" i="8"/>
  <c r="V148" i="8"/>
  <c r="V135" i="8"/>
  <c r="V123" i="8"/>
  <c r="V114" i="8"/>
  <c r="V102" i="8"/>
  <c r="V96" i="8"/>
  <c r="V82" i="8"/>
  <c r="V70" i="8"/>
  <c r="V56" i="8"/>
  <c r="V43" i="8"/>
  <c r="V30" i="8"/>
  <c r="V23" i="8"/>
  <c r="V13" i="8"/>
  <c r="V6" i="8"/>
  <c r="W246" i="8"/>
  <c r="W221" i="8"/>
  <c r="W206" i="8"/>
  <c r="W182" i="8"/>
  <c r="W161" i="8"/>
  <c r="W135" i="8"/>
  <c r="W114" i="8"/>
  <c r="W96" i="8"/>
  <c r="W70" i="8"/>
  <c r="W43" i="8"/>
  <c r="W23" i="8"/>
  <c r="W6" i="8"/>
  <c r="W273" i="8"/>
  <c r="W303" i="8"/>
  <c r="W316" i="8"/>
  <c r="V2" i="8"/>
  <c r="V278" i="8"/>
  <c r="V224" i="8"/>
  <c r="V174" i="8"/>
  <c r="W215" i="8"/>
  <c r="W174" i="8"/>
  <c r="W286" i="8"/>
  <c r="V293" i="8"/>
  <c r="V247" i="8"/>
  <c r="V197" i="8"/>
  <c r="V136" i="8"/>
  <c r="V97" i="8"/>
  <c r="V58" i="8"/>
  <c r="V14" i="8"/>
  <c r="V325" i="8"/>
  <c r="V282" i="8"/>
  <c r="V245" i="8"/>
  <c r="V230" i="8"/>
  <c r="V220" i="8"/>
  <c r="V211" i="8"/>
  <c r="V204" i="8"/>
  <c r="V192" i="8"/>
  <c r="V181" i="8"/>
  <c r="V170" i="8"/>
  <c r="V158" i="8"/>
  <c r="V144" i="8"/>
  <c r="V134" i="8"/>
  <c r="V122" i="8"/>
  <c r="V113" i="8"/>
  <c r="V101" i="8"/>
  <c r="V95" i="8"/>
  <c r="V81" i="8"/>
  <c r="V65" i="8"/>
  <c r="V55" i="8"/>
  <c r="V42" i="8"/>
  <c r="V29" i="8"/>
  <c r="V22" i="8"/>
  <c r="V12" i="8"/>
  <c r="V5" i="8"/>
  <c r="W230" i="8"/>
  <c r="W211" i="8"/>
  <c r="W269" i="8"/>
  <c r="W251" i="8"/>
  <c r="W293" i="8"/>
  <c r="W280" i="8"/>
  <c r="X280" i="8" s="1"/>
  <c r="W315" i="8"/>
  <c r="V318" i="8"/>
  <c r="V266" i="8"/>
  <c r="V215" i="8"/>
  <c r="V166" i="8"/>
  <c r="V105" i="8"/>
  <c r="W199" i="8"/>
  <c r="W155" i="8"/>
  <c r="W38" i="8"/>
  <c r="W16" i="8"/>
  <c r="V285" i="8"/>
  <c r="V237" i="8"/>
  <c r="V183" i="8"/>
  <c r="V124" i="8"/>
  <c r="V83" i="8"/>
  <c r="V44" i="8"/>
  <c r="V24" i="8"/>
  <c r="V7" i="8"/>
  <c r="W222" i="8"/>
  <c r="V304" i="8"/>
  <c r="X304" i="8" s="1"/>
  <c r="V273" i="8"/>
  <c r="V253" i="8"/>
  <c r="V320" i="8"/>
  <c r="V312" i="8"/>
  <c r="V303" i="8"/>
  <c r="V288" i="8"/>
  <c r="V281" i="8"/>
  <c r="V269" i="8"/>
  <c r="V262" i="8"/>
  <c r="V251" i="8"/>
  <c r="X251" i="8" s="1"/>
  <c r="V242" i="8"/>
  <c r="V228" i="8"/>
  <c r="V218" i="8"/>
  <c r="V210" i="8"/>
  <c r="V203" i="8"/>
  <c r="V191" i="8"/>
  <c r="V179" i="8"/>
  <c r="V168" i="8"/>
  <c r="V157" i="8"/>
  <c r="V141" i="8"/>
  <c r="V132" i="8"/>
  <c r="V119" i="8"/>
  <c r="V110" i="8"/>
  <c r="V100" i="8"/>
  <c r="V94" i="8"/>
  <c r="V79" i="8"/>
  <c r="V64" i="8"/>
  <c r="V53" i="8"/>
  <c r="V40" i="8"/>
  <c r="V27" i="8"/>
  <c r="V21" i="8"/>
  <c r="V11" i="8"/>
  <c r="V4" i="8"/>
  <c r="W228" i="8"/>
  <c r="W210" i="8"/>
  <c r="W191" i="8"/>
  <c r="W168" i="8"/>
  <c r="W141" i="8"/>
  <c r="W119" i="8"/>
  <c r="W100" i="8"/>
  <c r="W79" i="8"/>
  <c r="W53" i="8"/>
  <c r="W27" i="8"/>
  <c r="W11" i="8"/>
  <c r="W291" i="8"/>
  <c r="W327" i="8"/>
  <c r="X269" i="8"/>
  <c r="X258" i="8"/>
  <c r="W248" i="8"/>
  <c r="W242" i="8"/>
  <c r="W235" i="8"/>
  <c r="W224" i="8"/>
  <c r="W218" i="8"/>
  <c r="W213" i="8"/>
  <c r="W208" i="8"/>
  <c r="W203" i="8"/>
  <c r="W195" i="8"/>
  <c r="W188" i="8"/>
  <c r="W179" i="8"/>
  <c r="W171" i="8"/>
  <c r="W166" i="8"/>
  <c r="W157" i="8"/>
  <c r="W148" i="8"/>
  <c r="W137" i="8"/>
  <c r="W132" i="8"/>
  <c r="W123" i="8"/>
  <c r="W116" i="8"/>
  <c r="W110" i="8"/>
  <c r="W102" i="8"/>
  <c r="W98" i="8"/>
  <c r="W94" i="8"/>
  <c r="W82" i="8"/>
  <c r="W74" i="8"/>
  <c r="W64" i="8"/>
  <c r="W56" i="8"/>
  <c r="W50" i="8"/>
  <c r="W40" i="8"/>
  <c r="W30" i="8"/>
  <c r="W25" i="8"/>
  <c r="W21" i="8"/>
  <c r="W13" i="8"/>
  <c r="W9" i="8"/>
  <c r="W4" i="8"/>
  <c r="W265" i="8"/>
  <c r="X265" i="8" s="1"/>
  <c r="W261" i="8"/>
  <c r="W253" i="8"/>
  <c r="X311" i="8"/>
  <c r="X282" i="8"/>
  <c r="W192" i="8"/>
  <c r="W183" i="8"/>
  <c r="W177" i="8"/>
  <c r="W170" i="8"/>
  <c r="W164" i="8"/>
  <c r="W156" i="8"/>
  <c r="W144" i="8"/>
  <c r="W136" i="8"/>
  <c r="W128" i="8"/>
  <c r="W122" i="8"/>
  <c r="W115" i="8"/>
  <c r="W108" i="8"/>
  <c r="W101" i="8"/>
  <c r="W97" i="8"/>
  <c r="W87" i="8"/>
  <c r="W81" i="8"/>
  <c r="W72" i="8"/>
  <c r="W62" i="8"/>
  <c r="W55" i="8"/>
  <c r="W44" i="8"/>
  <c r="W39" i="8"/>
  <c r="W29" i="8"/>
  <c r="W24" i="8"/>
  <c r="W19" i="8"/>
  <c r="W12" i="8"/>
  <c r="W7" i="8"/>
  <c r="W328" i="8"/>
  <c r="W319" i="8"/>
  <c r="X319" i="8" s="1"/>
  <c r="W313" i="8"/>
  <c r="W308" i="8"/>
  <c r="X308" i="8" s="1"/>
  <c r="W302" i="8"/>
  <c r="W289" i="8"/>
  <c r="X289" i="8" s="1"/>
  <c r="W285" i="8"/>
  <c r="W277" i="8"/>
  <c r="X277" i="8" s="1"/>
  <c r="W268" i="8"/>
  <c r="X268" i="8" s="1"/>
  <c r="W263" i="8"/>
  <c r="X263" i="8" s="1"/>
  <c r="W255" i="8"/>
  <c r="X255" i="8" s="1"/>
  <c r="W249" i="8"/>
  <c r="W281" i="8"/>
  <c r="W312" i="8"/>
  <c r="W305" i="8"/>
  <c r="X305" i="8" s="1"/>
  <c r="W299" i="8"/>
  <c r="X299" i="8" s="1"/>
  <c r="W288" i="8"/>
  <c r="X288" i="8" s="1"/>
  <c r="W284" i="8"/>
  <c r="X284" i="8" s="1"/>
  <c r="W3" i="8"/>
  <c r="W18" i="8"/>
  <c r="W32" i="8"/>
  <c r="W37" i="8"/>
  <c r="W47" i="8"/>
  <c r="W54" i="8"/>
  <c r="W63" i="8"/>
  <c r="W69" i="8"/>
  <c r="W77" i="8"/>
  <c r="W86" i="8"/>
  <c r="W91" i="8"/>
  <c r="W106" i="8"/>
  <c r="W112" i="8"/>
  <c r="W125" i="8"/>
  <c r="W131" i="8"/>
  <c r="W142" i="8"/>
  <c r="W147" i="8"/>
  <c r="W153" i="8"/>
  <c r="W162" i="8"/>
  <c r="W172" i="8"/>
  <c r="W180" i="8"/>
  <c r="W187" i="8"/>
  <c r="W196" i="8"/>
  <c r="W205" i="8"/>
  <c r="W223" i="8"/>
  <c r="W231" i="8"/>
  <c r="W236" i="8"/>
  <c r="W244" i="8"/>
  <c r="W257" i="8"/>
  <c r="X257" i="8" s="1"/>
  <c r="W270" i="8"/>
  <c r="W276" i="8"/>
  <c r="X276" i="8" s="1"/>
  <c r="W292" i="8"/>
  <c r="X292" i="8" s="1"/>
  <c r="W297" i="8"/>
  <c r="X297" i="8" s="1"/>
  <c r="W306" i="8"/>
  <c r="X306" i="8" s="1"/>
  <c r="W317" i="8"/>
  <c r="X317" i="8" s="1"/>
  <c r="W324" i="8"/>
  <c r="W8" i="8"/>
  <c r="W20" i="8"/>
  <c r="W33" i="8"/>
  <c r="W41" i="8"/>
  <c r="W48" i="8"/>
  <c r="W57" i="8"/>
  <c r="W66" i="8"/>
  <c r="W71" i="8"/>
  <c r="W78" i="8"/>
  <c r="W88" i="8"/>
  <c r="W92" i="8"/>
  <c r="W107" i="8"/>
  <c r="W117" i="8"/>
  <c r="W127" i="8"/>
  <c r="W133" i="8"/>
  <c r="W143" i="8"/>
  <c r="W149" i="8"/>
  <c r="W154" i="8"/>
  <c r="W163" i="8"/>
  <c r="W175" i="8"/>
  <c r="W184" i="8"/>
  <c r="W190" i="8"/>
  <c r="W198" i="8"/>
  <c r="W212" i="8"/>
  <c r="W225" i="8"/>
  <c r="W232" i="8"/>
  <c r="W238" i="8"/>
  <c r="W250" i="8"/>
  <c r="X250" i="8" s="1"/>
  <c r="W259" i="8"/>
  <c r="X259" i="8" s="1"/>
  <c r="W271" i="8"/>
  <c r="W279" i="8"/>
  <c r="X279" i="8" s="1"/>
  <c r="W294" i="8"/>
  <c r="X294" i="8" s="1"/>
  <c r="W298" i="8"/>
  <c r="X298" i="8" s="1"/>
  <c r="W307" i="8"/>
  <c r="X307" i="8" s="1"/>
  <c r="W321" i="8"/>
  <c r="X321" i="8" s="1"/>
  <c r="W326" i="8"/>
  <c r="W15" i="8"/>
  <c r="W28" i="8"/>
  <c r="W34" i="8"/>
  <c r="W45" i="8"/>
  <c r="W49" i="8"/>
  <c r="W59" i="8"/>
  <c r="W67" i="8"/>
  <c r="W73" i="8"/>
  <c r="W80" i="8"/>
  <c r="W89" i="8"/>
  <c r="W93" i="8"/>
  <c r="W109" i="8"/>
  <c r="W120" i="8"/>
  <c r="W129" i="8"/>
  <c r="W139" i="8"/>
  <c r="W145" i="8"/>
  <c r="W150" i="8"/>
  <c r="W159" i="8"/>
  <c r="W165" i="8"/>
  <c r="W176" i="8"/>
  <c r="W185" i="8"/>
  <c r="W193" i="8"/>
  <c r="W200" i="8"/>
  <c r="W217" i="8"/>
  <c r="W226" i="8"/>
  <c r="W233" i="8"/>
  <c r="W239" i="8"/>
  <c r="W252" i="8"/>
  <c r="X252" i="8" s="1"/>
  <c r="W260" i="8"/>
  <c r="X260" i="8" s="1"/>
  <c r="W272" i="8"/>
  <c r="W283" i="8"/>
  <c r="X283" i="8" s="1"/>
  <c r="W295" i="8"/>
  <c r="X295" i="8" s="1"/>
  <c r="W300" i="8"/>
  <c r="X300" i="8" s="1"/>
  <c r="W310" i="8"/>
  <c r="X310" i="8" s="1"/>
  <c r="W322" i="8"/>
  <c r="X322" i="8" s="1"/>
  <c r="W17" i="8"/>
  <c r="W31" i="8"/>
  <c r="W36" i="8"/>
  <c r="W46" i="8"/>
  <c r="W51" i="8"/>
  <c r="W60" i="8"/>
  <c r="W68" i="8"/>
  <c r="W76" i="8"/>
  <c r="W85" i="8"/>
  <c r="W90" i="8"/>
  <c r="W103" i="8"/>
  <c r="W111" i="8"/>
  <c r="W121" i="8"/>
  <c r="W130" i="8"/>
  <c r="W140" i="8"/>
  <c r="W146" i="8"/>
  <c r="W151" i="8"/>
  <c r="W160" i="8"/>
  <c r="W169" i="8"/>
  <c r="W178" i="8"/>
  <c r="W186" i="8"/>
  <c r="W194" i="8"/>
  <c r="W202" i="8"/>
  <c r="W219" i="8"/>
  <c r="W229" i="8"/>
  <c r="W234" i="8"/>
  <c r="W243" i="8"/>
  <c r="W256" i="8"/>
  <c r="X256" i="8" s="1"/>
  <c r="W267" i="8"/>
  <c r="X267" i="8" s="1"/>
  <c r="W275" i="8"/>
  <c r="X275" i="8" s="1"/>
  <c r="W290" i="8"/>
  <c r="W296" i="8"/>
  <c r="X296" i="8" s="1"/>
  <c r="W301" i="8"/>
  <c r="X301" i="8" s="1"/>
  <c r="W314" i="8"/>
  <c r="X314" i="8" s="1"/>
  <c r="W323" i="8"/>
  <c r="X323" i="8" s="1"/>
  <c r="W245" i="8"/>
  <c r="W237" i="8"/>
  <c r="W227" i="8"/>
  <c r="W220" i="8"/>
  <c r="W214" i="8"/>
  <c r="W209" i="8"/>
  <c r="W204" i="8"/>
  <c r="W197" i="8"/>
  <c r="W189" i="8"/>
  <c r="W181" i="8"/>
  <c r="W173" i="8"/>
  <c r="W167" i="8"/>
  <c r="W158" i="8"/>
  <c r="W152" i="8"/>
  <c r="W138" i="8"/>
  <c r="W134" i="8"/>
  <c r="W124" i="8"/>
  <c r="W118" i="8"/>
  <c r="W113" i="8"/>
  <c r="W104" i="8"/>
  <c r="W99" i="8"/>
  <c r="W95" i="8"/>
  <c r="W83" i="8"/>
  <c r="W75" i="8"/>
  <c r="W65" i="8"/>
  <c r="W58" i="8"/>
  <c r="W52" i="8"/>
  <c r="W42" i="8"/>
  <c r="W35" i="8"/>
  <c r="W26" i="8"/>
  <c r="W22" i="8"/>
  <c r="W14" i="8"/>
  <c r="W10" i="8"/>
  <c r="W5" i="8"/>
  <c r="W274" i="8"/>
  <c r="W266" i="8"/>
  <c r="W262" i="8"/>
  <c r="W254" i="8"/>
  <c r="X254" i="8" s="1"/>
  <c r="X324" i="8"/>
  <c r="X326" i="8"/>
  <c r="X271" i="8"/>
  <c r="X270" i="8"/>
  <c r="X272" i="8"/>
  <c r="X290" i="8"/>
  <c r="X315" i="8"/>
  <c r="X303" i="8"/>
  <c r="X291" i="8"/>
  <c r="X261" i="8"/>
  <c r="X253" i="8"/>
  <c r="X325" i="8" l="1"/>
  <c r="X266" i="8"/>
  <c r="X273" i="8"/>
  <c r="X281" i="8"/>
  <c r="X264" i="8"/>
  <c r="X302" i="8"/>
  <c r="X320" i="8"/>
  <c r="X278" i="8"/>
  <c r="X285" i="8"/>
  <c r="X318" i="8"/>
  <c r="X287" i="8"/>
  <c r="X313" i="8"/>
  <c r="X316" i="8"/>
  <c r="X293" i="8"/>
  <c r="X249" i="8"/>
  <c r="V329" i="8"/>
  <c r="X312" i="8"/>
  <c r="X327" i="8"/>
  <c r="X274" i="8"/>
  <c r="X262" i="8"/>
  <c r="W329" i="8"/>
  <c r="W333" i="8" s="1"/>
  <c r="X2" i="8"/>
  <c r="X3" i="8" l="1"/>
  <c r="X4" i="8"/>
  <c r="X5" i="8"/>
  <c r="X6" i="8"/>
  <c r="X7" i="8"/>
  <c r="X8" i="8"/>
  <c r="X9" i="8"/>
  <c r="X10" i="8"/>
  <c r="X11"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8" i="8"/>
  <c r="X49" i="8"/>
  <c r="X50" i="8"/>
  <c r="X51" i="8"/>
  <c r="X52" i="8"/>
  <c r="X53" i="8"/>
  <c r="X54" i="8"/>
  <c r="X55" i="8"/>
  <c r="X56" i="8"/>
  <c r="X57" i="8"/>
  <c r="X58" i="8"/>
  <c r="X59" i="8"/>
  <c r="X60" i="8"/>
  <c r="X61" i="8"/>
  <c r="X62" i="8"/>
  <c r="X63" i="8"/>
  <c r="X64" i="8"/>
  <c r="X65" i="8"/>
  <c r="X66" i="8"/>
  <c r="X67" i="8"/>
  <c r="X68" i="8"/>
  <c r="X69" i="8"/>
  <c r="X70" i="8"/>
  <c r="X71" i="8"/>
  <c r="X72" i="8"/>
  <c r="X73" i="8"/>
  <c r="X74" i="8"/>
  <c r="X75" i="8"/>
  <c r="X76" i="8"/>
  <c r="X77" i="8"/>
  <c r="X78" i="8"/>
  <c r="X79" i="8"/>
  <c r="X80" i="8"/>
  <c r="X81" i="8"/>
  <c r="X82" i="8"/>
  <c r="X83" i="8"/>
  <c r="X84" i="8"/>
  <c r="X85" i="8"/>
  <c r="X86" i="8"/>
  <c r="X87" i="8"/>
  <c r="X88" i="8"/>
  <c r="X89" i="8"/>
  <c r="X90" i="8"/>
  <c r="X91" i="8"/>
  <c r="X92" i="8"/>
  <c r="X93" i="8"/>
  <c r="X94" i="8"/>
  <c r="X95" i="8"/>
  <c r="X96" i="8"/>
  <c r="X97" i="8"/>
  <c r="X98" i="8"/>
  <c r="X99" i="8"/>
  <c r="X100" i="8"/>
  <c r="X101" i="8"/>
  <c r="X102" i="8"/>
  <c r="X103" i="8"/>
  <c r="X104" i="8"/>
  <c r="X105" i="8"/>
  <c r="X106" i="8"/>
  <c r="X107" i="8"/>
  <c r="X108" i="8"/>
  <c r="X109" i="8"/>
  <c r="X110" i="8"/>
  <c r="X111" i="8"/>
  <c r="X112" i="8"/>
  <c r="X113" i="8"/>
  <c r="X114" i="8"/>
  <c r="X115" i="8"/>
  <c r="X116" i="8"/>
  <c r="X117" i="8"/>
  <c r="X118" i="8"/>
  <c r="X119" i="8"/>
  <c r="X120" i="8"/>
  <c r="X121" i="8"/>
  <c r="X122" i="8"/>
  <c r="X123" i="8"/>
  <c r="X124" i="8"/>
  <c r="X125" i="8"/>
  <c r="X126" i="8"/>
  <c r="X127" i="8"/>
  <c r="X128" i="8"/>
  <c r="X129" i="8"/>
  <c r="X130" i="8"/>
  <c r="X131" i="8"/>
  <c r="X132" i="8"/>
  <c r="X133" i="8"/>
  <c r="X134" i="8"/>
  <c r="X135" i="8"/>
  <c r="X136" i="8"/>
  <c r="X137" i="8"/>
  <c r="X138" i="8"/>
  <c r="X139" i="8"/>
  <c r="X140" i="8"/>
  <c r="X141" i="8"/>
  <c r="X142" i="8"/>
  <c r="X143" i="8"/>
  <c r="X144" i="8"/>
  <c r="X145" i="8"/>
  <c r="X146" i="8"/>
  <c r="X147" i="8"/>
  <c r="X148" i="8"/>
  <c r="X149" i="8"/>
  <c r="X150" i="8"/>
  <c r="X151" i="8"/>
  <c r="X152" i="8"/>
  <c r="X153" i="8"/>
  <c r="X154" i="8"/>
  <c r="X155" i="8"/>
  <c r="X156" i="8"/>
  <c r="X157" i="8"/>
  <c r="X158" i="8"/>
  <c r="X159" i="8"/>
  <c r="X160" i="8"/>
  <c r="X161" i="8"/>
  <c r="X162" i="8"/>
  <c r="X163" i="8"/>
  <c r="X164" i="8"/>
  <c r="X165" i="8"/>
  <c r="X166" i="8"/>
  <c r="X167" i="8"/>
  <c r="X168" i="8"/>
  <c r="X169" i="8"/>
  <c r="X170" i="8"/>
  <c r="X171" i="8"/>
  <c r="X172" i="8"/>
  <c r="X173" i="8"/>
  <c r="X174" i="8"/>
  <c r="X175" i="8"/>
  <c r="X176" i="8"/>
  <c r="X177" i="8"/>
  <c r="X178" i="8"/>
  <c r="X179" i="8"/>
  <c r="X180" i="8"/>
  <c r="X181" i="8"/>
  <c r="X182" i="8"/>
  <c r="X183" i="8"/>
  <c r="X184" i="8"/>
  <c r="X185" i="8"/>
  <c r="X186" i="8"/>
  <c r="X187" i="8"/>
  <c r="X188" i="8"/>
  <c r="X189" i="8"/>
  <c r="X190" i="8"/>
  <c r="X191" i="8"/>
  <c r="X192" i="8"/>
  <c r="X193" i="8"/>
  <c r="X194" i="8"/>
  <c r="X195" i="8"/>
  <c r="X196" i="8"/>
  <c r="X197" i="8"/>
  <c r="X198" i="8"/>
  <c r="X199" i="8"/>
  <c r="X200" i="8"/>
  <c r="X201" i="8"/>
  <c r="X202" i="8"/>
  <c r="X203" i="8"/>
  <c r="X204" i="8"/>
  <c r="X205" i="8"/>
  <c r="X206" i="8"/>
  <c r="X207" i="8"/>
  <c r="X208" i="8"/>
  <c r="X209" i="8"/>
  <c r="X210" i="8"/>
  <c r="X211" i="8"/>
  <c r="X212" i="8"/>
  <c r="X213" i="8"/>
  <c r="X214" i="8"/>
  <c r="X215" i="8"/>
  <c r="X216" i="8"/>
  <c r="X217" i="8"/>
  <c r="X218" i="8"/>
  <c r="X219" i="8"/>
  <c r="X220" i="8"/>
  <c r="X221" i="8"/>
  <c r="X222" i="8"/>
  <c r="X223" i="8"/>
  <c r="X224" i="8"/>
  <c r="X225" i="8"/>
  <c r="X226" i="8"/>
  <c r="X227" i="8"/>
  <c r="X228" i="8"/>
  <c r="X229" i="8"/>
  <c r="X230" i="8"/>
  <c r="X231" i="8"/>
  <c r="X232" i="8"/>
  <c r="X233" i="8"/>
  <c r="X234" i="8"/>
  <c r="X235" i="8"/>
  <c r="X236" i="8"/>
  <c r="X237" i="8"/>
  <c r="X238" i="8"/>
  <c r="X239" i="8"/>
  <c r="X240" i="8"/>
  <c r="X241" i="8"/>
  <c r="X242" i="8"/>
  <c r="X243" i="8"/>
  <c r="X244" i="8"/>
  <c r="X245" i="8"/>
  <c r="X246" i="8"/>
  <c r="X247" i="8"/>
  <c r="X248" i="8"/>
  <c r="X329" i="8" l="1"/>
  <c r="I6" i="7"/>
  <c r="H6" i="7"/>
  <c r="I14" i="7"/>
  <c r="H14" i="7"/>
  <c r="I22" i="7"/>
  <c r="H22" i="7"/>
  <c r="I26" i="7"/>
  <c r="H26" i="7"/>
  <c r="I34" i="7"/>
  <c r="H34" i="7"/>
  <c r="I42" i="7"/>
  <c r="H42" i="7"/>
  <c r="I50" i="7"/>
  <c r="H50" i="7"/>
  <c r="I58" i="7"/>
  <c r="H58" i="7"/>
  <c r="I66" i="7"/>
  <c r="H66" i="7"/>
  <c r="I74" i="7"/>
  <c r="H74" i="7"/>
  <c r="I82" i="7"/>
  <c r="H82" i="7"/>
  <c r="I90" i="7"/>
  <c r="H90" i="7"/>
  <c r="I98" i="7"/>
  <c r="H98" i="7"/>
  <c r="I106" i="7"/>
  <c r="H106" i="7"/>
  <c r="I114" i="7"/>
  <c r="H114" i="7"/>
  <c r="I122" i="7"/>
  <c r="H122" i="7"/>
  <c r="I130" i="7"/>
  <c r="H130" i="7"/>
  <c r="I138" i="7"/>
  <c r="H138" i="7"/>
  <c r="I142" i="7"/>
  <c r="H142" i="7"/>
  <c r="I150" i="7"/>
  <c r="H150" i="7"/>
  <c r="I158" i="7"/>
  <c r="H158" i="7"/>
  <c r="I166" i="7"/>
  <c r="H166" i="7"/>
  <c r="I174" i="7"/>
  <c r="H174" i="7"/>
  <c r="I182" i="7"/>
  <c r="H182" i="7"/>
  <c r="I190" i="7"/>
  <c r="H190" i="7"/>
  <c r="I194" i="7"/>
  <c r="H194" i="7"/>
  <c r="I202" i="7"/>
  <c r="H202" i="7"/>
  <c r="I210" i="7"/>
  <c r="H210" i="7"/>
  <c r="I214" i="7"/>
  <c r="H214" i="7"/>
  <c r="I222" i="7"/>
  <c r="H222" i="7"/>
  <c r="I226" i="7"/>
  <c r="H226" i="7"/>
  <c r="I230" i="7"/>
  <c r="H230" i="7"/>
  <c r="I234" i="7"/>
  <c r="H234" i="7"/>
  <c r="I238" i="7"/>
  <c r="H238" i="7"/>
  <c r="I246" i="7"/>
  <c r="H246" i="7"/>
  <c r="H250" i="7"/>
  <c r="I250" i="7"/>
  <c r="I254" i="7"/>
  <c r="H254" i="7"/>
  <c r="H258" i="7"/>
  <c r="I258" i="7"/>
  <c r="H262" i="7"/>
  <c r="I262" i="7"/>
  <c r="I266" i="7"/>
  <c r="H266" i="7"/>
  <c r="I270" i="7"/>
  <c r="H270" i="7"/>
  <c r="H274" i="7"/>
  <c r="I274" i="7"/>
  <c r="H278" i="7"/>
  <c r="I278" i="7"/>
  <c r="I282" i="7"/>
  <c r="H282" i="7"/>
  <c r="H286" i="7"/>
  <c r="I286" i="7"/>
  <c r="H290" i="7"/>
  <c r="I290" i="7"/>
  <c r="H294" i="7"/>
  <c r="I294" i="7"/>
  <c r="H298" i="7"/>
  <c r="I298" i="7"/>
  <c r="H302" i="7"/>
  <c r="I302" i="7"/>
  <c r="I306" i="7"/>
  <c r="H306" i="7"/>
  <c r="I310" i="7"/>
  <c r="H310" i="7"/>
  <c r="I314" i="7"/>
  <c r="H314" i="7"/>
  <c r="H318" i="7"/>
  <c r="I318" i="7"/>
  <c r="I322" i="7"/>
  <c r="H322" i="7"/>
  <c r="I326" i="7"/>
  <c r="H326" i="7"/>
  <c r="I330" i="7"/>
  <c r="H330" i="7"/>
  <c r="I4" i="7"/>
  <c r="H4" i="7"/>
  <c r="I12" i="7"/>
  <c r="H12" i="7"/>
  <c r="I20" i="7"/>
  <c r="H20" i="7"/>
  <c r="I28" i="7"/>
  <c r="H28" i="7"/>
  <c r="I36" i="7"/>
  <c r="H36" i="7"/>
  <c r="I44" i="7"/>
  <c r="H44" i="7"/>
  <c r="I52" i="7"/>
  <c r="H52" i="7"/>
  <c r="I60" i="7"/>
  <c r="H60" i="7"/>
  <c r="I68" i="7"/>
  <c r="H68" i="7"/>
  <c r="I76" i="7"/>
  <c r="H76" i="7"/>
  <c r="I84" i="7"/>
  <c r="H84" i="7"/>
  <c r="I92" i="7"/>
  <c r="H92" i="7"/>
  <c r="I100" i="7"/>
  <c r="H100" i="7"/>
  <c r="I108" i="7"/>
  <c r="H108" i="7"/>
  <c r="I116" i="7"/>
  <c r="H116" i="7"/>
  <c r="I124" i="7"/>
  <c r="H124" i="7"/>
  <c r="I132" i="7"/>
  <c r="H132" i="7"/>
  <c r="I140" i="7"/>
  <c r="H140" i="7"/>
  <c r="I148" i="7"/>
  <c r="H148" i="7"/>
  <c r="I156" i="7"/>
  <c r="H156" i="7"/>
  <c r="I160" i="7"/>
  <c r="H160" i="7"/>
  <c r="I168" i="7"/>
  <c r="H168" i="7"/>
  <c r="I172" i="7"/>
  <c r="H172" i="7"/>
  <c r="I176" i="7"/>
  <c r="H176" i="7"/>
  <c r="I180" i="7"/>
  <c r="H180" i="7"/>
  <c r="I184" i="7"/>
  <c r="H184" i="7"/>
  <c r="I192" i="7"/>
  <c r="H192" i="7"/>
  <c r="I196" i="7"/>
  <c r="H196" i="7"/>
  <c r="I200" i="7"/>
  <c r="H200" i="7"/>
  <c r="H204" i="7"/>
  <c r="I204" i="7"/>
  <c r="H208" i="7"/>
  <c r="I208" i="7"/>
  <c r="I212" i="7"/>
  <c r="H212" i="7"/>
  <c r="I216" i="7"/>
  <c r="H216" i="7"/>
  <c r="H220" i="7"/>
  <c r="I220" i="7"/>
  <c r="H224" i="7"/>
  <c r="I224" i="7"/>
  <c r="I228" i="7"/>
  <c r="H228" i="7"/>
  <c r="I232" i="7"/>
  <c r="H232" i="7"/>
  <c r="H236" i="7"/>
  <c r="I236" i="7"/>
  <c r="I240" i="7"/>
  <c r="H240" i="7"/>
  <c r="I244" i="7"/>
  <c r="H244" i="7"/>
  <c r="I248" i="7"/>
  <c r="H248" i="7"/>
  <c r="H252" i="7"/>
  <c r="I252" i="7"/>
  <c r="I256" i="7"/>
  <c r="H256" i="7"/>
  <c r="I260" i="7"/>
  <c r="H260" i="7"/>
  <c r="I5" i="7"/>
  <c r="H5" i="7"/>
  <c r="I9" i="7"/>
  <c r="H9" i="7"/>
  <c r="I13" i="7"/>
  <c r="H13" i="7"/>
  <c r="I17" i="7"/>
  <c r="H17" i="7"/>
  <c r="I21" i="7"/>
  <c r="H21" i="7"/>
  <c r="I25" i="7"/>
  <c r="H25" i="7"/>
  <c r="I29" i="7"/>
  <c r="H29" i="7"/>
  <c r="I33" i="7"/>
  <c r="H33" i="7"/>
  <c r="I37" i="7"/>
  <c r="H37" i="7"/>
  <c r="I41" i="7"/>
  <c r="H41" i="7"/>
  <c r="I45" i="7"/>
  <c r="H45" i="7"/>
  <c r="I49" i="7"/>
  <c r="H49" i="7"/>
  <c r="I53" i="7"/>
  <c r="H53" i="7"/>
  <c r="I57" i="7"/>
  <c r="H57" i="7"/>
  <c r="I61" i="7"/>
  <c r="H61" i="7"/>
  <c r="I65" i="7"/>
  <c r="H65" i="7"/>
  <c r="I69" i="7"/>
  <c r="H69" i="7"/>
  <c r="I73" i="7"/>
  <c r="H73" i="7"/>
  <c r="I77" i="7"/>
  <c r="H77" i="7"/>
  <c r="I81" i="7"/>
  <c r="H81" i="7"/>
  <c r="I85" i="7"/>
  <c r="H85" i="7"/>
  <c r="I89" i="7"/>
  <c r="H89" i="7"/>
  <c r="I93" i="7"/>
  <c r="H93" i="7"/>
  <c r="I97" i="7"/>
  <c r="H97" i="7"/>
  <c r="I101" i="7"/>
  <c r="H101" i="7"/>
  <c r="I105" i="7"/>
  <c r="H105" i="7"/>
  <c r="I109" i="7"/>
  <c r="H109" i="7"/>
  <c r="I113" i="7"/>
  <c r="H113" i="7"/>
  <c r="I117" i="7"/>
  <c r="H117" i="7"/>
  <c r="I121" i="7"/>
  <c r="H121" i="7"/>
  <c r="I125" i="7"/>
  <c r="H125" i="7"/>
  <c r="I129" i="7"/>
  <c r="H129" i="7"/>
  <c r="I133" i="7"/>
  <c r="H133" i="7"/>
  <c r="I137" i="7"/>
  <c r="H137" i="7"/>
  <c r="I141" i="7"/>
  <c r="H141" i="7"/>
  <c r="I145" i="7"/>
  <c r="H145" i="7"/>
  <c r="I149" i="7"/>
  <c r="H149" i="7"/>
  <c r="I153" i="7"/>
  <c r="H153" i="7"/>
  <c r="I157" i="7"/>
  <c r="H157" i="7"/>
  <c r="I161" i="7"/>
  <c r="H161" i="7"/>
  <c r="I165" i="7"/>
  <c r="H165" i="7"/>
  <c r="I169" i="7"/>
  <c r="H169" i="7"/>
  <c r="I173" i="7"/>
  <c r="H173" i="7"/>
  <c r="I177" i="7"/>
  <c r="H177" i="7"/>
  <c r="I181" i="7"/>
  <c r="H181" i="7"/>
  <c r="I185" i="7"/>
  <c r="H185" i="7"/>
  <c r="I189" i="7"/>
  <c r="H189" i="7"/>
  <c r="I193" i="7"/>
  <c r="H193" i="7"/>
  <c r="I197" i="7"/>
  <c r="H197" i="7"/>
  <c r="I201" i="7"/>
  <c r="H201" i="7"/>
  <c r="I205" i="7"/>
  <c r="H205" i="7"/>
  <c r="I209" i="7"/>
  <c r="H209" i="7"/>
  <c r="I213" i="7"/>
  <c r="H213" i="7"/>
  <c r="I217" i="7"/>
  <c r="H217" i="7"/>
  <c r="I221" i="7"/>
  <c r="H221" i="7"/>
  <c r="I225" i="7"/>
  <c r="H225" i="7"/>
  <c r="I229" i="7"/>
  <c r="H229" i="7"/>
  <c r="I233" i="7"/>
  <c r="H233" i="7"/>
  <c r="I237" i="7"/>
  <c r="H237" i="7"/>
  <c r="I241" i="7"/>
  <c r="H241" i="7"/>
  <c r="I245" i="7"/>
  <c r="H245" i="7"/>
  <c r="I249" i="7"/>
  <c r="H249" i="7"/>
  <c r="I253" i="7"/>
  <c r="H253" i="7"/>
  <c r="I257" i="7"/>
  <c r="H257" i="7"/>
  <c r="I261" i="7"/>
  <c r="H261" i="7"/>
  <c r="I265" i="7"/>
  <c r="H265" i="7"/>
  <c r="I269" i="7"/>
  <c r="H269" i="7"/>
  <c r="I273" i="7"/>
  <c r="H273" i="7"/>
  <c r="I277" i="7"/>
  <c r="H277" i="7"/>
  <c r="I281" i="7"/>
  <c r="H281" i="7"/>
  <c r="I285" i="7"/>
  <c r="H285" i="7"/>
  <c r="I289" i="7"/>
  <c r="H289" i="7"/>
  <c r="I293" i="7"/>
  <c r="H293" i="7"/>
  <c r="I297" i="7"/>
  <c r="H297" i="7"/>
  <c r="I301" i="7"/>
  <c r="H301" i="7"/>
  <c r="I305" i="7"/>
  <c r="H305" i="7"/>
  <c r="I309" i="7"/>
  <c r="H309" i="7"/>
  <c r="I313" i="7"/>
  <c r="H313" i="7"/>
  <c r="I317" i="7"/>
  <c r="H317" i="7"/>
  <c r="I321" i="7"/>
  <c r="H321" i="7"/>
  <c r="I325" i="7"/>
  <c r="H325" i="7"/>
  <c r="I329" i="7"/>
  <c r="H329" i="7"/>
  <c r="I2" i="7"/>
  <c r="H2" i="7"/>
  <c r="I10" i="7"/>
  <c r="H10" i="7"/>
  <c r="I18" i="7"/>
  <c r="H18" i="7"/>
  <c r="I30" i="7"/>
  <c r="H30" i="7"/>
  <c r="I38" i="7"/>
  <c r="H38" i="7"/>
  <c r="I46" i="7"/>
  <c r="H46" i="7"/>
  <c r="I54" i="7"/>
  <c r="H54" i="7"/>
  <c r="I62" i="7"/>
  <c r="H62" i="7"/>
  <c r="I70" i="7"/>
  <c r="H70" i="7"/>
  <c r="I78" i="7"/>
  <c r="H78" i="7"/>
  <c r="I86" i="7"/>
  <c r="H86" i="7"/>
  <c r="I94" i="7"/>
  <c r="H94" i="7"/>
  <c r="I102" i="7"/>
  <c r="H102" i="7"/>
  <c r="I110" i="7"/>
  <c r="H110" i="7"/>
  <c r="I118" i="7"/>
  <c r="H118" i="7"/>
  <c r="I126" i="7"/>
  <c r="H126" i="7"/>
  <c r="I134" i="7"/>
  <c r="H134" i="7"/>
  <c r="I146" i="7"/>
  <c r="H146" i="7"/>
  <c r="I154" i="7"/>
  <c r="H154" i="7"/>
  <c r="I162" i="7"/>
  <c r="H162" i="7"/>
  <c r="I170" i="7"/>
  <c r="H170" i="7"/>
  <c r="I178" i="7"/>
  <c r="H178" i="7"/>
  <c r="I186" i="7"/>
  <c r="H186" i="7"/>
  <c r="I198" i="7"/>
  <c r="H198" i="7"/>
  <c r="I206" i="7"/>
  <c r="H206" i="7"/>
  <c r="I218" i="7"/>
  <c r="H218" i="7"/>
  <c r="H242" i="7"/>
  <c r="I242" i="7"/>
  <c r="I3" i="7"/>
  <c r="H3" i="7"/>
  <c r="I7" i="7"/>
  <c r="H7" i="7"/>
  <c r="I11" i="7"/>
  <c r="H11" i="7"/>
  <c r="I15" i="7"/>
  <c r="H15" i="7"/>
  <c r="I19" i="7"/>
  <c r="H19" i="7"/>
  <c r="I23" i="7"/>
  <c r="H23" i="7"/>
  <c r="I27" i="7"/>
  <c r="H27" i="7"/>
  <c r="I31" i="7"/>
  <c r="H31" i="7"/>
  <c r="I35" i="7"/>
  <c r="H35" i="7"/>
  <c r="I39" i="7"/>
  <c r="H39" i="7"/>
  <c r="I43" i="7"/>
  <c r="H43" i="7"/>
  <c r="I47" i="7"/>
  <c r="H47" i="7"/>
  <c r="I51" i="7"/>
  <c r="H51" i="7"/>
  <c r="I55" i="7"/>
  <c r="H55" i="7"/>
  <c r="I59" i="7"/>
  <c r="H59" i="7"/>
  <c r="I63" i="7"/>
  <c r="H63" i="7"/>
  <c r="I67" i="7"/>
  <c r="H67" i="7"/>
  <c r="I71" i="7"/>
  <c r="H71" i="7"/>
  <c r="I75" i="7"/>
  <c r="H75" i="7"/>
  <c r="I79" i="7"/>
  <c r="H79" i="7"/>
  <c r="I83" i="7"/>
  <c r="H83" i="7"/>
  <c r="I87" i="7"/>
  <c r="H87" i="7"/>
  <c r="I91" i="7"/>
  <c r="H91" i="7"/>
  <c r="I95" i="7"/>
  <c r="H95" i="7"/>
  <c r="I99" i="7"/>
  <c r="H99" i="7"/>
  <c r="I103" i="7"/>
  <c r="H103" i="7"/>
  <c r="I107" i="7"/>
  <c r="H107" i="7"/>
  <c r="I111" i="7"/>
  <c r="H111" i="7"/>
  <c r="I115" i="7"/>
  <c r="H115" i="7"/>
  <c r="I119" i="7"/>
  <c r="H119" i="7"/>
  <c r="I123" i="7"/>
  <c r="H123" i="7"/>
  <c r="H127" i="7"/>
  <c r="I127" i="7"/>
  <c r="I131" i="7"/>
  <c r="H131" i="7"/>
  <c r="I135" i="7"/>
  <c r="H135" i="7"/>
  <c r="I139" i="7"/>
  <c r="H139" i="7"/>
  <c r="H143" i="7"/>
  <c r="I143" i="7"/>
  <c r="I147" i="7"/>
  <c r="H147" i="7"/>
  <c r="I151" i="7"/>
  <c r="H151" i="7"/>
  <c r="I155" i="7"/>
  <c r="H155" i="7"/>
  <c r="H159" i="7"/>
  <c r="I159" i="7"/>
  <c r="H163" i="7"/>
  <c r="I163" i="7"/>
  <c r="I167" i="7"/>
  <c r="H167" i="7"/>
  <c r="I171" i="7"/>
  <c r="H171" i="7"/>
  <c r="H175" i="7"/>
  <c r="I175" i="7"/>
  <c r="H179" i="7"/>
  <c r="I179" i="7"/>
  <c r="H183" i="7"/>
  <c r="I183" i="7"/>
  <c r="H187" i="7"/>
  <c r="I187" i="7"/>
  <c r="H191" i="7"/>
  <c r="I191" i="7"/>
  <c r="H195" i="7"/>
  <c r="I195" i="7"/>
  <c r="H199" i="7"/>
  <c r="I199" i="7"/>
  <c r="H203" i="7"/>
  <c r="I203" i="7"/>
  <c r="H207" i="7"/>
  <c r="I207" i="7"/>
  <c r="H211" i="7"/>
  <c r="I211" i="7"/>
  <c r="H215" i="7"/>
  <c r="I215" i="7"/>
  <c r="H219" i="7"/>
  <c r="I219" i="7"/>
  <c r="H223" i="7"/>
  <c r="I223" i="7"/>
  <c r="H227" i="7"/>
  <c r="I227" i="7"/>
  <c r="H231" i="7"/>
  <c r="I231" i="7"/>
  <c r="H235" i="7"/>
  <c r="I235" i="7"/>
  <c r="H239" i="7"/>
  <c r="I239" i="7"/>
  <c r="H243" i="7"/>
  <c r="I243" i="7"/>
  <c r="H247" i="7"/>
  <c r="I247" i="7"/>
  <c r="H251" i="7"/>
  <c r="I251" i="7"/>
  <c r="H255" i="7"/>
  <c r="I255" i="7"/>
  <c r="H259" i="7"/>
  <c r="I259" i="7"/>
  <c r="H263" i="7"/>
  <c r="I263" i="7"/>
  <c r="H267" i="7"/>
  <c r="I267" i="7"/>
  <c r="H271" i="7"/>
  <c r="I271" i="7"/>
  <c r="H275" i="7"/>
  <c r="I275" i="7"/>
  <c r="H279" i="7"/>
  <c r="I279" i="7"/>
  <c r="H283" i="7"/>
  <c r="I283" i="7"/>
  <c r="H287" i="7"/>
  <c r="I287" i="7"/>
  <c r="H291" i="7"/>
  <c r="I291" i="7"/>
  <c r="H295" i="7"/>
  <c r="I295" i="7"/>
  <c r="H299" i="7"/>
  <c r="I299" i="7"/>
  <c r="H303" i="7"/>
  <c r="I303" i="7"/>
  <c r="I307" i="7"/>
  <c r="H307" i="7"/>
  <c r="H311" i="7"/>
  <c r="I311" i="7"/>
  <c r="I315" i="7"/>
  <c r="H315" i="7"/>
  <c r="H319" i="7"/>
  <c r="I319" i="7"/>
  <c r="I323" i="7"/>
  <c r="H323" i="7"/>
  <c r="H327" i="7"/>
  <c r="I327" i="7"/>
  <c r="H331" i="7"/>
  <c r="I331" i="7"/>
  <c r="I8" i="7"/>
  <c r="H8" i="7"/>
  <c r="I16" i="7"/>
  <c r="H16" i="7"/>
  <c r="I24" i="7"/>
  <c r="H24" i="7"/>
  <c r="I32" i="7"/>
  <c r="H32" i="7"/>
  <c r="I40" i="7"/>
  <c r="H40" i="7"/>
  <c r="I48" i="7"/>
  <c r="H48" i="7"/>
  <c r="I56" i="7"/>
  <c r="H56" i="7"/>
  <c r="I64" i="7"/>
  <c r="H64" i="7"/>
  <c r="I72" i="7"/>
  <c r="H72" i="7"/>
  <c r="I80" i="7"/>
  <c r="H80" i="7"/>
  <c r="I88" i="7"/>
  <c r="H88" i="7"/>
  <c r="I96" i="7"/>
  <c r="H96" i="7"/>
  <c r="I104" i="7"/>
  <c r="H104" i="7"/>
  <c r="I112" i="7"/>
  <c r="H112" i="7"/>
  <c r="I120" i="7"/>
  <c r="H120" i="7"/>
  <c r="I128" i="7"/>
  <c r="H128" i="7"/>
  <c r="I136" i="7"/>
  <c r="H136" i="7"/>
  <c r="I144" i="7"/>
  <c r="H144" i="7"/>
  <c r="I152" i="7"/>
  <c r="H152" i="7"/>
  <c r="I164" i="7"/>
  <c r="H164" i="7"/>
  <c r="H188" i="7"/>
  <c r="I188" i="7"/>
  <c r="I264" i="7"/>
  <c r="H264" i="7"/>
  <c r="I268" i="7"/>
  <c r="H268" i="7"/>
  <c r="H272" i="7"/>
  <c r="I272" i="7"/>
  <c r="I276" i="7"/>
  <c r="H276" i="7"/>
  <c r="I280" i="7"/>
  <c r="H280" i="7"/>
  <c r="H284" i="7"/>
  <c r="I284" i="7"/>
  <c r="H288" i="7"/>
  <c r="I288" i="7"/>
  <c r="I292" i="7"/>
  <c r="H292" i="7"/>
  <c r="I296" i="7"/>
  <c r="H296" i="7"/>
  <c r="H300" i="7"/>
  <c r="I300" i="7"/>
  <c r="H304" i="7"/>
  <c r="I304" i="7"/>
  <c r="I308" i="7"/>
  <c r="H308" i="7"/>
  <c r="I312" i="7"/>
  <c r="H312" i="7"/>
  <c r="H316" i="7"/>
  <c r="I316" i="7"/>
  <c r="H320" i="7"/>
  <c r="I320" i="7"/>
  <c r="I324" i="7"/>
  <c r="H324" i="7"/>
  <c r="I328" i="7"/>
  <c r="H328" i="7"/>
  <c r="J164" i="7" l="1"/>
  <c r="J178" i="7"/>
  <c r="J126" i="7"/>
  <c r="J78" i="7"/>
  <c r="J30" i="7"/>
  <c r="J325" i="7"/>
  <c r="J301" i="7"/>
  <c r="J277" i="7"/>
  <c r="J253" i="7"/>
  <c r="J229" i="7"/>
  <c r="J205" i="7"/>
  <c r="J181" i="7"/>
  <c r="J157" i="7"/>
  <c r="J133" i="7"/>
  <c r="J109" i="7"/>
  <c r="J85" i="7"/>
  <c r="J61" i="7"/>
  <c r="J37" i="7"/>
  <c r="J13" i="7"/>
  <c r="J200" i="7"/>
  <c r="J132" i="7"/>
  <c r="J36" i="7"/>
  <c r="J330" i="7"/>
  <c r="J306" i="7"/>
  <c r="J282" i="7"/>
  <c r="J64" i="7"/>
  <c r="J96" i="7"/>
  <c r="J218" i="7"/>
  <c r="J162" i="7"/>
  <c r="J110" i="7"/>
  <c r="J62" i="7"/>
  <c r="J10" i="7"/>
  <c r="J317" i="7"/>
  <c r="J293" i="7"/>
  <c r="J269" i="7"/>
  <c r="J245" i="7"/>
  <c r="J221" i="7"/>
  <c r="J197" i="7"/>
  <c r="J173" i="7"/>
  <c r="J149" i="7"/>
  <c r="J125" i="7"/>
  <c r="J101" i="7"/>
  <c r="J77" i="7"/>
  <c r="J53" i="7"/>
  <c r="J29" i="7"/>
  <c r="J216" i="7"/>
  <c r="J160" i="7"/>
  <c r="J68" i="7"/>
  <c r="J322" i="7"/>
  <c r="J182" i="7"/>
  <c r="J128" i="7"/>
  <c r="J32" i="7"/>
  <c r="J198" i="7"/>
  <c r="J146" i="7"/>
  <c r="J94" i="7"/>
  <c r="J46" i="7"/>
  <c r="J309" i="7"/>
  <c r="J285" i="7"/>
  <c r="J261" i="7"/>
  <c r="J237" i="7"/>
  <c r="J213" i="7"/>
  <c r="J189" i="7"/>
  <c r="J165" i="7"/>
  <c r="J141" i="7"/>
  <c r="J117" i="7"/>
  <c r="J93" i="7"/>
  <c r="J69" i="7"/>
  <c r="J45" i="7"/>
  <c r="J21" i="7"/>
  <c r="J232" i="7"/>
  <c r="J180" i="7"/>
  <c r="J100" i="7"/>
  <c r="J4" i="7"/>
  <c r="J314" i="7"/>
  <c r="J266" i="7"/>
  <c r="J210" i="7"/>
  <c r="J284" i="7"/>
  <c r="J188" i="7"/>
  <c r="J319" i="7"/>
  <c r="J295" i="7"/>
  <c r="J271" i="7"/>
  <c r="J247" i="7"/>
  <c r="J223" i="7"/>
  <c r="J199" i="7"/>
  <c r="J175" i="7"/>
  <c r="J127" i="7"/>
  <c r="J286" i="7"/>
  <c r="J262" i="7"/>
  <c r="J316" i="7"/>
  <c r="J327" i="7"/>
  <c r="J303" i="7"/>
  <c r="J279" i="7"/>
  <c r="J255" i="7"/>
  <c r="J231" i="7"/>
  <c r="J207" i="7"/>
  <c r="J183" i="7"/>
  <c r="J159" i="7"/>
  <c r="J318" i="7"/>
  <c r="J294" i="7"/>
  <c r="J230" i="7"/>
  <c r="J150" i="7"/>
  <c r="J300" i="7"/>
  <c r="J311" i="7"/>
  <c r="J287" i="7"/>
  <c r="J263" i="7"/>
  <c r="J239" i="7"/>
  <c r="J215" i="7"/>
  <c r="J191" i="7"/>
  <c r="J143" i="7"/>
  <c r="J242" i="7"/>
  <c r="J302" i="7"/>
  <c r="J278" i="7"/>
  <c r="J320" i="7"/>
  <c r="J304" i="7"/>
  <c r="J288" i="7"/>
  <c r="J272" i="7"/>
  <c r="J331" i="7"/>
  <c r="L331" i="7" s="1"/>
  <c r="J299" i="7"/>
  <c r="J291" i="7"/>
  <c r="J283" i="7"/>
  <c r="J275" i="7"/>
  <c r="J267" i="7"/>
  <c r="J259" i="7"/>
  <c r="J251" i="7"/>
  <c r="J243" i="7"/>
  <c r="J235" i="7"/>
  <c r="J227" i="7"/>
  <c r="J219" i="7"/>
  <c r="J211" i="7"/>
  <c r="J203" i="7"/>
  <c r="J195" i="7"/>
  <c r="J187" i="7"/>
  <c r="J179" i="7"/>
  <c r="J163" i="7"/>
  <c r="J224" i="7"/>
  <c r="J208" i="7"/>
  <c r="J152" i="7"/>
  <c r="J120" i="7"/>
  <c r="J88" i="7"/>
  <c r="J56" i="7"/>
  <c r="J24" i="7"/>
  <c r="J206" i="7"/>
  <c r="J170" i="7"/>
  <c r="J134" i="7"/>
  <c r="J102" i="7"/>
  <c r="J70" i="7"/>
  <c r="J38" i="7"/>
  <c r="J321" i="7"/>
  <c r="J305" i="7"/>
  <c r="J289" i="7"/>
  <c r="J273" i="7"/>
  <c r="J257" i="7"/>
  <c r="J241" i="7"/>
  <c r="J225" i="7"/>
  <c r="J209" i="7"/>
  <c r="J193" i="7"/>
  <c r="J177" i="7"/>
  <c r="J161" i="7"/>
  <c r="J145" i="7"/>
  <c r="J129" i="7"/>
  <c r="J113" i="7"/>
  <c r="J97" i="7"/>
  <c r="J81" i="7"/>
  <c r="J65" i="7"/>
  <c r="J49" i="7"/>
  <c r="J33" i="7"/>
  <c r="J17" i="7"/>
  <c r="J260" i="7"/>
  <c r="J244" i="7"/>
  <c r="J184" i="7"/>
  <c r="J168" i="7"/>
  <c r="J140" i="7"/>
  <c r="J108" i="7"/>
  <c r="J76" i="7"/>
  <c r="J44" i="7"/>
  <c r="J12" i="7"/>
  <c r="J246" i="7"/>
  <c r="J226" i="7"/>
  <c r="J202" i="7"/>
  <c r="J174" i="7"/>
  <c r="J142" i="7"/>
  <c r="J114" i="7"/>
  <c r="J82" i="7"/>
  <c r="J50" i="7"/>
  <c r="J22" i="7"/>
  <c r="J136" i="7"/>
  <c r="J40" i="7"/>
  <c r="J8" i="7"/>
  <c r="J312" i="7"/>
  <c r="J296" i="7"/>
  <c r="J280" i="7"/>
  <c r="J264" i="7"/>
  <c r="J323" i="7"/>
  <c r="J315" i="7"/>
  <c r="J307" i="7"/>
  <c r="J171" i="7"/>
  <c r="J167" i="7"/>
  <c r="J155" i="7"/>
  <c r="J151" i="7"/>
  <c r="J147" i="7"/>
  <c r="J139" i="7"/>
  <c r="J135" i="7"/>
  <c r="J131" i="7"/>
  <c r="J123" i="7"/>
  <c r="J119" i="7"/>
  <c r="J115" i="7"/>
  <c r="J111" i="7"/>
  <c r="J107" i="7"/>
  <c r="J103" i="7"/>
  <c r="J99" i="7"/>
  <c r="J95" i="7"/>
  <c r="J91" i="7"/>
  <c r="J87" i="7"/>
  <c r="J83" i="7"/>
  <c r="J79" i="7"/>
  <c r="J75" i="7"/>
  <c r="J71" i="7"/>
  <c r="J67" i="7"/>
  <c r="J63" i="7"/>
  <c r="J59" i="7"/>
  <c r="J55" i="7"/>
  <c r="J51" i="7"/>
  <c r="J47" i="7"/>
  <c r="J43" i="7"/>
  <c r="J39" i="7"/>
  <c r="J35" i="7"/>
  <c r="J31" i="7"/>
  <c r="J27" i="7"/>
  <c r="J23" i="7"/>
  <c r="J19" i="7"/>
  <c r="J15" i="7"/>
  <c r="J11" i="7"/>
  <c r="J7" i="7"/>
  <c r="J3" i="7"/>
  <c r="J2" i="7"/>
  <c r="I332" i="7"/>
  <c r="J252" i="7"/>
  <c r="J248" i="7"/>
  <c r="J236" i="7"/>
  <c r="J220" i="7"/>
  <c r="J204" i="7"/>
  <c r="J298" i="7"/>
  <c r="J290" i="7"/>
  <c r="J274" i="7"/>
  <c r="J258" i="7"/>
  <c r="J238" i="7"/>
  <c r="J222" i="7"/>
  <c r="J194" i="7"/>
  <c r="J166" i="7"/>
  <c r="J138" i="7"/>
  <c r="J106" i="7"/>
  <c r="J74" i="7"/>
  <c r="J42" i="7"/>
  <c r="J14" i="7"/>
  <c r="J250" i="7"/>
  <c r="J104" i="7"/>
  <c r="J186" i="7"/>
  <c r="J154" i="7"/>
  <c r="J118" i="7"/>
  <c r="J86" i="7"/>
  <c r="J54" i="7"/>
  <c r="J18" i="7"/>
  <c r="J329" i="7"/>
  <c r="J313" i="7"/>
  <c r="J297" i="7"/>
  <c r="J281" i="7"/>
  <c r="J265" i="7"/>
  <c r="J249" i="7"/>
  <c r="J233" i="7"/>
  <c r="J217" i="7"/>
  <c r="J201" i="7"/>
  <c r="J185" i="7"/>
  <c r="J169" i="7"/>
  <c r="J153" i="7"/>
  <c r="J137" i="7"/>
  <c r="J121" i="7"/>
  <c r="J105" i="7"/>
  <c r="J89" i="7"/>
  <c r="J73" i="7"/>
  <c r="J57" i="7"/>
  <c r="J41" i="7"/>
  <c r="J25" i="7"/>
  <c r="J9" i="7"/>
  <c r="J5" i="7"/>
  <c r="J256" i="7"/>
  <c r="J240" i="7"/>
  <c r="J192" i="7"/>
  <c r="J172" i="7"/>
  <c r="J148" i="7"/>
  <c r="J116" i="7"/>
  <c r="J84" i="7"/>
  <c r="J52" i="7"/>
  <c r="J20" i="7"/>
  <c r="J122" i="7"/>
  <c r="J90" i="7"/>
  <c r="J58" i="7"/>
  <c r="J26" i="7"/>
  <c r="J324" i="7"/>
  <c r="J308" i="7"/>
  <c r="J292" i="7"/>
  <c r="J276" i="7"/>
  <c r="J268" i="7"/>
  <c r="J72" i="7"/>
  <c r="J144" i="7"/>
  <c r="J112" i="7"/>
  <c r="J80" i="7"/>
  <c r="J48" i="7"/>
  <c r="J16" i="7"/>
  <c r="H332" i="7"/>
  <c r="J228" i="7"/>
  <c r="J212" i="7"/>
  <c r="J196" i="7"/>
  <c r="J176" i="7"/>
  <c r="J156" i="7"/>
  <c r="J124" i="7"/>
  <c r="J92" i="7"/>
  <c r="J60" i="7"/>
  <c r="J28" i="7"/>
  <c r="J326" i="7"/>
  <c r="J310" i="7"/>
  <c r="J270" i="7"/>
  <c r="J254" i="7"/>
  <c r="J234" i="7"/>
  <c r="J214" i="7"/>
  <c r="J190" i="7"/>
  <c r="J158" i="7"/>
  <c r="J130" i="7"/>
  <c r="J98" i="7"/>
  <c r="J66" i="7"/>
  <c r="J34" i="7"/>
  <c r="J6" i="7"/>
  <c r="K330" i="7"/>
  <c r="K329" i="7"/>
  <c r="K328" i="7"/>
  <c r="K327" i="7"/>
  <c r="K326" i="7"/>
  <c r="K325" i="7"/>
  <c r="K324" i="7"/>
  <c r="K323" i="7"/>
  <c r="K322" i="7"/>
  <c r="K321" i="7"/>
  <c r="K320" i="7"/>
  <c r="K319" i="7"/>
  <c r="K318" i="7"/>
  <c r="K317" i="7"/>
  <c r="K316" i="7"/>
  <c r="K315" i="7"/>
  <c r="K314" i="7"/>
  <c r="K313" i="7"/>
  <c r="K312" i="7"/>
  <c r="K311" i="7"/>
  <c r="K310" i="7"/>
  <c r="K309" i="7"/>
  <c r="K308" i="7"/>
  <c r="K307" i="7"/>
  <c r="K306" i="7"/>
  <c r="K305" i="7"/>
  <c r="K304" i="7"/>
  <c r="K303" i="7"/>
  <c r="K302" i="7"/>
  <c r="K301" i="7"/>
  <c r="K300" i="7"/>
  <c r="K299" i="7"/>
  <c r="K298" i="7"/>
  <c r="K297" i="7"/>
  <c r="K296" i="7"/>
  <c r="K295" i="7"/>
  <c r="K294" i="7"/>
  <c r="K293" i="7"/>
  <c r="K292" i="7"/>
  <c r="K291" i="7"/>
  <c r="K290" i="7"/>
  <c r="K289" i="7"/>
  <c r="K288" i="7"/>
  <c r="K287" i="7"/>
  <c r="K286" i="7"/>
  <c r="K285" i="7"/>
  <c r="K284" i="7"/>
  <c r="K283" i="7"/>
  <c r="K282" i="7"/>
  <c r="K281" i="7"/>
  <c r="K280" i="7"/>
  <c r="K279" i="7"/>
  <c r="K278" i="7"/>
  <c r="K277" i="7"/>
  <c r="K276" i="7"/>
  <c r="K275" i="7"/>
  <c r="K274" i="7"/>
  <c r="K273" i="7"/>
  <c r="K272" i="7"/>
  <c r="K271" i="7"/>
  <c r="K270" i="7"/>
  <c r="K269" i="7"/>
  <c r="K268" i="7"/>
  <c r="K267" i="7"/>
  <c r="K266" i="7"/>
  <c r="K265" i="7"/>
  <c r="K264" i="7"/>
  <c r="K263" i="7"/>
  <c r="K262" i="7"/>
  <c r="K261" i="7"/>
  <c r="K260" i="7"/>
  <c r="K259" i="7"/>
  <c r="K258" i="7"/>
  <c r="K257" i="7"/>
  <c r="K256" i="7"/>
  <c r="K255" i="7"/>
  <c r="K254" i="7"/>
  <c r="K253" i="7"/>
  <c r="K252" i="7"/>
  <c r="K251" i="7"/>
  <c r="K250" i="7"/>
  <c r="K249" i="7"/>
  <c r="K248" i="7"/>
  <c r="K247" i="7"/>
  <c r="K246" i="7"/>
  <c r="K245" i="7"/>
  <c r="K244" i="7"/>
  <c r="K243" i="7"/>
  <c r="K242" i="7"/>
  <c r="K241" i="7"/>
  <c r="K240" i="7"/>
  <c r="K239" i="7"/>
  <c r="K238" i="7"/>
  <c r="K237" i="7"/>
  <c r="K236" i="7"/>
  <c r="K235" i="7"/>
  <c r="K234" i="7"/>
  <c r="K233" i="7"/>
  <c r="K232" i="7"/>
  <c r="K231" i="7"/>
  <c r="K230" i="7"/>
  <c r="K229" i="7"/>
  <c r="K228" i="7"/>
  <c r="K227" i="7"/>
  <c r="K226" i="7"/>
  <c r="K225" i="7"/>
  <c r="K224" i="7"/>
  <c r="K223" i="7"/>
  <c r="K222" i="7"/>
  <c r="K221" i="7"/>
  <c r="K220" i="7"/>
  <c r="K219" i="7"/>
  <c r="K218" i="7"/>
  <c r="K217" i="7"/>
  <c r="K216" i="7"/>
  <c r="K215" i="7"/>
  <c r="K214" i="7"/>
  <c r="K213" i="7"/>
  <c r="K212" i="7"/>
  <c r="K211" i="7"/>
  <c r="K210" i="7"/>
  <c r="K209" i="7"/>
  <c r="K208" i="7"/>
  <c r="K207" i="7"/>
  <c r="K206" i="7"/>
  <c r="K205" i="7"/>
  <c r="K204" i="7"/>
  <c r="K203" i="7"/>
  <c r="K202" i="7"/>
  <c r="K201" i="7"/>
  <c r="K200" i="7"/>
  <c r="K199" i="7"/>
  <c r="K198" i="7"/>
  <c r="K197" i="7"/>
  <c r="K196" i="7"/>
  <c r="K195" i="7"/>
  <c r="K194" i="7"/>
  <c r="K193" i="7"/>
  <c r="K192" i="7"/>
  <c r="K191" i="7"/>
  <c r="K190" i="7"/>
  <c r="K189" i="7"/>
  <c r="K188" i="7"/>
  <c r="K187" i="7"/>
  <c r="K186" i="7"/>
  <c r="K185" i="7"/>
  <c r="K184" i="7"/>
  <c r="K183" i="7"/>
  <c r="K182" i="7"/>
  <c r="K181" i="7"/>
  <c r="K180" i="7"/>
  <c r="K179" i="7"/>
  <c r="K178" i="7"/>
  <c r="K177" i="7"/>
  <c r="K176" i="7"/>
  <c r="K175" i="7"/>
  <c r="K174" i="7"/>
  <c r="K173" i="7"/>
  <c r="K172" i="7"/>
  <c r="K171" i="7"/>
  <c r="K170" i="7"/>
  <c r="K169" i="7"/>
  <c r="K168" i="7"/>
  <c r="K167" i="7"/>
  <c r="K166" i="7"/>
  <c r="K165" i="7"/>
  <c r="K164" i="7"/>
  <c r="K163" i="7"/>
  <c r="K162" i="7"/>
  <c r="K161" i="7"/>
  <c r="K160" i="7"/>
  <c r="K159" i="7"/>
  <c r="K158" i="7"/>
  <c r="K157" i="7"/>
  <c r="K156" i="7"/>
  <c r="K155" i="7"/>
  <c r="K154" i="7"/>
  <c r="K153" i="7"/>
  <c r="K152" i="7"/>
  <c r="K151" i="7"/>
  <c r="K150" i="7"/>
  <c r="K149" i="7"/>
  <c r="K148" i="7"/>
  <c r="K147" i="7"/>
  <c r="K146" i="7"/>
  <c r="K145" i="7"/>
  <c r="K144" i="7"/>
  <c r="K143" i="7"/>
  <c r="K142" i="7"/>
  <c r="K141" i="7"/>
  <c r="K140" i="7"/>
  <c r="K139" i="7"/>
  <c r="K138" i="7"/>
  <c r="K137" i="7"/>
  <c r="K136" i="7"/>
  <c r="K135" i="7"/>
  <c r="K134" i="7"/>
  <c r="K133" i="7"/>
  <c r="K132" i="7"/>
  <c r="K131" i="7"/>
  <c r="K130" i="7"/>
  <c r="K129" i="7"/>
  <c r="K128" i="7"/>
  <c r="K127" i="7"/>
  <c r="K126" i="7"/>
  <c r="K125" i="7"/>
  <c r="K124" i="7"/>
  <c r="K123" i="7"/>
  <c r="K122" i="7"/>
  <c r="K121" i="7"/>
  <c r="K120" i="7"/>
  <c r="K119" i="7"/>
  <c r="K118" i="7"/>
  <c r="K117" i="7"/>
  <c r="L117" i="7" s="1"/>
  <c r="K116" i="7"/>
  <c r="K115" i="7"/>
  <c r="K114" i="7"/>
  <c r="K113" i="7"/>
  <c r="L113" i="7" s="1"/>
  <c r="K112" i="7"/>
  <c r="K111" i="7"/>
  <c r="K110" i="7"/>
  <c r="K109" i="7"/>
  <c r="L109" i="7" s="1"/>
  <c r="K108" i="7"/>
  <c r="K107" i="7"/>
  <c r="L107" i="7" s="1"/>
  <c r="K106" i="7"/>
  <c r="K105" i="7"/>
  <c r="L105" i="7" s="1"/>
  <c r="K104" i="7"/>
  <c r="K103" i="7"/>
  <c r="K102" i="7"/>
  <c r="K101" i="7"/>
  <c r="K100" i="7"/>
  <c r="K99" i="7"/>
  <c r="L99" i="7" s="1"/>
  <c r="K98" i="7"/>
  <c r="K97" i="7"/>
  <c r="K96" i="7"/>
  <c r="K95" i="7"/>
  <c r="K94" i="7"/>
  <c r="K93" i="7"/>
  <c r="K92" i="7"/>
  <c r="K91" i="7"/>
  <c r="L91" i="7" s="1"/>
  <c r="K90" i="7"/>
  <c r="K89" i="7"/>
  <c r="L89" i="7" s="1"/>
  <c r="K88" i="7"/>
  <c r="K87" i="7"/>
  <c r="K86" i="7"/>
  <c r="K85" i="7"/>
  <c r="K84" i="7"/>
  <c r="K83" i="7"/>
  <c r="K82" i="7"/>
  <c r="K81" i="7"/>
  <c r="K80" i="7"/>
  <c r="K79" i="7"/>
  <c r="K78" i="7"/>
  <c r="K77" i="7"/>
  <c r="K76" i="7"/>
  <c r="K75" i="7"/>
  <c r="K74" i="7"/>
  <c r="K73" i="7"/>
  <c r="K72" i="7"/>
  <c r="K71" i="7"/>
  <c r="K70" i="7"/>
  <c r="K69" i="7"/>
  <c r="K68" i="7"/>
  <c r="K67" i="7"/>
  <c r="K66" i="7"/>
  <c r="K65" i="7"/>
  <c r="K64" i="7"/>
  <c r="K63" i="7"/>
  <c r="L63" i="7" s="1"/>
  <c r="K62" i="7"/>
  <c r="K61" i="7"/>
  <c r="K60" i="7"/>
  <c r="K59" i="7"/>
  <c r="K58" i="7"/>
  <c r="K57" i="7"/>
  <c r="K56" i="7"/>
  <c r="K55" i="7"/>
  <c r="K54" i="7"/>
  <c r="K53" i="7"/>
  <c r="K52" i="7"/>
  <c r="K51" i="7"/>
  <c r="K50" i="7"/>
  <c r="K49" i="7"/>
  <c r="K48" i="7"/>
  <c r="K47" i="7"/>
  <c r="L47" i="7" s="1"/>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L15" i="7" s="1"/>
  <c r="K14" i="7"/>
  <c r="K13" i="7"/>
  <c r="K12" i="7"/>
  <c r="K11" i="7"/>
  <c r="K10" i="7"/>
  <c r="K9" i="7"/>
  <c r="K8" i="7"/>
  <c r="K7" i="7"/>
  <c r="K6" i="7"/>
  <c r="K5" i="7"/>
  <c r="K4" i="7"/>
  <c r="K3" i="7"/>
  <c r="K2" i="7"/>
  <c r="L101" i="7" l="1"/>
  <c r="L93" i="7"/>
  <c r="L327" i="7"/>
  <c r="L330" i="7"/>
  <c r="L31" i="7"/>
  <c r="L79" i="7"/>
  <c r="L97" i="7"/>
  <c r="L326" i="7"/>
  <c r="J332" i="7"/>
  <c r="L328" i="7"/>
  <c r="L11" i="7"/>
  <c r="L27" i="7"/>
  <c r="L43" i="7"/>
  <c r="L59" i="7"/>
  <c r="L115" i="7"/>
  <c r="L75" i="7"/>
  <c r="L7" i="7"/>
  <c r="L23" i="7"/>
  <c r="L39" i="7"/>
  <c r="L55" i="7"/>
  <c r="L71" i="7"/>
  <c r="L87" i="7"/>
  <c r="L95" i="7"/>
  <c r="L103" i="7"/>
  <c r="L111" i="7"/>
  <c r="L19" i="7"/>
  <c r="L35" i="7"/>
  <c r="L51" i="7"/>
  <c r="L67" i="7"/>
  <c r="L83" i="7"/>
  <c r="L250" i="7"/>
  <c r="L254" i="7"/>
  <c r="L258" i="7"/>
  <c r="L262" i="7"/>
  <c r="L266" i="7"/>
  <c r="L270" i="7"/>
  <c r="L274" i="7"/>
  <c r="L278" i="7"/>
  <c r="L282" i="7"/>
  <c r="L286" i="7"/>
  <c r="L290" i="7"/>
  <c r="L294" i="7"/>
  <c r="L298" i="7"/>
  <c r="L302" i="7"/>
  <c r="L306" i="7"/>
  <c r="L310" i="7"/>
  <c r="L314" i="7"/>
  <c r="L318" i="7"/>
  <c r="L322" i="7"/>
  <c r="L324" i="7"/>
  <c r="L119" i="7"/>
  <c r="L121" i="7"/>
  <c r="L123" i="7"/>
  <c r="L125" i="7"/>
  <c r="L127" i="7"/>
  <c r="L129" i="7"/>
  <c r="L131" i="7"/>
  <c r="L133" i="7"/>
  <c r="L135" i="7"/>
  <c r="L137" i="7"/>
  <c r="L139" i="7"/>
  <c r="L141" i="7"/>
  <c r="L143" i="7"/>
  <c r="L145" i="7"/>
  <c r="L147" i="7"/>
  <c r="L149" i="7"/>
  <c r="L151" i="7"/>
  <c r="L153" i="7"/>
  <c r="L155" i="7"/>
  <c r="L157" i="7"/>
  <c r="L159" i="7"/>
  <c r="L161" i="7"/>
  <c r="L163" i="7"/>
  <c r="L165" i="7"/>
  <c r="L167" i="7"/>
  <c r="L169" i="7"/>
  <c r="L171" i="7"/>
  <c r="L173" i="7"/>
  <c r="L175" i="7"/>
  <c r="L177" i="7"/>
  <c r="L179" i="7"/>
  <c r="L181" i="7"/>
  <c r="L183" i="7"/>
  <c r="L185" i="7"/>
  <c r="L187" i="7"/>
  <c r="L189" i="7"/>
  <c r="L191" i="7"/>
  <c r="L193" i="7"/>
  <c r="L195" i="7"/>
  <c r="L197" i="7"/>
  <c r="L199" i="7"/>
  <c r="L201" i="7"/>
  <c r="L203" i="7"/>
  <c r="L205" i="7"/>
  <c r="L207" i="7"/>
  <c r="L209" i="7"/>
  <c r="L211" i="7"/>
  <c r="L213" i="7"/>
  <c r="L215" i="7"/>
  <c r="L217" i="7"/>
  <c r="L219" i="7"/>
  <c r="L221" i="7"/>
  <c r="L4" i="7"/>
  <c r="L6" i="7"/>
  <c r="L8" i="7"/>
  <c r="L10" i="7"/>
  <c r="L18" i="7"/>
  <c r="L20" i="7"/>
  <c r="L22" i="7"/>
  <c r="L24" i="7"/>
  <c r="L26" i="7"/>
  <c r="L28" i="7"/>
  <c r="L30" i="7"/>
  <c r="L32" i="7"/>
  <c r="L34" i="7"/>
  <c r="L36" i="7"/>
  <c r="L38" i="7"/>
  <c r="L40" i="7"/>
  <c r="L42" i="7"/>
  <c r="L46" i="7"/>
  <c r="L50" i="7"/>
  <c r="L52" i="7"/>
  <c r="L54" i="7"/>
  <c r="L56" i="7"/>
  <c r="L58" i="7"/>
  <c r="L60" i="7"/>
  <c r="L62" i="7"/>
  <c r="L66" i="7"/>
  <c r="L68" i="7"/>
  <c r="L70" i="7"/>
  <c r="L72" i="7"/>
  <c r="L74" i="7"/>
  <c r="L76" i="7"/>
  <c r="L78" i="7"/>
  <c r="L82" i="7"/>
  <c r="L84" i="7"/>
  <c r="L86" i="7"/>
  <c r="L88" i="7"/>
  <c r="L92" i="7"/>
  <c r="L96" i="7"/>
  <c r="L100" i="7"/>
  <c r="L104" i="7"/>
  <c r="L108" i="7"/>
  <c r="L112" i="7"/>
  <c r="L116" i="7"/>
  <c r="L224" i="7"/>
  <c r="L225" i="7"/>
  <c r="L226" i="7"/>
  <c r="L228" i="7"/>
  <c r="L230" i="7"/>
  <c r="L232" i="7"/>
  <c r="L234" i="7"/>
  <c r="L236" i="7"/>
  <c r="L238" i="7"/>
  <c r="L240" i="7"/>
  <c r="L242" i="7"/>
  <c r="L244" i="7"/>
  <c r="L246" i="7"/>
  <c r="L248" i="7"/>
  <c r="L252" i="7"/>
  <c r="L256" i="7"/>
  <c r="L260" i="7"/>
  <c r="L264" i="7"/>
  <c r="L268" i="7"/>
  <c r="L272" i="7"/>
  <c r="L276" i="7"/>
  <c r="L280" i="7"/>
  <c r="L284" i="7"/>
  <c r="L288" i="7"/>
  <c r="L292" i="7"/>
  <c r="L296" i="7"/>
  <c r="L300" i="7"/>
  <c r="L304" i="7"/>
  <c r="L308" i="7"/>
  <c r="L312" i="7"/>
  <c r="L316" i="7"/>
  <c r="L320" i="7"/>
  <c r="L12" i="7"/>
  <c r="L16" i="7"/>
  <c r="L44" i="7"/>
  <c r="L48" i="7"/>
  <c r="L64" i="7"/>
  <c r="L80" i="7"/>
  <c r="L5" i="7"/>
  <c r="L9" i="7"/>
  <c r="L13" i="7"/>
  <c r="L17" i="7"/>
  <c r="L21" i="7"/>
  <c r="L25" i="7"/>
  <c r="L29" i="7"/>
  <c r="L33" i="7"/>
  <c r="L37" i="7"/>
  <c r="L41" i="7"/>
  <c r="L45" i="7"/>
  <c r="L49" i="7"/>
  <c r="L53" i="7"/>
  <c r="L57" i="7"/>
  <c r="L61" i="7"/>
  <c r="L65" i="7"/>
  <c r="L69" i="7"/>
  <c r="L73" i="7"/>
  <c r="L77" i="7"/>
  <c r="L81" i="7"/>
  <c r="L85" i="7"/>
  <c r="L90" i="7"/>
  <c r="L94" i="7"/>
  <c r="L98" i="7"/>
  <c r="L102" i="7"/>
  <c r="L106" i="7"/>
  <c r="L110" i="7"/>
  <c r="L114" i="7"/>
  <c r="L118" i="7"/>
  <c r="L122" i="7"/>
  <c r="L126" i="7"/>
  <c r="L130" i="7"/>
  <c r="L134" i="7"/>
  <c r="L138" i="7"/>
  <c r="L142" i="7"/>
  <c r="L146" i="7"/>
  <c r="L150" i="7"/>
  <c r="L154" i="7"/>
  <c r="L158" i="7"/>
  <c r="L162" i="7"/>
  <c r="L166" i="7"/>
  <c r="L170" i="7"/>
  <c r="L174" i="7"/>
  <c r="L178" i="7"/>
  <c r="L182" i="7"/>
  <c r="L186" i="7"/>
  <c r="L190" i="7"/>
  <c r="L194" i="7"/>
  <c r="L198" i="7"/>
  <c r="L202" i="7"/>
  <c r="L206" i="7"/>
  <c r="L210" i="7"/>
  <c r="L214" i="7"/>
  <c r="L218" i="7"/>
  <c r="L222" i="7"/>
  <c r="L223" i="7"/>
  <c r="L120" i="7"/>
  <c r="L124" i="7"/>
  <c r="L128" i="7"/>
  <c r="L132" i="7"/>
  <c r="L136" i="7"/>
  <c r="L140" i="7"/>
  <c r="L144" i="7"/>
  <c r="L148" i="7"/>
  <c r="L152" i="7"/>
  <c r="L156" i="7"/>
  <c r="L160" i="7"/>
  <c r="L164" i="7"/>
  <c r="L168" i="7"/>
  <c r="L172" i="7"/>
  <c r="L176" i="7"/>
  <c r="L180" i="7"/>
  <c r="L184" i="7"/>
  <c r="L188" i="7"/>
  <c r="L192" i="7"/>
  <c r="L196" i="7"/>
  <c r="L200" i="7"/>
  <c r="L204" i="7"/>
  <c r="L208" i="7"/>
  <c r="L212" i="7"/>
  <c r="L216" i="7"/>
  <c r="L220" i="7"/>
  <c r="L227" i="7"/>
  <c r="L231" i="7"/>
  <c r="L235" i="7"/>
  <c r="L239" i="7"/>
  <c r="L243" i="7"/>
  <c r="L229" i="7"/>
  <c r="L233" i="7"/>
  <c r="L237" i="7"/>
  <c r="L241" i="7"/>
  <c r="L245" i="7"/>
  <c r="L247" i="7"/>
  <c r="L251" i="7"/>
  <c r="L255" i="7"/>
  <c r="L259" i="7"/>
  <c r="L263" i="7"/>
  <c r="L267" i="7"/>
  <c r="L271" i="7"/>
  <c r="L275" i="7"/>
  <c r="L279" i="7"/>
  <c r="L283" i="7"/>
  <c r="L287" i="7"/>
  <c r="L291" i="7"/>
  <c r="L295" i="7"/>
  <c r="L299" i="7"/>
  <c r="L303" i="7"/>
  <c r="L307" i="7"/>
  <c r="L311" i="7"/>
  <c r="L315" i="7"/>
  <c r="L319" i="7"/>
  <c r="L323" i="7"/>
  <c r="L249" i="7"/>
  <c r="L253" i="7"/>
  <c r="L257" i="7"/>
  <c r="L261" i="7"/>
  <c r="L265" i="7"/>
  <c r="L269" i="7"/>
  <c r="L273" i="7"/>
  <c r="L277" i="7"/>
  <c r="L281" i="7"/>
  <c r="L285" i="7"/>
  <c r="L289" i="7"/>
  <c r="L293" i="7"/>
  <c r="L297" i="7"/>
  <c r="L301" i="7"/>
  <c r="L305" i="7"/>
  <c r="L309" i="7"/>
  <c r="L313" i="7"/>
  <c r="L317" i="7"/>
  <c r="L321" i="7"/>
  <c r="L325" i="7"/>
  <c r="L338" i="7" l="1"/>
  <c r="L332" i="7"/>
  <c r="N309" i="7" l="1"/>
  <c r="N327" i="7"/>
  <c r="N7" i="7"/>
  <c r="N13" i="7"/>
  <c r="N19" i="7"/>
  <c r="N25" i="7"/>
  <c r="N31" i="7"/>
  <c r="N43" i="7"/>
  <c r="N55" i="7"/>
  <c r="N67" i="7"/>
  <c r="N85" i="7"/>
  <c r="N103" i="7"/>
  <c r="N115" i="7"/>
  <c r="N133" i="7"/>
  <c r="N151" i="7"/>
  <c r="N163" i="7"/>
  <c r="N181" i="7"/>
  <c r="N199" i="7"/>
  <c r="N211" i="7"/>
  <c r="N229" i="7"/>
  <c r="N241" i="7"/>
  <c r="N253" i="7"/>
  <c r="N271" i="7"/>
  <c r="N289" i="7"/>
  <c r="N307" i="7"/>
  <c r="N319" i="7"/>
  <c r="H2" i="8"/>
  <c r="Y2" i="8" s="1"/>
  <c r="N8" i="7"/>
  <c r="N14" i="7"/>
  <c r="N20" i="7"/>
  <c r="N26" i="7"/>
  <c r="N32" i="7"/>
  <c r="N38" i="7"/>
  <c r="N44" i="7"/>
  <c r="N50" i="7"/>
  <c r="N56" i="7"/>
  <c r="N62" i="7"/>
  <c r="N68" i="7"/>
  <c r="N74" i="7"/>
  <c r="N80" i="7"/>
  <c r="N86" i="7"/>
  <c r="N92" i="7"/>
  <c r="N98" i="7"/>
  <c r="N104" i="7"/>
  <c r="N110" i="7"/>
  <c r="O110" i="7" s="1"/>
  <c r="N116" i="7"/>
  <c r="N122" i="7"/>
  <c r="N128" i="7"/>
  <c r="N134" i="7"/>
  <c r="N140" i="7"/>
  <c r="N146" i="7"/>
  <c r="N152" i="7"/>
  <c r="N158" i="7"/>
  <c r="N164" i="7"/>
  <c r="N170" i="7"/>
  <c r="N176" i="7"/>
  <c r="N182" i="7"/>
  <c r="O182" i="7" s="1"/>
  <c r="N188" i="7"/>
  <c r="N194" i="7"/>
  <c r="N3" i="7"/>
  <c r="N9" i="7"/>
  <c r="N15" i="7"/>
  <c r="N21" i="7"/>
  <c r="O21" i="7" s="1"/>
  <c r="N27" i="7"/>
  <c r="N33" i="7"/>
  <c r="N39" i="7"/>
  <c r="N45" i="7"/>
  <c r="N51" i="7"/>
  <c r="N57" i="7"/>
  <c r="O57" i="7" s="1"/>
  <c r="N63" i="7"/>
  <c r="N69" i="7"/>
  <c r="N75" i="7"/>
  <c r="N81" i="7"/>
  <c r="N87" i="7"/>
  <c r="N93" i="7"/>
  <c r="O93" i="7" s="1"/>
  <c r="N99" i="7"/>
  <c r="N105" i="7"/>
  <c r="N111" i="7"/>
  <c r="N117" i="7"/>
  <c r="N123" i="7"/>
  <c r="N129" i="7"/>
  <c r="O129" i="7" s="1"/>
  <c r="N135" i="7"/>
  <c r="N141" i="7"/>
  <c r="N147" i="7"/>
  <c r="N153" i="7"/>
  <c r="N159" i="7"/>
  <c r="N165" i="7"/>
  <c r="O165" i="7" s="1"/>
  <c r="N171" i="7"/>
  <c r="N177" i="7"/>
  <c r="N183" i="7"/>
  <c r="N189" i="7"/>
  <c r="N195" i="7"/>
  <c r="N4" i="7"/>
  <c r="N10" i="7"/>
  <c r="N16" i="7"/>
  <c r="N22" i="7"/>
  <c r="N28" i="7"/>
  <c r="N34" i="7"/>
  <c r="N40" i="7"/>
  <c r="N46" i="7"/>
  <c r="N52" i="7"/>
  <c r="N58" i="7"/>
  <c r="N64" i="7"/>
  <c r="N70" i="7"/>
  <c r="N76" i="7"/>
  <c r="N82" i="7"/>
  <c r="N88" i="7"/>
  <c r="N94" i="7"/>
  <c r="N100" i="7"/>
  <c r="N106" i="7"/>
  <c r="N112" i="7"/>
  <c r="N118" i="7"/>
  <c r="N124" i="7"/>
  <c r="N130" i="7"/>
  <c r="N136" i="7"/>
  <c r="N142" i="7"/>
  <c r="N148" i="7"/>
  <c r="N154" i="7"/>
  <c r="N160" i="7"/>
  <c r="N166" i="7"/>
  <c r="N172" i="7"/>
  <c r="N178" i="7"/>
  <c r="N184" i="7"/>
  <c r="N190" i="7"/>
  <c r="N196" i="7"/>
  <c r="N6" i="7"/>
  <c r="N12" i="7"/>
  <c r="N18" i="7"/>
  <c r="N24" i="7"/>
  <c r="O24" i="7" s="1"/>
  <c r="N30" i="7"/>
  <c r="N36" i="7"/>
  <c r="N42" i="7"/>
  <c r="N48" i="7"/>
  <c r="N54" i="7"/>
  <c r="N60" i="7"/>
  <c r="N66" i="7"/>
  <c r="N72" i="7"/>
  <c r="N78" i="7"/>
  <c r="N84" i="7"/>
  <c r="N90" i="7"/>
  <c r="N96" i="7"/>
  <c r="N102" i="7"/>
  <c r="N108" i="7"/>
  <c r="N114" i="7"/>
  <c r="N120" i="7"/>
  <c r="N126" i="7"/>
  <c r="N132" i="7"/>
  <c r="N138" i="7"/>
  <c r="N144" i="7"/>
  <c r="N150" i="7"/>
  <c r="N156" i="7"/>
  <c r="N162" i="7"/>
  <c r="N168" i="7"/>
  <c r="N174" i="7"/>
  <c r="N180" i="7"/>
  <c r="N186" i="7"/>
  <c r="N192" i="7"/>
  <c r="N198" i="7"/>
  <c r="N204" i="7"/>
  <c r="N210" i="7"/>
  <c r="N216" i="7"/>
  <c r="N222" i="7"/>
  <c r="N228" i="7"/>
  <c r="N234" i="7"/>
  <c r="N240" i="7"/>
  <c r="N246" i="7"/>
  <c r="N252" i="7"/>
  <c r="N258" i="7"/>
  <c r="N264" i="7"/>
  <c r="N270" i="7"/>
  <c r="N276" i="7"/>
  <c r="N282" i="7"/>
  <c r="N288" i="7"/>
  <c r="N294" i="7"/>
  <c r="N300" i="7"/>
  <c r="N306" i="7"/>
  <c r="N312" i="7"/>
  <c r="N318" i="7"/>
  <c r="N324" i="7"/>
  <c r="N330" i="7"/>
  <c r="N37" i="7"/>
  <c r="N49" i="7"/>
  <c r="N61" i="7"/>
  <c r="N73" i="7"/>
  <c r="N79" i="7"/>
  <c r="N91" i="7"/>
  <c r="N97" i="7"/>
  <c r="N109" i="7"/>
  <c r="N121" i="7"/>
  <c r="N127" i="7"/>
  <c r="N139" i="7"/>
  <c r="N145" i="7"/>
  <c r="N157" i="7"/>
  <c r="N169" i="7"/>
  <c r="N175" i="7"/>
  <c r="N187" i="7"/>
  <c r="N193" i="7"/>
  <c r="N205" i="7"/>
  <c r="N217" i="7"/>
  <c r="N223" i="7"/>
  <c r="N235" i="7"/>
  <c r="N247" i="7"/>
  <c r="N259" i="7"/>
  <c r="N265" i="7"/>
  <c r="N277" i="7"/>
  <c r="N283" i="7"/>
  <c r="N295" i="7"/>
  <c r="N301" i="7"/>
  <c r="N313" i="7"/>
  <c r="N325" i="7"/>
  <c r="N131" i="7"/>
  <c r="N298" i="7"/>
  <c r="O298" i="7" s="1"/>
  <c r="N167" i="7"/>
  <c r="N290" i="7"/>
  <c r="N29" i="7"/>
  <c r="N65" i="7"/>
  <c r="N101" i="7"/>
  <c r="N137" i="7"/>
  <c r="N173" i="7"/>
  <c r="N201" i="7"/>
  <c r="N209" i="7"/>
  <c r="N219" i="7"/>
  <c r="N227" i="7"/>
  <c r="N237" i="7"/>
  <c r="N245" i="7"/>
  <c r="N255" i="7"/>
  <c r="N263" i="7"/>
  <c r="N273" i="7"/>
  <c r="N281" i="7"/>
  <c r="N291" i="7"/>
  <c r="N299" i="7"/>
  <c r="O299" i="7" s="1"/>
  <c r="N317" i="7"/>
  <c r="N35" i="7"/>
  <c r="N71" i="7"/>
  <c r="N107" i="7"/>
  <c r="N143" i="7"/>
  <c r="O143" i="7" s="1"/>
  <c r="N179" i="7"/>
  <c r="N202" i="7"/>
  <c r="N212" i="7"/>
  <c r="N220" i="7"/>
  <c r="N230" i="7"/>
  <c r="N238" i="7"/>
  <c r="O238" i="7" s="1"/>
  <c r="N248" i="7"/>
  <c r="N256" i="7"/>
  <c r="N266" i="7"/>
  <c r="N274" i="7"/>
  <c r="N284" i="7"/>
  <c r="N292" i="7"/>
  <c r="N302" i="7"/>
  <c r="N310" i="7"/>
  <c r="N320" i="7"/>
  <c r="N328" i="7"/>
  <c r="N5" i="7"/>
  <c r="N41" i="7"/>
  <c r="N77" i="7"/>
  <c r="N113" i="7"/>
  <c r="N149" i="7"/>
  <c r="N185" i="7"/>
  <c r="N203" i="7"/>
  <c r="N213" i="7"/>
  <c r="O213" i="7" s="1"/>
  <c r="N221" i="7"/>
  <c r="N231" i="7"/>
  <c r="N239" i="7"/>
  <c r="N249" i="7"/>
  <c r="N257" i="7"/>
  <c r="N267" i="7"/>
  <c r="O267" i="7" s="1"/>
  <c r="N275" i="7"/>
  <c r="N285" i="7"/>
  <c r="N293" i="7"/>
  <c r="N303" i="7"/>
  <c r="N311" i="7"/>
  <c r="N321" i="7"/>
  <c r="N329" i="7"/>
  <c r="N11" i="7"/>
  <c r="N47" i="7"/>
  <c r="N83" i="7"/>
  <c r="N119" i="7"/>
  <c r="N155" i="7"/>
  <c r="O155" i="7" s="1"/>
  <c r="N191" i="7"/>
  <c r="N206" i="7"/>
  <c r="N214" i="7"/>
  <c r="N224" i="7"/>
  <c r="N232" i="7"/>
  <c r="N242" i="7"/>
  <c r="O242" i="7" s="1"/>
  <c r="N250" i="7"/>
  <c r="O250" i="7" s="1"/>
  <c r="N260" i="7"/>
  <c r="N268" i="7"/>
  <c r="N278" i="7"/>
  <c r="N286" i="7"/>
  <c r="N296" i="7"/>
  <c r="O296" i="7" s="1"/>
  <c r="N304" i="7"/>
  <c r="N314" i="7"/>
  <c r="N322" i="7"/>
  <c r="N17" i="7"/>
  <c r="N53" i="7"/>
  <c r="O53" i="7" s="1"/>
  <c r="N89" i="7"/>
  <c r="N125" i="7"/>
  <c r="N161" i="7"/>
  <c r="N197" i="7"/>
  <c r="N207" i="7"/>
  <c r="N215" i="7"/>
  <c r="N225" i="7"/>
  <c r="N233" i="7"/>
  <c r="N243" i="7"/>
  <c r="N251" i="7"/>
  <c r="N261" i="7"/>
  <c r="N269" i="7"/>
  <c r="O269" i="7" s="1"/>
  <c r="N279" i="7"/>
  <c r="O279" i="7" s="1"/>
  <c r="N287" i="7"/>
  <c r="O287" i="7" s="1"/>
  <c r="N297" i="7"/>
  <c r="N305" i="7"/>
  <c r="N315" i="7"/>
  <c r="N323" i="7"/>
  <c r="O323" i="7" s="1"/>
  <c r="N23" i="7"/>
  <c r="N59" i="7"/>
  <c r="N95" i="7"/>
  <c r="N200" i="7"/>
  <c r="N208" i="7"/>
  <c r="N218" i="7"/>
  <c r="N226" i="7"/>
  <c r="O226" i="7" s="1"/>
  <c r="N236" i="7"/>
  <c r="N244" i="7"/>
  <c r="N254" i="7"/>
  <c r="N262" i="7"/>
  <c r="N272" i="7"/>
  <c r="O272" i="7" s="1"/>
  <c r="N280" i="7"/>
  <c r="N308" i="7"/>
  <c r="N316" i="7"/>
  <c r="N326" i="7"/>
  <c r="O7" i="7"/>
  <c r="O133" i="7"/>
  <c r="O5" i="7"/>
  <c r="O168" i="7"/>
  <c r="O22" i="7"/>
  <c r="O253" i="7"/>
  <c r="O311" i="7"/>
  <c r="O13" i="7"/>
  <c r="O25" i="7"/>
  <c r="O55" i="7"/>
  <c r="O67" i="7"/>
  <c r="O199" i="7"/>
  <c r="O247" i="7"/>
  <c r="O39" i="7"/>
  <c r="O8" i="7"/>
  <c r="O20" i="7"/>
  <c r="O44" i="7"/>
  <c r="O56" i="7"/>
  <c r="O80" i="7"/>
  <c r="O92" i="7"/>
  <c r="O104" i="7"/>
  <c r="O116" i="7"/>
  <c r="O128" i="7"/>
  <c r="O152" i="7"/>
  <c r="O164" i="7"/>
  <c r="O188" i="7"/>
  <c r="O218" i="7"/>
  <c r="O27" i="7"/>
  <c r="O18" i="7"/>
  <c r="O30" i="7"/>
  <c r="O210" i="7"/>
  <c r="O306" i="7"/>
  <c r="O103" i="7"/>
  <c r="O151" i="7"/>
  <c r="O163" i="7"/>
  <c r="O181" i="7"/>
  <c r="O241" i="7"/>
  <c r="O289" i="7"/>
  <c r="O230" i="7"/>
  <c r="O284" i="7"/>
  <c r="O3" i="7"/>
  <c r="O286" i="7"/>
  <c r="O41" i="7"/>
  <c r="O107" i="7"/>
  <c r="O111" i="7"/>
  <c r="O135" i="7"/>
  <c r="O183" i="7"/>
  <c r="O280" i="7"/>
  <c r="O63" i="7"/>
  <c r="O327" i="7"/>
  <c r="O203" i="7"/>
  <c r="O99" i="7"/>
  <c r="O171" i="7"/>
  <c r="O219" i="7"/>
  <c r="O232" i="7"/>
  <c r="O292" i="7"/>
  <c r="O89" i="7"/>
  <c r="O321" i="7"/>
  <c r="O82" i="7"/>
  <c r="O190" i="7"/>
  <c r="O75" i="7"/>
  <c r="O147" i="7"/>
  <c r="L2" i="8" l="1"/>
  <c r="P2" i="8"/>
  <c r="K2" i="8"/>
  <c r="N2" i="8"/>
  <c r="I2" i="8"/>
  <c r="F1" i="14" s="1"/>
  <c r="Q2" i="8"/>
  <c r="J2" i="8"/>
  <c r="M2" i="8"/>
  <c r="O2" i="8"/>
  <c r="H29" i="8"/>
  <c r="J29" i="8" s="1"/>
  <c r="H190" i="8"/>
  <c r="H272" i="8"/>
  <c r="Y272" i="8" s="1"/>
  <c r="H245" i="8"/>
  <c r="H178" i="8"/>
  <c r="H172" i="8"/>
  <c r="H309" i="8"/>
  <c r="Y309" i="8" s="1"/>
  <c r="H208" i="8"/>
  <c r="H310" i="8"/>
  <c r="H256" i="8"/>
  <c r="Y256" i="8" s="1"/>
  <c r="H192" i="8"/>
  <c r="H138" i="8"/>
  <c r="H79" i="8"/>
  <c r="Y79" i="8" s="1"/>
  <c r="H321" i="8"/>
  <c r="H285" i="8"/>
  <c r="Y285" i="8" s="1"/>
  <c r="H179" i="8"/>
  <c r="I179" i="8" s="1"/>
  <c r="H143" i="8"/>
  <c r="K143" i="8" s="1"/>
  <c r="H108" i="8"/>
  <c r="H72" i="8"/>
  <c r="H36" i="8"/>
  <c r="K36" i="8" s="1"/>
  <c r="H195" i="8"/>
  <c r="M195" i="8" s="1"/>
  <c r="H159" i="8"/>
  <c r="O159" i="8" s="1"/>
  <c r="H124" i="8"/>
  <c r="H16" i="8"/>
  <c r="H176" i="8"/>
  <c r="H140" i="8"/>
  <c r="H105" i="8"/>
  <c r="H69" i="8"/>
  <c r="H33" i="8"/>
  <c r="H157" i="8"/>
  <c r="H122" i="8"/>
  <c r="O122" i="7"/>
  <c r="H50" i="8"/>
  <c r="H14" i="8"/>
  <c r="O14" i="7"/>
  <c r="H180" i="8"/>
  <c r="H85" i="8"/>
  <c r="H19" i="8"/>
  <c r="O158" i="7"/>
  <c r="H260" i="8"/>
  <c r="O260" i="8" s="1"/>
  <c r="H284" i="8"/>
  <c r="K284" i="8" s="1"/>
  <c r="H296" i="8"/>
  <c r="H232" i="8"/>
  <c r="O232" i="8" s="1"/>
  <c r="O235" i="7"/>
  <c r="H174" i="8"/>
  <c r="H61" i="8"/>
  <c r="H237" i="8"/>
  <c r="O240" i="7"/>
  <c r="H203" i="8"/>
  <c r="H167" i="8"/>
  <c r="K167" i="8" s="1"/>
  <c r="O132" i="7"/>
  <c r="H96" i="8"/>
  <c r="H60" i="8"/>
  <c r="H24" i="8"/>
  <c r="H183" i="8"/>
  <c r="H147" i="8"/>
  <c r="H76" i="8"/>
  <c r="H40" i="8"/>
  <c r="H4" i="8"/>
  <c r="O4" i="7"/>
  <c r="H164" i="8"/>
  <c r="H129" i="8"/>
  <c r="H93" i="8"/>
  <c r="H57" i="8"/>
  <c r="H21" i="8"/>
  <c r="H181" i="8"/>
  <c r="H145" i="8"/>
  <c r="O146" i="7"/>
  <c r="H110" i="8"/>
  <c r="H74" i="8"/>
  <c r="O74" i="7"/>
  <c r="H38" i="8"/>
  <c r="O38" i="7"/>
  <c r="H233" i="8"/>
  <c r="H230" i="8"/>
  <c r="L230" i="8" s="1"/>
  <c r="O233" i="7"/>
  <c r="H247" i="8"/>
  <c r="H121" i="8"/>
  <c r="H59" i="8"/>
  <c r="H301" i="8"/>
  <c r="Q301" i="8" s="1"/>
  <c r="H292" i="8"/>
  <c r="P292" i="8" s="1"/>
  <c r="O50" i="7"/>
  <c r="H259" i="8"/>
  <c r="H1582" i="25" s="1"/>
  <c r="K261" i="24" s="1"/>
  <c r="L261" i="24" s="1"/>
  <c r="N261" i="24" s="1"/>
  <c r="H207" i="8"/>
  <c r="Y207" i="8" s="1"/>
  <c r="H312" i="8"/>
  <c r="H258" i="8"/>
  <c r="H206" i="8"/>
  <c r="Y206" i="8" s="1"/>
  <c r="H17" i="8"/>
  <c r="H216" i="8"/>
  <c r="H65" i="8"/>
  <c r="H322" i="8"/>
  <c r="H204" i="8"/>
  <c r="H144" i="8"/>
  <c r="H91" i="8"/>
  <c r="O294" i="7"/>
  <c r="H255" i="8"/>
  <c r="H219" i="8"/>
  <c r="H78" i="8"/>
  <c r="H130" i="8"/>
  <c r="J130" i="8" s="1"/>
  <c r="H94" i="8"/>
  <c r="H58" i="8"/>
  <c r="H22" i="8"/>
  <c r="H182" i="8"/>
  <c r="H146" i="8"/>
  <c r="H111" i="8"/>
  <c r="H75" i="8"/>
  <c r="H39" i="8"/>
  <c r="H3" i="8"/>
  <c r="H163" i="8"/>
  <c r="H128" i="8"/>
  <c r="H92" i="8"/>
  <c r="H56" i="8"/>
  <c r="H20" i="8"/>
  <c r="H286" i="8"/>
  <c r="H198" i="8"/>
  <c r="H103" i="8"/>
  <c r="H25" i="8"/>
  <c r="H113" i="8"/>
  <c r="H314" i="8"/>
  <c r="H252" i="8"/>
  <c r="Q252" i="8" s="1"/>
  <c r="H298" i="8"/>
  <c r="H244" i="8"/>
  <c r="Y244" i="8" s="1"/>
  <c r="H127" i="8"/>
  <c r="H73" i="8"/>
  <c r="H279" i="8"/>
  <c r="H243" i="8"/>
  <c r="Y243" i="8" s="1"/>
  <c r="H209" i="8"/>
  <c r="K209" i="8" s="1"/>
  <c r="H173" i="8"/>
  <c r="L173" i="8" s="1"/>
  <c r="H137" i="8"/>
  <c r="Y137" i="8" s="1"/>
  <c r="H102" i="8"/>
  <c r="O102" i="8" s="1"/>
  <c r="H30" i="8"/>
  <c r="H189" i="8"/>
  <c r="H153" i="8"/>
  <c r="H118" i="8"/>
  <c r="H46" i="8"/>
  <c r="H10" i="8"/>
  <c r="H170" i="8"/>
  <c r="H134" i="8"/>
  <c r="H99" i="8"/>
  <c r="H63" i="8"/>
  <c r="H27" i="8"/>
  <c r="H187" i="8"/>
  <c r="H151" i="8"/>
  <c r="H116" i="8"/>
  <c r="H80" i="8"/>
  <c r="H44" i="8"/>
  <c r="H8" i="8"/>
  <c r="H250" i="8"/>
  <c r="H162" i="8"/>
  <c r="H67" i="8"/>
  <c r="H13" i="8"/>
  <c r="H238" i="8"/>
  <c r="H150" i="8"/>
  <c r="H55" i="8"/>
  <c r="H7" i="8"/>
  <c r="H277" i="8"/>
  <c r="H223" i="8"/>
  <c r="Y223" i="8" s="1"/>
  <c r="H23" i="8"/>
  <c r="H276" i="8"/>
  <c r="H222" i="8"/>
  <c r="L222" i="8" s="1"/>
  <c r="H89" i="8"/>
  <c r="H293" i="8"/>
  <c r="H239" i="8"/>
  <c r="H154" i="8"/>
  <c r="H318" i="8"/>
  <c r="H264" i="8"/>
  <c r="H212" i="8"/>
  <c r="H41" i="8"/>
  <c r="H289" i="8"/>
  <c r="H235" i="8"/>
  <c r="H142" i="8"/>
  <c r="H295" i="8"/>
  <c r="H18" i="8"/>
  <c r="H104" i="8"/>
  <c r="H132" i="8"/>
  <c r="H324" i="8"/>
  <c r="H269" i="8"/>
  <c r="H303" i="8"/>
  <c r="O303" i="8" s="1"/>
  <c r="H320" i="8"/>
  <c r="H266" i="8"/>
  <c r="H214" i="8"/>
  <c r="H53" i="8"/>
  <c r="H283" i="8"/>
  <c r="H229" i="8"/>
  <c r="H308" i="8"/>
  <c r="H202" i="8"/>
  <c r="H5" i="8"/>
  <c r="H281" i="8"/>
  <c r="H227" i="8"/>
  <c r="H107" i="8"/>
  <c r="Q195" i="8"/>
  <c r="O288" i="7"/>
  <c r="M50" i="8"/>
  <c r="O141" i="7"/>
  <c r="O195" i="8"/>
  <c r="J179" i="8"/>
  <c r="O124" i="7"/>
  <c r="Y284" i="8"/>
  <c r="O284" i="8"/>
  <c r="O301" i="8"/>
  <c r="P195" i="8"/>
  <c r="O50" i="8"/>
  <c r="K50" i="8"/>
  <c r="I36" i="8"/>
  <c r="L159" i="8"/>
  <c r="Y157" i="8"/>
  <c r="Q159" i="8"/>
  <c r="J157" i="8"/>
  <c r="O40" i="7"/>
  <c r="O59" i="7"/>
  <c r="O78" i="7"/>
  <c r="O295" i="7"/>
  <c r="O113" i="7"/>
  <c r="O17" i="7"/>
  <c r="O207" i="7"/>
  <c r="O275" i="7"/>
  <c r="O324" i="7"/>
  <c r="O102" i="7"/>
  <c r="O79" i="7"/>
  <c r="P167" i="8"/>
  <c r="P29" i="8"/>
  <c r="M167" i="8"/>
  <c r="I301" i="8"/>
  <c r="O154" i="7"/>
  <c r="O317" i="7"/>
  <c r="O196" i="7"/>
  <c r="O76" i="7"/>
  <c r="O191" i="7"/>
  <c r="O312" i="7"/>
  <c r="O96" i="7"/>
  <c r="O73" i="7"/>
  <c r="L167" i="8"/>
  <c r="H1518" i="25"/>
  <c r="K197" i="24" s="1"/>
  <c r="L197" i="24" s="1"/>
  <c r="N197" i="24" s="1"/>
  <c r="L143" i="8"/>
  <c r="H1581" i="25"/>
  <c r="K260" i="24" s="1"/>
  <c r="L260" i="24" s="1"/>
  <c r="N260" i="24" s="1"/>
  <c r="O193" i="7"/>
  <c r="O180" i="7"/>
  <c r="P159" i="8"/>
  <c r="M159" i="8"/>
  <c r="I258" i="8"/>
  <c r="J159" i="8"/>
  <c r="N159" i="8"/>
  <c r="I159" i="8"/>
  <c r="J260" i="8"/>
  <c r="I50" i="8"/>
  <c r="L50" i="8"/>
  <c r="K180" i="8"/>
  <c r="K159" i="8"/>
  <c r="J195" i="8"/>
  <c r="O259" i="8"/>
  <c r="K173" i="8"/>
  <c r="O261" i="7"/>
  <c r="O160" i="7"/>
  <c r="O262" i="7"/>
  <c r="O174" i="7"/>
  <c r="H1503" i="25"/>
  <c r="K182" i="24" s="1"/>
  <c r="L182" i="24" s="1"/>
  <c r="N182" i="24" s="1"/>
  <c r="Q258" i="8"/>
  <c r="O263" i="7"/>
  <c r="O69" i="7"/>
  <c r="O209" i="7"/>
  <c r="O255" i="7"/>
  <c r="O208" i="7"/>
  <c r="O313" i="7"/>
  <c r="O258" i="7"/>
  <c r="O144" i="7"/>
  <c r="O72" i="7"/>
  <c r="O139" i="7"/>
  <c r="L29" i="8"/>
  <c r="I219" i="8"/>
  <c r="O36" i="8"/>
  <c r="Q102" i="8"/>
  <c r="L180" i="8"/>
  <c r="H1347" i="25"/>
  <c r="K26" i="24" s="1"/>
  <c r="L26" i="24" s="1"/>
  <c r="N26" i="24" s="1"/>
  <c r="I143" i="8"/>
  <c r="O184" i="7"/>
  <c r="O179" i="7"/>
  <c r="O58" i="7"/>
  <c r="O177" i="7"/>
  <c r="O173" i="7"/>
  <c r="O10" i="7"/>
  <c r="O315" i="7"/>
  <c r="O46" i="7"/>
  <c r="O33" i="7"/>
  <c r="O301" i="7"/>
  <c r="O246" i="7"/>
  <c r="O138" i="7"/>
  <c r="O60" i="7"/>
  <c r="O236" i="7"/>
  <c r="O91" i="7"/>
  <c r="O19" i="7"/>
  <c r="O148" i="7"/>
  <c r="O118" i="7"/>
  <c r="O85" i="7"/>
  <c r="N259" i="8"/>
  <c r="Y259" i="8"/>
  <c r="I29" i="8"/>
  <c r="F24" i="14" s="1"/>
  <c r="L258" i="8"/>
  <c r="Q61" i="8"/>
  <c r="J258" i="8"/>
  <c r="H1555" i="25"/>
  <c r="K234" i="24" s="1"/>
  <c r="L234" i="24" s="1"/>
  <c r="N234" i="24" s="1"/>
  <c r="H1470" i="25"/>
  <c r="K149" i="24" s="1"/>
  <c r="L149" i="24" s="1"/>
  <c r="N149" i="24" s="1"/>
  <c r="Q203" i="8"/>
  <c r="Y258" i="8"/>
  <c r="K258" i="8"/>
  <c r="O258" i="8"/>
  <c r="K259" i="8"/>
  <c r="Q259" i="8"/>
  <c r="Y173" i="8"/>
  <c r="N258" i="8"/>
  <c r="I61" i="8"/>
  <c r="F41" i="14" s="1"/>
  <c r="P232" i="8"/>
  <c r="J259" i="8"/>
  <c r="I102" i="8"/>
  <c r="Y147" i="8"/>
  <c r="L189" i="8"/>
  <c r="Q189" i="8"/>
  <c r="L61" i="8"/>
  <c r="L219" i="8"/>
  <c r="M258" i="8"/>
  <c r="P258" i="8"/>
  <c r="Q179" i="8"/>
  <c r="L259" i="8"/>
  <c r="L102" i="8"/>
  <c r="O189" i="8"/>
  <c r="O179" i="8"/>
  <c r="L183" i="8"/>
  <c r="M284" i="8"/>
  <c r="N301" i="8"/>
  <c r="L203" i="8"/>
  <c r="Q232" i="8"/>
  <c r="P79" i="8"/>
  <c r="M203" i="8"/>
  <c r="M309" i="8"/>
  <c r="I167" i="8"/>
  <c r="Y219" i="8"/>
  <c r="Y179" i="8"/>
  <c r="Y222" i="8"/>
  <c r="Y303" i="8"/>
  <c r="M260" i="8"/>
  <c r="L301" i="8"/>
  <c r="K301" i="8"/>
  <c r="J232" i="8"/>
  <c r="J219" i="8"/>
  <c r="P179" i="8"/>
  <c r="O167" i="8"/>
  <c r="M102" i="8"/>
  <c r="Y24" i="8"/>
  <c r="N195" i="8"/>
  <c r="N179" i="8"/>
  <c r="N173" i="8"/>
  <c r="P143" i="8"/>
  <c r="Y167" i="8"/>
  <c r="O61" i="8"/>
  <c r="Y29" i="8"/>
  <c r="K252" i="8"/>
  <c r="L252" i="8"/>
  <c r="Y102" i="8"/>
  <c r="N102" i="8"/>
  <c r="O292" i="8"/>
  <c r="H1425" i="25"/>
  <c r="K104" i="24" s="1"/>
  <c r="L104" i="24" s="1"/>
  <c r="N104" i="24" s="1"/>
  <c r="M183" i="8"/>
  <c r="K303" i="8"/>
  <c r="K260" i="8"/>
  <c r="O153" i="8"/>
  <c r="M173" i="8"/>
  <c r="O309" i="8"/>
  <c r="Y209" i="8"/>
  <c r="Y189" i="8"/>
  <c r="Y266" i="8"/>
  <c r="Y183" i="8"/>
  <c r="K147" i="8"/>
  <c r="J301" i="8"/>
  <c r="P189" i="8"/>
  <c r="J276" i="8"/>
  <c r="O29" i="8"/>
  <c r="P252" i="8"/>
  <c r="N94" i="8"/>
  <c r="O219" i="8"/>
  <c r="K102" i="8"/>
  <c r="J102" i="8"/>
  <c r="P183" i="8"/>
  <c r="I183" i="8"/>
  <c r="F109" i="14" s="1"/>
  <c r="Q209" i="8"/>
  <c r="N309" i="8"/>
  <c r="Y276" i="8"/>
  <c r="K276" i="8"/>
  <c r="Q284" i="8"/>
  <c r="N222" i="8"/>
  <c r="N284" i="8"/>
  <c r="H1566" i="25"/>
  <c r="K245" i="24" s="1"/>
  <c r="L284" i="8"/>
  <c r="J230" i="8"/>
  <c r="J173" i="8"/>
  <c r="I232" i="8"/>
  <c r="M230" i="8"/>
  <c r="Q173" i="8"/>
  <c r="Q230" i="8"/>
  <c r="Y260" i="8"/>
  <c r="Y252" i="8"/>
  <c r="Y230" i="8"/>
  <c r="Y301" i="8"/>
  <c r="N276" i="8"/>
  <c r="I276" i="8"/>
  <c r="Q276" i="8"/>
  <c r="Y61" i="8"/>
  <c r="M29" i="8"/>
  <c r="N29" i="8"/>
  <c r="Q260" i="8"/>
  <c r="P260" i="8"/>
  <c r="N61" i="8"/>
  <c r="Q29" i="8"/>
  <c r="K29" i="8"/>
  <c r="P276" i="8"/>
  <c r="L260" i="8"/>
  <c r="N252" i="8"/>
  <c r="H1599" i="25"/>
  <c r="K278" i="24" s="1"/>
  <c r="L278" i="24" s="1"/>
  <c r="N278" i="24" s="1"/>
  <c r="H1502" i="25"/>
  <c r="K181" i="24" s="1"/>
  <c r="L181" i="24" s="1"/>
  <c r="N181" i="24" s="1"/>
  <c r="P173" i="8"/>
  <c r="J209" i="8"/>
  <c r="K222" i="8"/>
  <c r="I209" i="8"/>
  <c r="O326" i="7"/>
  <c r="H323" i="8"/>
  <c r="O254" i="7"/>
  <c r="H251" i="8"/>
  <c r="O200" i="7"/>
  <c r="H199" i="8"/>
  <c r="O305" i="7"/>
  <c r="H302" i="8"/>
  <c r="O251" i="7"/>
  <c r="H248" i="8"/>
  <c r="O197" i="7"/>
  <c r="H196" i="8"/>
  <c r="H328" i="8"/>
  <c r="O278" i="7"/>
  <c r="H275" i="8"/>
  <c r="O224" i="7"/>
  <c r="H221" i="8"/>
  <c r="O83" i="7"/>
  <c r="H83" i="8"/>
  <c r="O303" i="7"/>
  <c r="H300" i="8"/>
  <c r="O249" i="7"/>
  <c r="H246" i="8"/>
  <c r="O185" i="7"/>
  <c r="H184" i="8"/>
  <c r="O328" i="7"/>
  <c r="H325" i="8"/>
  <c r="O274" i="7"/>
  <c r="H271" i="8"/>
  <c r="O220" i="7"/>
  <c r="H217" i="8"/>
  <c r="O71" i="7"/>
  <c r="H71" i="8"/>
  <c r="H270" i="8"/>
  <c r="O273" i="7"/>
  <c r="H1539" i="25"/>
  <c r="K218" i="24" s="1"/>
  <c r="L218" i="24" s="1"/>
  <c r="N218" i="24" s="1"/>
  <c r="Y216" i="8"/>
  <c r="I216" i="8"/>
  <c r="K216" i="8"/>
  <c r="O216" i="8"/>
  <c r="M216" i="8"/>
  <c r="J216" i="8"/>
  <c r="P216" i="8"/>
  <c r="N216" i="8"/>
  <c r="Q216" i="8"/>
  <c r="L216" i="8"/>
  <c r="O316" i="7"/>
  <c r="H313" i="8"/>
  <c r="O244" i="7"/>
  <c r="H241" i="8"/>
  <c r="O95" i="7"/>
  <c r="H95" i="8"/>
  <c r="O297" i="7"/>
  <c r="H294" i="8"/>
  <c r="O243" i="7"/>
  <c r="H240" i="8"/>
  <c r="O161" i="7"/>
  <c r="H160" i="8"/>
  <c r="O322" i="7"/>
  <c r="H319" i="8"/>
  <c r="O268" i="7"/>
  <c r="H265" i="8"/>
  <c r="O214" i="7"/>
  <c r="H213" i="8"/>
  <c r="O47" i="7"/>
  <c r="H47" i="8"/>
  <c r="O293" i="7"/>
  <c r="H290" i="8"/>
  <c r="O239" i="7"/>
  <c r="H236" i="8"/>
  <c r="O149" i="7"/>
  <c r="H148" i="8"/>
  <c r="O320" i="7"/>
  <c r="H317" i="8"/>
  <c r="O266" i="7"/>
  <c r="H263" i="8"/>
  <c r="O212" i="7"/>
  <c r="H211" i="8"/>
  <c r="O35" i="7"/>
  <c r="H35" i="8"/>
  <c r="N260" i="8"/>
  <c r="I260" i="8"/>
  <c r="H1600" i="25"/>
  <c r="K279" i="24" s="1"/>
  <c r="L279" i="24" s="1"/>
  <c r="N279" i="24" s="1"/>
  <c r="Y277" i="8"/>
  <c r="M277" i="8"/>
  <c r="J277" i="8"/>
  <c r="P277" i="8"/>
  <c r="N277" i="8"/>
  <c r="L277" i="8"/>
  <c r="O277" i="8"/>
  <c r="I277" i="8"/>
  <c r="F169" i="14" s="1"/>
  <c r="K277" i="8"/>
  <c r="Q277" i="8"/>
  <c r="H1346" i="25"/>
  <c r="K25" i="24" s="1"/>
  <c r="L25" i="24" s="1"/>
  <c r="N25" i="24" s="1"/>
  <c r="Y23" i="8"/>
  <c r="P23" i="8"/>
  <c r="Q23" i="8"/>
  <c r="N23" i="8"/>
  <c r="M23" i="8"/>
  <c r="L23" i="8"/>
  <c r="I23" i="8"/>
  <c r="F19" i="14" s="1"/>
  <c r="J23" i="8"/>
  <c r="K23" i="8"/>
  <c r="O23" i="8"/>
  <c r="H1545" i="25"/>
  <c r="K224" i="24" s="1"/>
  <c r="L224" i="24" s="1"/>
  <c r="N224" i="24" s="1"/>
  <c r="Q222" i="8"/>
  <c r="J222" i="8"/>
  <c r="M301" i="8"/>
  <c r="H1624" i="25"/>
  <c r="K303" i="24" s="1"/>
  <c r="L303" i="24" s="1"/>
  <c r="N303" i="24" s="1"/>
  <c r="Y190" i="8"/>
  <c r="P190" i="8"/>
  <c r="M190" i="8"/>
  <c r="I190" i="8"/>
  <c r="Q190" i="8"/>
  <c r="O190" i="8"/>
  <c r="K190" i="8"/>
  <c r="N190" i="8"/>
  <c r="J190" i="8"/>
  <c r="H1513" i="25"/>
  <c r="K192" i="24" s="1"/>
  <c r="L192" i="24" s="1"/>
  <c r="N192" i="24" s="1"/>
  <c r="L190" i="8"/>
  <c r="O329" i="7"/>
  <c r="H326" i="8"/>
  <c r="H1568" i="25"/>
  <c r="K247" i="24" s="1"/>
  <c r="L247" i="24" s="1"/>
  <c r="N247" i="24" s="1"/>
  <c r="Y245" i="8"/>
  <c r="O245" i="8"/>
  <c r="M245" i="8"/>
  <c r="P245" i="8"/>
  <c r="J245" i="8"/>
  <c r="L245" i="8"/>
  <c r="Q245" i="8"/>
  <c r="K245" i="8"/>
  <c r="N245" i="8"/>
  <c r="I245" i="8"/>
  <c r="H1619" i="25"/>
  <c r="K298" i="24" s="1"/>
  <c r="L298" i="24" s="1"/>
  <c r="N298" i="24" s="1"/>
  <c r="Y296" i="8"/>
  <c r="P296" i="8"/>
  <c r="L296" i="8"/>
  <c r="N296" i="8"/>
  <c r="Q296" i="8"/>
  <c r="O296" i="8"/>
  <c r="J296" i="8"/>
  <c r="M296" i="8"/>
  <c r="K296" i="8"/>
  <c r="I296" i="8"/>
  <c r="H242" i="8"/>
  <c r="O245" i="7"/>
  <c r="Q292" i="8"/>
  <c r="M292" i="8"/>
  <c r="H1497" i="25"/>
  <c r="K176" i="24" s="1"/>
  <c r="L176" i="24" s="1"/>
  <c r="N176" i="24" s="1"/>
  <c r="Q174" i="8"/>
  <c r="I174" i="8"/>
  <c r="K174" i="8"/>
  <c r="O174" i="8"/>
  <c r="J174" i="8"/>
  <c r="M174" i="8"/>
  <c r="L174" i="8"/>
  <c r="Y174" i="8"/>
  <c r="N174" i="8"/>
  <c r="P174" i="8"/>
  <c r="H1384" i="25"/>
  <c r="K63" i="24" s="1"/>
  <c r="L63" i="24" s="1"/>
  <c r="N63" i="24" s="1"/>
  <c r="K203" i="8"/>
  <c r="J203" i="8"/>
  <c r="N203" i="8"/>
  <c r="I203" i="8"/>
  <c r="Y159" i="8"/>
  <c r="Y195" i="8"/>
  <c r="M276" i="8"/>
  <c r="P301" i="8"/>
  <c r="P203" i="8"/>
  <c r="M61" i="8"/>
  <c r="J61" i="8"/>
  <c r="K195" i="8"/>
  <c r="J252" i="8"/>
  <c r="M179" i="8"/>
  <c r="N167" i="8"/>
  <c r="M252" i="8"/>
  <c r="I292" i="8"/>
  <c r="Y292" i="8"/>
  <c r="H1526" i="25"/>
  <c r="K205" i="24" s="1"/>
  <c r="L276" i="8"/>
  <c r="I173" i="8"/>
  <c r="F103" i="14" s="1"/>
  <c r="P222" i="8"/>
  <c r="I222" i="8"/>
  <c r="O23" i="7"/>
  <c r="O225" i="7"/>
  <c r="O105" i="7"/>
  <c r="O16" i="7"/>
  <c r="O304" i="7"/>
  <c r="O94" i="7"/>
  <c r="O325" i="7"/>
  <c r="O205" i="7"/>
  <c r="O121" i="7"/>
  <c r="O282" i="7"/>
  <c r="O204" i="7"/>
  <c r="O108" i="7"/>
  <c r="O36" i="7"/>
  <c r="O248" i="7"/>
  <c r="O175" i="7"/>
  <c r="O61" i="7"/>
  <c r="M222" i="8"/>
  <c r="O127" i="7"/>
  <c r="Y269" i="8"/>
  <c r="N269" i="8"/>
  <c r="J269" i="8"/>
  <c r="I269" i="8"/>
  <c r="P269" i="8"/>
  <c r="M269" i="8"/>
  <c r="K269" i="8"/>
  <c r="H1592" i="25"/>
  <c r="K271" i="24" s="1"/>
  <c r="L271" i="24" s="1"/>
  <c r="N271" i="24" s="1"/>
  <c r="Q269" i="8"/>
  <c r="O269" i="8"/>
  <c r="L269" i="8"/>
  <c r="H1626" i="25"/>
  <c r="K305" i="24" s="1"/>
  <c r="L305" i="24" s="1"/>
  <c r="N305" i="24" s="1"/>
  <c r="J303" i="8"/>
  <c r="P303" i="8"/>
  <c r="H1643" i="25"/>
  <c r="K322" i="24" s="1"/>
  <c r="Y320" i="8"/>
  <c r="J320" i="8"/>
  <c r="L320" i="8"/>
  <c r="K320" i="8"/>
  <c r="N320" i="8"/>
  <c r="M320" i="8"/>
  <c r="Q320" i="8"/>
  <c r="O320" i="8"/>
  <c r="I320" i="8"/>
  <c r="P320" i="8"/>
  <c r="H1589" i="25"/>
  <c r="K268" i="24" s="1"/>
  <c r="L268" i="24" s="1"/>
  <c r="N268" i="24" s="1"/>
  <c r="Y65" i="8"/>
  <c r="H1388" i="25"/>
  <c r="K67" i="24" s="1"/>
  <c r="L67" i="24" s="1"/>
  <c r="N67" i="24" s="1"/>
  <c r="Q65" i="8"/>
  <c r="I65" i="8"/>
  <c r="F44" i="14" s="1"/>
  <c r="M65" i="8"/>
  <c r="P65" i="8"/>
  <c r="J65" i="8"/>
  <c r="L65" i="8"/>
  <c r="O65" i="8"/>
  <c r="N65" i="8"/>
  <c r="K65" i="8"/>
  <c r="Y322" i="8"/>
  <c r="H1645" i="25"/>
  <c r="K324" i="24" s="1"/>
  <c r="J322" i="8"/>
  <c r="P322" i="8"/>
  <c r="O322" i="8"/>
  <c r="N322" i="8"/>
  <c r="L322" i="8"/>
  <c r="I322" i="8"/>
  <c r="F199" i="14" s="1"/>
  <c r="M322" i="8"/>
  <c r="Q322" i="8"/>
  <c r="K322" i="8"/>
  <c r="O265" i="7"/>
  <c r="H262" i="8"/>
  <c r="H1527" i="25"/>
  <c r="K206" i="24" s="1"/>
  <c r="Y204" i="8"/>
  <c r="L204" i="8"/>
  <c r="M204" i="8"/>
  <c r="I204" i="8"/>
  <c r="Q204" i="8"/>
  <c r="O204" i="8"/>
  <c r="K204" i="8"/>
  <c r="J204" i="8"/>
  <c r="N204" i="8"/>
  <c r="P204" i="8"/>
  <c r="Y144" i="8"/>
  <c r="H1467" i="25"/>
  <c r="K146" i="24" s="1"/>
  <c r="L146" i="24" s="1"/>
  <c r="N146" i="24" s="1"/>
  <c r="Q144" i="8"/>
  <c r="L144" i="8"/>
  <c r="O144" i="8"/>
  <c r="M144" i="8"/>
  <c r="J144" i="8"/>
  <c r="P144" i="8"/>
  <c r="K144" i="8"/>
  <c r="I144" i="8"/>
  <c r="N144" i="8"/>
  <c r="Q91" i="8"/>
  <c r="N91" i="8"/>
  <c r="P91" i="8"/>
  <c r="L91" i="8"/>
  <c r="J91" i="8"/>
  <c r="Y91" i="8"/>
  <c r="H1414" i="25"/>
  <c r="K93" i="24" s="1"/>
  <c r="L93" i="24" s="1"/>
  <c r="N93" i="24" s="1"/>
  <c r="O91" i="8"/>
  <c r="M91" i="8"/>
  <c r="K91" i="8"/>
  <c r="I91" i="8"/>
  <c r="O330" i="7"/>
  <c r="H327" i="8"/>
  <c r="H1578" i="25"/>
  <c r="K257" i="24" s="1"/>
  <c r="Q255" i="8"/>
  <c r="K255" i="8"/>
  <c r="M255" i="8"/>
  <c r="J255" i="8"/>
  <c r="Y255" i="8"/>
  <c r="I255" i="8"/>
  <c r="F157" i="14" s="1"/>
  <c r="O255" i="8"/>
  <c r="P255" i="8"/>
  <c r="N255" i="8"/>
  <c r="L255" i="8"/>
  <c r="H1542" i="25"/>
  <c r="K221" i="24" s="1"/>
  <c r="L221" i="24" s="1"/>
  <c r="N221" i="24" s="1"/>
  <c r="M219" i="8"/>
  <c r="H185" i="8"/>
  <c r="O186" i="7"/>
  <c r="O150" i="7"/>
  <c r="H149" i="8"/>
  <c r="H114" i="8"/>
  <c r="O114" i="7"/>
  <c r="Y78" i="8"/>
  <c r="H1401" i="25"/>
  <c r="K80" i="24" s="1"/>
  <c r="L80" i="24" s="1"/>
  <c r="N80" i="24" s="1"/>
  <c r="J78" i="8"/>
  <c r="N78" i="8"/>
  <c r="M78" i="8"/>
  <c r="I78" i="8"/>
  <c r="O78" i="8"/>
  <c r="L78" i="8"/>
  <c r="P78" i="8"/>
  <c r="Q78" i="8"/>
  <c r="K78" i="8"/>
  <c r="O42" i="7"/>
  <c r="H42" i="8"/>
  <c r="H6" i="8"/>
  <c r="O6" i="7"/>
  <c r="H165" i="8"/>
  <c r="O166" i="7"/>
  <c r="H1453" i="25"/>
  <c r="K132" i="24" s="1"/>
  <c r="L132" i="24" s="1"/>
  <c r="N132" i="24" s="1"/>
  <c r="K130" i="8"/>
  <c r="M130" i="8"/>
  <c r="O130" i="8"/>
  <c r="N130" i="8"/>
  <c r="H1417" i="25"/>
  <c r="K96" i="24" s="1"/>
  <c r="L96" i="24" s="1"/>
  <c r="N96" i="24" s="1"/>
  <c r="Y94" i="8"/>
  <c r="K94" i="8"/>
  <c r="L94" i="8"/>
  <c r="I94" i="8"/>
  <c r="F58" i="14" s="1"/>
  <c r="J94" i="8"/>
  <c r="M94" i="8"/>
  <c r="H1583" i="25"/>
  <c r="K262" i="24" s="1"/>
  <c r="L262" i="24" s="1"/>
  <c r="N262" i="24" s="1"/>
  <c r="H1531" i="25"/>
  <c r="K210" i="24" s="1"/>
  <c r="L210" i="24" s="1"/>
  <c r="N210" i="24" s="1"/>
  <c r="Y208" i="8"/>
  <c r="I208" i="8"/>
  <c r="P208" i="8"/>
  <c r="L208" i="8"/>
  <c r="M208" i="8"/>
  <c r="J208" i="8"/>
  <c r="N208" i="8"/>
  <c r="O208" i="8"/>
  <c r="K208" i="8"/>
  <c r="Q208" i="8"/>
  <c r="H1352" i="25"/>
  <c r="K31" i="24" s="1"/>
  <c r="L31" i="24" s="1"/>
  <c r="N31" i="24" s="1"/>
  <c r="Y310" i="8"/>
  <c r="H1633" i="25"/>
  <c r="K312" i="24" s="1"/>
  <c r="L312" i="24" s="1"/>
  <c r="N312" i="24" s="1"/>
  <c r="I310" i="8"/>
  <c r="Q310" i="8"/>
  <c r="O310" i="8"/>
  <c r="J310" i="8"/>
  <c r="L310" i="8"/>
  <c r="M310" i="8"/>
  <c r="P310" i="8"/>
  <c r="N310" i="8"/>
  <c r="K310" i="8"/>
  <c r="H1579" i="25"/>
  <c r="K258" i="24" s="1"/>
  <c r="L258" i="24" s="1"/>
  <c r="N258" i="24" s="1"/>
  <c r="J256" i="8"/>
  <c r="N256" i="8"/>
  <c r="K256" i="8"/>
  <c r="P256" i="8"/>
  <c r="L256" i="8"/>
  <c r="Q256" i="8"/>
  <c r="M256" i="8"/>
  <c r="I256" i="8"/>
  <c r="O256" i="8"/>
  <c r="H1515" i="25"/>
  <c r="K194" i="24" s="1"/>
  <c r="L194" i="24" s="1"/>
  <c r="N194" i="24" s="1"/>
  <c r="Y192" i="8"/>
  <c r="K192" i="8"/>
  <c r="O192" i="8"/>
  <c r="Q192" i="8"/>
  <c r="P192" i="8"/>
  <c r="M192" i="8"/>
  <c r="I192" i="8"/>
  <c r="F115" i="14" s="1"/>
  <c r="L192" i="8"/>
  <c r="J192" i="8"/>
  <c r="N192" i="8"/>
  <c r="H1461" i="25"/>
  <c r="K140" i="24" s="1"/>
  <c r="L140" i="24" s="1"/>
  <c r="N140" i="24" s="1"/>
  <c r="Y138" i="8"/>
  <c r="Q138" i="8"/>
  <c r="J138" i="8"/>
  <c r="L138" i="8"/>
  <c r="P138" i="8"/>
  <c r="N138" i="8"/>
  <c r="I138" i="8"/>
  <c r="O138" i="8"/>
  <c r="K138" i="8"/>
  <c r="M138" i="8"/>
  <c r="H1402" i="25"/>
  <c r="K81" i="24" s="1"/>
  <c r="L81" i="24" s="1"/>
  <c r="N81" i="24" s="1"/>
  <c r="J79" i="8"/>
  <c r="L79" i="8"/>
  <c r="O79" i="8"/>
  <c r="Q79" i="8"/>
  <c r="I79" i="8"/>
  <c r="M79" i="8"/>
  <c r="K79" i="8"/>
  <c r="N79" i="8"/>
  <c r="H1644" i="25"/>
  <c r="K323" i="24" s="1"/>
  <c r="L323" i="24" s="1"/>
  <c r="N323" i="24" s="1"/>
  <c r="Y321" i="8"/>
  <c r="I321" i="8"/>
  <c r="O321" i="8"/>
  <c r="Q321" i="8"/>
  <c r="K321" i="8"/>
  <c r="M321" i="8"/>
  <c r="N321" i="8"/>
  <c r="P321" i="8"/>
  <c r="J321" i="8"/>
  <c r="L321" i="8"/>
  <c r="J285" i="8"/>
  <c r="M285" i="8"/>
  <c r="P285" i="8"/>
  <c r="N285" i="8"/>
  <c r="K285" i="8"/>
  <c r="I285" i="8"/>
  <c r="Q285" i="8"/>
  <c r="O285" i="8"/>
  <c r="L285" i="8"/>
  <c r="H1608" i="25"/>
  <c r="K287" i="24" s="1"/>
  <c r="L287" i="24" s="1"/>
  <c r="N287" i="24" s="1"/>
  <c r="H249" i="8"/>
  <c r="O252" i="7"/>
  <c r="O216" i="7"/>
  <c r="H82" i="8"/>
  <c r="L179" i="8"/>
  <c r="K179" i="8"/>
  <c r="H1466" i="25"/>
  <c r="K145" i="24" s="1"/>
  <c r="L145" i="24" s="1"/>
  <c r="N145" i="24" s="1"/>
  <c r="Q143" i="8"/>
  <c r="J143" i="8"/>
  <c r="M143" i="8"/>
  <c r="O143" i="8"/>
  <c r="H1431" i="25"/>
  <c r="K110" i="24" s="1"/>
  <c r="L110" i="24" s="1"/>
  <c r="N110" i="24" s="1"/>
  <c r="Y108" i="8"/>
  <c r="P108" i="8"/>
  <c r="J108" i="8"/>
  <c r="N108" i="8"/>
  <c r="O108" i="8"/>
  <c r="I108" i="8"/>
  <c r="M108" i="8"/>
  <c r="Q108" i="8"/>
  <c r="K108" i="8"/>
  <c r="L108" i="8"/>
  <c r="Y72" i="8"/>
  <c r="H1395" i="25"/>
  <c r="K74" i="24" s="1"/>
  <c r="L74" i="24" s="1"/>
  <c r="N74" i="24" s="1"/>
  <c r="Q72" i="8"/>
  <c r="J72" i="8"/>
  <c r="L72" i="8"/>
  <c r="I72" i="8"/>
  <c r="K72" i="8"/>
  <c r="M72" i="8"/>
  <c r="O72" i="8"/>
  <c r="P72" i="8"/>
  <c r="N72" i="8"/>
  <c r="H1359" i="25"/>
  <c r="K38" i="24" s="1"/>
  <c r="L38" i="24" s="1"/>
  <c r="N38" i="24" s="1"/>
  <c r="M36" i="8"/>
  <c r="Q36" i="8"/>
  <c r="L36" i="8"/>
  <c r="N36" i="8"/>
  <c r="J36" i="8"/>
  <c r="Y36" i="8"/>
  <c r="P36" i="8"/>
  <c r="I195" i="8"/>
  <c r="L195" i="8"/>
  <c r="H1482" i="25"/>
  <c r="K161" i="24" s="1"/>
  <c r="L161" i="24" s="1"/>
  <c r="N161" i="24" s="1"/>
  <c r="Y124" i="8"/>
  <c r="I124" i="8"/>
  <c r="F81" i="14" s="1"/>
  <c r="J124" i="8"/>
  <c r="Q124" i="8"/>
  <c r="O124" i="8"/>
  <c r="H1447" i="25"/>
  <c r="K126" i="24" s="1"/>
  <c r="L126" i="24" s="1"/>
  <c r="N126" i="24" s="1"/>
  <c r="L124" i="8"/>
  <c r="M124" i="8"/>
  <c r="N124" i="8"/>
  <c r="K124" i="8"/>
  <c r="P124" i="8"/>
  <c r="H88" i="8"/>
  <c r="O88" i="7"/>
  <c r="H52" i="8"/>
  <c r="O52" i="7"/>
  <c r="H1339" i="25"/>
  <c r="K18" i="24" s="1"/>
  <c r="L18" i="24" s="1"/>
  <c r="N18" i="24" s="1"/>
  <c r="Y16" i="8"/>
  <c r="L16" i="8"/>
  <c r="O16" i="8"/>
  <c r="M16" i="8"/>
  <c r="J16" i="8"/>
  <c r="P16" i="8"/>
  <c r="N16" i="8"/>
  <c r="I16" i="8"/>
  <c r="Q16" i="8"/>
  <c r="K16" i="8"/>
  <c r="H1499" i="25"/>
  <c r="K178" i="24" s="1"/>
  <c r="L178" i="24" s="1"/>
  <c r="N178" i="24" s="1"/>
  <c r="Y176" i="8"/>
  <c r="Q176" i="8"/>
  <c r="O176" i="8"/>
  <c r="M176" i="8"/>
  <c r="L176" i="8"/>
  <c r="J176" i="8"/>
  <c r="P176" i="8"/>
  <c r="K176" i="8"/>
  <c r="N176" i="8"/>
  <c r="I176" i="8"/>
  <c r="H1463" i="25"/>
  <c r="K142" i="24" s="1"/>
  <c r="Q140" i="8"/>
  <c r="Y140" i="8"/>
  <c r="J140" i="8"/>
  <c r="N140" i="8"/>
  <c r="O140" i="8"/>
  <c r="K140" i="8"/>
  <c r="M140" i="8"/>
  <c r="P140" i="8"/>
  <c r="I140" i="8"/>
  <c r="L140" i="8"/>
  <c r="H1428" i="25"/>
  <c r="K107" i="24" s="1"/>
  <c r="L107" i="24" s="1"/>
  <c r="N107" i="24" s="1"/>
  <c r="J105" i="8"/>
  <c r="K105" i="8"/>
  <c r="L105" i="8"/>
  <c r="N105" i="8"/>
  <c r="M105" i="8"/>
  <c r="Y105" i="8"/>
  <c r="Q105" i="8"/>
  <c r="I105" i="8"/>
  <c r="O105" i="8"/>
  <c r="P105" i="8"/>
  <c r="Y69" i="8"/>
  <c r="H1392" i="25"/>
  <c r="K71" i="24" s="1"/>
  <c r="L71" i="24" s="1"/>
  <c r="N71" i="24" s="1"/>
  <c r="K69" i="8"/>
  <c r="M69" i="8"/>
  <c r="Q69" i="8"/>
  <c r="O69" i="8"/>
  <c r="P69" i="8"/>
  <c r="N69" i="8"/>
  <c r="I69" i="8"/>
  <c r="J69" i="8"/>
  <c r="L69" i="8"/>
  <c r="H1356" i="25"/>
  <c r="K35" i="24" s="1"/>
  <c r="L35" i="24" s="1"/>
  <c r="N35" i="24" s="1"/>
  <c r="Y33" i="8"/>
  <c r="M33" i="8"/>
  <c r="N33" i="8"/>
  <c r="J33" i="8"/>
  <c r="I33" i="8"/>
  <c r="P33" i="8"/>
  <c r="L33" i="8"/>
  <c r="Q33" i="8"/>
  <c r="K33" i="8"/>
  <c r="O33" i="8"/>
  <c r="H193" i="8"/>
  <c r="O194" i="7"/>
  <c r="H1480" i="25"/>
  <c r="K159" i="24" s="1"/>
  <c r="L159" i="24" s="1"/>
  <c r="N159" i="24" s="1"/>
  <c r="L157" i="8"/>
  <c r="K157" i="8"/>
  <c r="Y122" i="8"/>
  <c r="H1445" i="25"/>
  <c r="K124" i="24" s="1"/>
  <c r="Q122" i="8"/>
  <c r="P122" i="8"/>
  <c r="N122" i="8"/>
  <c r="M122" i="8"/>
  <c r="K122" i="8"/>
  <c r="I122" i="8"/>
  <c r="O122" i="8"/>
  <c r="J122" i="8"/>
  <c r="L122" i="8"/>
  <c r="H86" i="8"/>
  <c r="O86" i="7"/>
  <c r="N50" i="8"/>
  <c r="J50" i="8"/>
  <c r="Y50" i="8"/>
  <c r="H1337" i="25"/>
  <c r="K16" i="24" s="1"/>
  <c r="L16" i="24" s="1"/>
  <c r="N16" i="24" s="1"/>
  <c r="Y14" i="8"/>
  <c r="J14" i="8"/>
  <c r="M14" i="8"/>
  <c r="P14" i="8"/>
  <c r="I14" i="8"/>
  <c r="K14" i="8"/>
  <c r="Q14" i="8"/>
  <c r="O14" i="8"/>
  <c r="N14" i="8"/>
  <c r="L14" i="8"/>
  <c r="H268" i="8"/>
  <c r="O271" i="7"/>
  <c r="M180" i="8"/>
  <c r="P180" i="8"/>
  <c r="Y85" i="8"/>
  <c r="H1408" i="25"/>
  <c r="K87" i="24" s="1"/>
  <c r="L87" i="24" s="1"/>
  <c r="N87" i="24" s="1"/>
  <c r="P85" i="8"/>
  <c r="I85" i="8"/>
  <c r="K85" i="8"/>
  <c r="O85" i="8"/>
  <c r="M85" i="8"/>
  <c r="L85" i="8"/>
  <c r="J85" i="8"/>
  <c r="Q85" i="8"/>
  <c r="N85" i="8"/>
  <c r="H1342" i="25"/>
  <c r="K21" i="24" s="1"/>
  <c r="L21" i="24" s="1"/>
  <c r="N21" i="24" s="1"/>
  <c r="Y19" i="8"/>
  <c r="P19" i="8"/>
  <c r="N19" i="8"/>
  <c r="I19" i="8"/>
  <c r="K19" i="8"/>
  <c r="L19" i="8"/>
  <c r="M19" i="8"/>
  <c r="O19" i="8"/>
  <c r="J19" i="8"/>
  <c r="Q19" i="8"/>
  <c r="O130" i="7"/>
  <c r="O259" i="7"/>
  <c r="O222" i="7"/>
  <c r="O308" i="7"/>
  <c r="H305" i="8"/>
  <c r="H1556" i="25"/>
  <c r="K235" i="24" s="1"/>
  <c r="L235" i="24" s="1"/>
  <c r="N235" i="24" s="1"/>
  <c r="Y233" i="8"/>
  <c r="M233" i="8"/>
  <c r="P233" i="8"/>
  <c r="L233" i="8"/>
  <c r="N233" i="8"/>
  <c r="K233" i="8"/>
  <c r="I233" i="8"/>
  <c r="O233" i="8"/>
  <c r="J233" i="8"/>
  <c r="Q233" i="8"/>
  <c r="H1382" i="25"/>
  <c r="K61" i="24" s="1"/>
  <c r="L61" i="24" s="1"/>
  <c r="N61" i="24" s="1"/>
  <c r="J59" i="8"/>
  <c r="K59" i="8"/>
  <c r="N59" i="8"/>
  <c r="P59" i="8"/>
  <c r="Y59" i="8"/>
  <c r="L59" i="8"/>
  <c r="M59" i="8"/>
  <c r="Q59" i="8"/>
  <c r="O59" i="8"/>
  <c r="I59" i="8"/>
  <c r="I284" i="8"/>
  <c r="F174" i="14" s="1"/>
  <c r="P284" i="8"/>
  <c r="J284" i="8"/>
  <c r="H1607" i="25"/>
  <c r="K286" i="24" s="1"/>
  <c r="L286" i="24" s="1"/>
  <c r="N286" i="24" s="1"/>
  <c r="H1553" i="25"/>
  <c r="K232" i="24" s="1"/>
  <c r="L232" i="24" s="1"/>
  <c r="N232" i="24" s="1"/>
  <c r="N230" i="8"/>
  <c r="I230" i="8"/>
  <c r="P230" i="8"/>
  <c r="K230" i="8"/>
  <c r="O230" i="8"/>
  <c r="O125" i="7"/>
  <c r="H125" i="8"/>
  <c r="O314" i="7"/>
  <c r="H311" i="8"/>
  <c r="O260" i="7"/>
  <c r="H257" i="8"/>
  <c r="O206" i="7"/>
  <c r="H205" i="8"/>
  <c r="O11" i="7"/>
  <c r="H11" i="8"/>
  <c r="O285" i="7"/>
  <c r="H282" i="8"/>
  <c r="O231" i="7"/>
  <c r="H228" i="8"/>
  <c r="H1436" i="25"/>
  <c r="K115" i="24" s="1"/>
  <c r="L115" i="24" s="1"/>
  <c r="N115" i="24" s="1"/>
  <c r="Y113" i="8"/>
  <c r="J113" i="8"/>
  <c r="K113" i="8"/>
  <c r="O113" i="8"/>
  <c r="I113" i="8"/>
  <c r="P113" i="8"/>
  <c r="M113" i="8"/>
  <c r="N113" i="8"/>
  <c r="Q113" i="8"/>
  <c r="L113" i="8"/>
  <c r="O310" i="7"/>
  <c r="H307" i="8"/>
  <c r="O256" i="7"/>
  <c r="H253" i="8"/>
  <c r="O202" i="7"/>
  <c r="H201" i="8"/>
  <c r="H1637" i="25"/>
  <c r="K316" i="24" s="1"/>
  <c r="L316" i="24" s="1"/>
  <c r="N316" i="24" s="1"/>
  <c r="Y314" i="8"/>
  <c r="N314" i="8"/>
  <c r="P314" i="8"/>
  <c r="O314" i="8"/>
  <c r="M314" i="8"/>
  <c r="J314" i="8"/>
  <c r="Q314" i="8"/>
  <c r="L314" i="8"/>
  <c r="K314" i="8"/>
  <c r="I314" i="8"/>
  <c r="H1575" i="25"/>
  <c r="K254" i="24" s="1"/>
  <c r="L254" i="24" s="1"/>
  <c r="N254" i="24" s="1"/>
  <c r="O252" i="8"/>
  <c r="I252" i="8"/>
  <c r="H200" i="8"/>
  <c r="O201" i="7"/>
  <c r="H287" i="8"/>
  <c r="O290" i="7"/>
  <c r="H1621" i="25"/>
  <c r="K300" i="24" s="1"/>
  <c r="L300" i="24" s="1"/>
  <c r="N300" i="24" s="1"/>
  <c r="Y298" i="8"/>
  <c r="L298" i="8"/>
  <c r="J298" i="8"/>
  <c r="P298" i="8"/>
  <c r="I298" i="8"/>
  <c r="M298" i="8"/>
  <c r="N298" i="8"/>
  <c r="O298" i="8"/>
  <c r="Q298" i="8"/>
  <c r="K298" i="8"/>
  <c r="Q244" i="8"/>
  <c r="L244" i="8"/>
  <c r="M244" i="8"/>
  <c r="I244" i="8"/>
  <c r="H1567" i="25"/>
  <c r="K246" i="24" s="1"/>
  <c r="L246" i="24" s="1"/>
  <c r="N246" i="24" s="1"/>
  <c r="K244" i="8"/>
  <c r="N244" i="8"/>
  <c r="O244" i="8"/>
  <c r="P244" i="8"/>
  <c r="J244" i="8"/>
  <c r="H186" i="8"/>
  <c r="O187" i="7"/>
  <c r="H1450" i="25"/>
  <c r="K129" i="24" s="1"/>
  <c r="L129" i="24" s="1"/>
  <c r="N129" i="24" s="1"/>
  <c r="Y127" i="8"/>
  <c r="M127" i="8"/>
  <c r="K127" i="8"/>
  <c r="J127" i="8"/>
  <c r="O127" i="8"/>
  <c r="I127" i="8"/>
  <c r="L127" i="8"/>
  <c r="Q127" i="8"/>
  <c r="P127" i="8"/>
  <c r="N127" i="8"/>
  <c r="H1396" i="25"/>
  <c r="K75" i="24" s="1"/>
  <c r="L75" i="24" s="1"/>
  <c r="N75" i="24" s="1"/>
  <c r="Y73" i="8"/>
  <c r="M73" i="8"/>
  <c r="Q73" i="8"/>
  <c r="O73" i="8"/>
  <c r="L73" i="8"/>
  <c r="K73" i="8"/>
  <c r="P73" i="8"/>
  <c r="J73" i="8"/>
  <c r="N73" i="8"/>
  <c r="I73" i="8"/>
  <c r="F48" i="14" s="1"/>
  <c r="H315" i="8"/>
  <c r="O318" i="7"/>
  <c r="Y279" i="8"/>
  <c r="H1602" i="25"/>
  <c r="K281" i="24" s="1"/>
  <c r="L281" i="24" s="1"/>
  <c r="N281" i="24" s="1"/>
  <c r="P279" i="8"/>
  <c r="L279" i="8"/>
  <c r="O279" i="8"/>
  <c r="M279" i="8"/>
  <c r="J279" i="8"/>
  <c r="I279" i="8"/>
  <c r="K279" i="8"/>
  <c r="N279" i="8"/>
  <c r="Q279" i="8"/>
  <c r="O243" i="8"/>
  <c r="I243" i="8"/>
  <c r="M243" i="8"/>
  <c r="L243" i="8"/>
  <c r="P243" i="8"/>
  <c r="J243" i="8"/>
  <c r="K243" i="8"/>
  <c r="N243" i="8"/>
  <c r="Q243" i="8"/>
  <c r="H1532" i="25"/>
  <c r="K211" i="24" s="1"/>
  <c r="L211" i="24" s="1"/>
  <c r="N211" i="24" s="1"/>
  <c r="L209" i="8"/>
  <c r="M209" i="8"/>
  <c r="O209" i="8"/>
  <c r="P209" i="8"/>
  <c r="N209" i="8"/>
  <c r="H1496" i="25"/>
  <c r="K175" i="24" s="1"/>
  <c r="L175" i="24" s="1"/>
  <c r="N175" i="24" s="1"/>
  <c r="O173" i="8"/>
  <c r="H1460" i="25"/>
  <c r="K139" i="24" s="1"/>
  <c r="L139" i="24" s="1"/>
  <c r="N139" i="24" s="1"/>
  <c r="M137" i="8"/>
  <c r="Q137" i="8"/>
  <c r="P137" i="8"/>
  <c r="L137" i="8"/>
  <c r="K137" i="8"/>
  <c r="O137" i="8"/>
  <c r="J137" i="8"/>
  <c r="N137" i="8"/>
  <c r="I137" i="8"/>
  <c r="P102" i="8"/>
  <c r="R102" i="8" s="1"/>
  <c r="U102" i="8" s="1"/>
  <c r="H66" i="8"/>
  <c r="O66" i="7"/>
  <c r="H1353" i="25"/>
  <c r="K32" i="24" s="1"/>
  <c r="L32" i="24" s="1"/>
  <c r="N32" i="24" s="1"/>
  <c r="Q30" i="8"/>
  <c r="M30" i="8"/>
  <c r="N30" i="8"/>
  <c r="L30" i="8"/>
  <c r="Y30" i="8"/>
  <c r="P30" i="8"/>
  <c r="J30" i="8"/>
  <c r="O30" i="8"/>
  <c r="I30" i="8"/>
  <c r="K30" i="8"/>
  <c r="N189" i="8"/>
  <c r="H1476" i="25"/>
  <c r="K155" i="24" s="1"/>
  <c r="L155" i="24" s="1"/>
  <c r="N155" i="24" s="1"/>
  <c r="L153" i="8"/>
  <c r="P153" i="8"/>
  <c r="Q153" i="8"/>
  <c r="I153" i="8"/>
  <c r="N153" i="8"/>
  <c r="J153" i="8"/>
  <c r="M153" i="8"/>
  <c r="H1441" i="25"/>
  <c r="K120" i="24" s="1"/>
  <c r="L120" i="24" s="1"/>
  <c r="N120" i="24" s="1"/>
  <c r="Y118" i="8"/>
  <c r="O118" i="8"/>
  <c r="L118" i="8"/>
  <c r="M118" i="8"/>
  <c r="I118" i="8"/>
  <c r="J118" i="8"/>
  <c r="N118" i="8"/>
  <c r="K118" i="8"/>
  <c r="P118" i="8"/>
  <c r="Q118" i="8"/>
  <c r="O29" i="7"/>
  <c r="O65" i="7"/>
  <c r="O145" i="7"/>
  <c r="H1546" i="25"/>
  <c r="K225" i="24" s="1"/>
  <c r="P223" i="8"/>
  <c r="J223" i="8"/>
  <c r="N223" i="8"/>
  <c r="Q223" i="8"/>
  <c r="K223" i="8"/>
  <c r="I223" i="8"/>
  <c r="F136" i="14" s="1"/>
  <c r="L223" i="8"/>
  <c r="M223" i="8"/>
  <c r="O223" i="8"/>
  <c r="H1412" i="25"/>
  <c r="K91" i="24" s="1"/>
  <c r="L91" i="24" s="1"/>
  <c r="N91" i="24" s="1"/>
  <c r="N89" i="8"/>
  <c r="Y89" i="8"/>
  <c r="J89" i="8"/>
  <c r="O89" i="8"/>
  <c r="M89" i="8"/>
  <c r="P89" i="8"/>
  <c r="L89" i="8"/>
  <c r="K89" i="8"/>
  <c r="Q89" i="8"/>
  <c r="I89" i="8"/>
  <c r="H1570" i="25"/>
  <c r="K249" i="24" s="1"/>
  <c r="L249" i="24" s="1"/>
  <c r="N249" i="24" s="1"/>
  <c r="Y247" i="8"/>
  <c r="P247" i="8"/>
  <c r="L247" i="8"/>
  <c r="O247" i="8"/>
  <c r="I247" i="8"/>
  <c r="J247" i="8"/>
  <c r="Q247" i="8"/>
  <c r="K247" i="8"/>
  <c r="N247" i="8"/>
  <c r="M247" i="8"/>
  <c r="H1595" i="25"/>
  <c r="K274" i="24" s="1"/>
  <c r="L274" i="24" s="1"/>
  <c r="N274" i="24" s="1"/>
  <c r="P272" i="8"/>
  <c r="J272" i="8"/>
  <c r="M272" i="8"/>
  <c r="L272" i="8"/>
  <c r="O272" i="8"/>
  <c r="I272" i="8"/>
  <c r="Q272" i="8"/>
  <c r="N272" i="8"/>
  <c r="K272" i="8"/>
  <c r="H218" i="8"/>
  <c r="O221" i="7"/>
  <c r="O77" i="7"/>
  <c r="H77" i="8"/>
  <c r="O302" i="7"/>
  <c r="H299" i="8"/>
  <c r="H1501" i="25"/>
  <c r="K180" i="24" s="1"/>
  <c r="L180" i="24" s="1"/>
  <c r="N180" i="24" s="1"/>
  <c r="Y178" i="8"/>
  <c r="P178" i="8"/>
  <c r="I178" i="8"/>
  <c r="O178" i="8"/>
  <c r="N178" i="8"/>
  <c r="K178" i="8"/>
  <c r="L178" i="8"/>
  <c r="J178" i="8"/>
  <c r="M178" i="8"/>
  <c r="Q178" i="8"/>
  <c r="H1495" i="25"/>
  <c r="K174" i="24" s="1"/>
  <c r="L174" i="24" s="1"/>
  <c r="N174" i="24" s="1"/>
  <c r="Y172" i="8"/>
  <c r="P172" i="8"/>
  <c r="J172" i="8"/>
  <c r="L172" i="8"/>
  <c r="Q172" i="8"/>
  <c r="I172" i="8"/>
  <c r="K172" i="8"/>
  <c r="O172" i="8"/>
  <c r="N172" i="8"/>
  <c r="M172" i="8"/>
  <c r="H166" i="8"/>
  <c r="O167" i="7"/>
  <c r="N232" i="8"/>
  <c r="L232" i="8"/>
  <c r="H1444" i="25"/>
  <c r="K123" i="24" s="1"/>
  <c r="Y121" i="8"/>
  <c r="N121" i="8"/>
  <c r="L121" i="8"/>
  <c r="K121" i="8"/>
  <c r="J121" i="8"/>
  <c r="Q121" i="8"/>
  <c r="I121" i="8"/>
  <c r="P121" i="8"/>
  <c r="M121" i="8"/>
  <c r="O121" i="8"/>
  <c r="H1632" i="25"/>
  <c r="K311" i="24" s="1"/>
  <c r="L311" i="24" s="1"/>
  <c r="N311" i="24" s="1"/>
  <c r="J309" i="8"/>
  <c r="Q309" i="8"/>
  <c r="K309" i="8"/>
  <c r="I309" i="8"/>
  <c r="L309" i="8"/>
  <c r="P309" i="8"/>
  <c r="H273" i="8"/>
  <c r="O276" i="7"/>
  <c r="H1560" i="25"/>
  <c r="K239" i="24" s="1"/>
  <c r="L239" i="24" s="1"/>
  <c r="N239" i="24" s="1"/>
  <c r="Y237" i="8"/>
  <c r="M237" i="8"/>
  <c r="L237" i="8"/>
  <c r="I237" i="8"/>
  <c r="K237" i="8"/>
  <c r="Q237" i="8"/>
  <c r="O237" i="8"/>
  <c r="J237" i="8"/>
  <c r="P237" i="8"/>
  <c r="N237" i="8"/>
  <c r="H1490" i="25"/>
  <c r="K169" i="24" s="1"/>
  <c r="L169" i="24" s="1"/>
  <c r="N169" i="24" s="1"/>
  <c r="J167" i="8"/>
  <c r="Q167" i="8"/>
  <c r="H291" i="8"/>
  <c r="H1419" i="25"/>
  <c r="K98" i="24" s="1"/>
  <c r="L98" i="24" s="1"/>
  <c r="N98" i="24" s="1"/>
  <c r="Y96" i="8"/>
  <c r="J96" i="8"/>
  <c r="Q96" i="8"/>
  <c r="N96" i="8"/>
  <c r="L96" i="8"/>
  <c r="K96" i="8"/>
  <c r="M96" i="8"/>
  <c r="O96" i="8"/>
  <c r="I96" i="8"/>
  <c r="P96" i="8"/>
  <c r="Y60" i="8"/>
  <c r="H1383" i="25"/>
  <c r="K62" i="24" s="1"/>
  <c r="L62" i="24" s="1"/>
  <c r="N62" i="24" s="1"/>
  <c r="K60" i="8"/>
  <c r="I60" i="8"/>
  <c r="Q60" i="8"/>
  <c r="O60" i="8"/>
  <c r="L60" i="8"/>
  <c r="M60" i="8"/>
  <c r="N60" i="8"/>
  <c r="P60" i="8"/>
  <c r="J60" i="8"/>
  <c r="I24" i="8"/>
  <c r="P24" i="8"/>
  <c r="H1506" i="25"/>
  <c r="K185" i="24" s="1"/>
  <c r="L185" i="24" s="1"/>
  <c r="N185" i="24" s="1"/>
  <c r="Q183" i="8"/>
  <c r="O183" i="8"/>
  <c r="I147" i="8"/>
  <c r="H112" i="8"/>
  <c r="O112" i="7"/>
  <c r="H1381" i="25"/>
  <c r="K60" i="24" s="1"/>
  <c r="Y58" i="8"/>
  <c r="O58" i="8"/>
  <c r="J58" i="8"/>
  <c r="I58" i="8"/>
  <c r="K58" i="8"/>
  <c r="L58" i="8"/>
  <c r="P58" i="8"/>
  <c r="M58" i="8"/>
  <c r="Q58" i="8"/>
  <c r="N58" i="8"/>
  <c r="H1345" i="25"/>
  <c r="K24" i="24" s="1"/>
  <c r="L24" i="24" s="1"/>
  <c r="N24" i="24" s="1"/>
  <c r="Y22" i="8"/>
  <c r="J22" i="8"/>
  <c r="L22" i="8"/>
  <c r="Q22" i="8"/>
  <c r="M22" i="8"/>
  <c r="I22" i="8"/>
  <c r="O22" i="8"/>
  <c r="P22" i="8"/>
  <c r="N22" i="8"/>
  <c r="K22" i="8"/>
  <c r="I182" i="8"/>
  <c r="P182" i="8"/>
  <c r="Y146" i="8"/>
  <c r="H1469" i="25"/>
  <c r="K148" i="24" s="1"/>
  <c r="L148" i="24" s="1"/>
  <c r="N148" i="24" s="1"/>
  <c r="N146" i="8"/>
  <c r="J146" i="8"/>
  <c r="O146" i="8"/>
  <c r="I146" i="8"/>
  <c r="L146" i="8"/>
  <c r="P146" i="8"/>
  <c r="K146" i="8"/>
  <c r="Q146" i="8"/>
  <c r="M146" i="8"/>
  <c r="H1434" i="25"/>
  <c r="K113" i="24" s="1"/>
  <c r="L113" i="24" s="1"/>
  <c r="N113" i="24" s="1"/>
  <c r="H1398" i="25"/>
  <c r="K77" i="24" s="1"/>
  <c r="Q75" i="8"/>
  <c r="J75" i="8"/>
  <c r="M75" i="8"/>
  <c r="H1362" i="25"/>
  <c r="K41" i="24" s="1"/>
  <c r="L41" i="24" s="1"/>
  <c r="N41" i="24" s="1"/>
  <c r="Y39" i="8"/>
  <c r="P39" i="8"/>
  <c r="O39" i="8"/>
  <c r="M39" i="8"/>
  <c r="K39" i="8"/>
  <c r="I39" i="8"/>
  <c r="L39" i="8"/>
  <c r="N39" i="8"/>
  <c r="Q39" i="8"/>
  <c r="J39" i="8"/>
  <c r="H1326" i="25"/>
  <c r="K5" i="24" s="1"/>
  <c r="L5" i="24" s="1"/>
  <c r="N5" i="24" s="1"/>
  <c r="Y3" i="8"/>
  <c r="J3" i="8"/>
  <c r="N3" i="8"/>
  <c r="P3" i="8"/>
  <c r="M3" i="8"/>
  <c r="I3" i="8"/>
  <c r="Q3" i="8"/>
  <c r="O3" i="8"/>
  <c r="K3" i="8"/>
  <c r="L3" i="8"/>
  <c r="Y128" i="8"/>
  <c r="H1451" i="25"/>
  <c r="K130" i="24" s="1"/>
  <c r="L130" i="24" s="1"/>
  <c r="N130" i="24" s="1"/>
  <c r="J128" i="8"/>
  <c r="Q128" i="8"/>
  <c r="N128" i="8"/>
  <c r="L128" i="8"/>
  <c r="K128" i="8"/>
  <c r="M128" i="8"/>
  <c r="O128" i="8"/>
  <c r="I128" i="8"/>
  <c r="P128" i="8"/>
  <c r="H1415" i="25"/>
  <c r="K94" i="24" s="1"/>
  <c r="L94" i="24" s="1"/>
  <c r="N94" i="24" s="1"/>
  <c r="Y92" i="8"/>
  <c r="K92" i="8"/>
  <c r="I92" i="8"/>
  <c r="Q92" i="8"/>
  <c r="O92" i="8"/>
  <c r="M92" i="8"/>
  <c r="L92" i="8"/>
  <c r="P92" i="8"/>
  <c r="J92" i="8"/>
  <c r="N92" i="8"/>
  <c r="Y56" i="8"/>
  <c r="H1379" i="25"/>
  <c r="K58" i="24" s="1"/>
  <c r="L58" i="24" s="1"/>
  <c r="N58" i="24" s="1"/>
  <c r="J56" i="8"/>
  <c r="O56" i="8"/>
  <c r="P56" i="8"/>
  <c r="K56" i="8"/>
  <c r="M56" i="8"/>
  <c r="I56" i="8"/>
  <c r="L56" i="8"/>
  <c r="Q56" i="8"/>
  <c r="N56" i="8"/>
  <c r="H1343" i="25"/>
  <c r="K22" i="24" s="1"/>
  <c r="L22" i="24" s="1"/>
  <c r="N22" i="24" s="1"/>
  <c r="Y20" i="8"/>
  <c r="N20" i="8"/>
  <c r="Q20" i="8"/>
  <c r="O20" i="8"/>
  <c r="M20" i="8"/>
  <c r="I20" i="8"/>
  <c r="J20" i="8"/>
  <c r="P20" i="8"/>
  <c r="K20" i="8"/>
  <c r="L20" i="8"/>
  <c r="H1609" i="25"/>
  <c r="K288" i="24" s="1"/>
  <c r="H1521" i="25"/>
  <c r="K200" i="24" s="1"/>
  <c r="L200" i="24" s="1"/>
  <c r="N200" i="24" s="1"/>
  <c r="Y198" i="8"/>
  <c r="M198" i="8"/>
  <c r="I198" i="8"/>
  <c r="K198" i="8"/>
  <c r="O198" i="8"/>
  <c r="Q198" i="8"/>
  <c r="N198" i="8"/>
  <c r="L198" i="8"/>
  <c r="J198" i="8"/>
  <c r="P198" i="8"/>
  <c r="H1426" i="25"/>
  <c r="K105" i="24" s="1"/>
  <c r="L105" i="24" s="1"/>
  <c r="N105" i="24" s="1"/>
  <c r="H1348" i="25"/>
  <c r="K27" i="24" s="1"/>
  <c r="L27" i="24" s="1"/>
  <c r="N27" i="24" s="1"/>
  <c r="Y25" i="8"/>
  <c r="K25" i="8"/>
  <c r="Q25" i="8"/>
  <c r="P25" i="8"/>
  <c r="L25" i="8"/>
  <c r="I25" i="8"/>
  <c r="O25" i="8"/>
  <c r="N25" i="8"/>
  <c r="M25" i="8"/>
  <c r="J25" i="8"/>
  <c r="Q46" i="8"/>
  <c r="L46" i="8"/>
  <c r="I46" i="8"/>
  <c r="F34" i="14" s="1"/>
  <c r="M46" i="8"/>
  <c r="O46" i="8"/>
  <c r="H1333" i="25"/>
  <c r="K12" i="24" s="1"/>
  <c r="L12" i="24" s="1"/>
  <c r="N12" i="24" s="1"/>
  <c r="Y10" i="8"/>
  <c r="J10" i="8"/>
  <c r="N10" i="8"/>
  <c r="L10" i="8"/>
  <c r="M10" i="8"/>
  <c r="Q10" i="8"/>
  <c r="O10" i="8"/>
  <c r="P10" i="8"/>
  <c r="I10" i="8"/>
  <c r="K10" i="8"/>
  <c r="H1493" i="25"/>
  <c r="K172" i="24" s="1"/>
  <c r="Y134" i="8"/>
  <c r="H1457" i="25"/>
  <c r="K136" i="24" s="1"/>
  <c r="L136" i="24" s="1"/>
  <c r="N136" i="24" s="1"/>
  <c r="J134" i="8"/>
  <c r="K134" i="8"/>
  <c r="O134" i="8"/>
  <c r="I134" i="8"/>
  <c r="L134" i="8"/>
  <c r="Q134" i="8"/>
  <c r="P134" i="8"/>
  <c r="M134" i="8"/>
  <c r="N134" i="8"/>
  <c r="Q99" i="8"/>
  <c r="Y99" i="8"/>
  <c r="L99" i="8"/>
  <c r="H1422" i="25"/>
  <c r="K101" i="24" s="1"/>
  <c r="L101" i="24" s="1"/>
  <c r="N101" i="24" s="1"/>
  <c r="O99" i="8"/>
  <c r="P99" i="8"/>
  <c r="J99" i="8"/>
  <c r="M99" i="8"/>
  <c r="N99" i="8"/>
  <c r="I99" i="8"/>
  <c r="K99" i="8"/>
  <c r="H1386" i="25"/>
  <c r="K65" i="24" s="1"/>
  <c r="L65" i="24" s="1"/>
  <c r="N65" i="24" s="1"/>
  <c r="Y63" i="8"/>
  <c r="Q63" i="8"/>
  <c r="P63" i="8"/>
  <c r="O63" i="8"/>
  <c r="L63" i="8"/>
  <c r="J63" i="8"/>
  <c r="I63" i="8"/>
  <c r="M63" i="8"/>
  <c r="N63" i="8"/>
  <c r="K63" i="8"/>
  <c r="H1350" i="25"/>
  <c r="K29" i="24" s="1"/>
  <c r="L29" i="24" s="1"/>
  <c r="N29" i="24" s="1"/>
  <c r="L27" i="8"/>
  <c r="I27" i="8"/>
  <c r="N27" i="8"/>
  <c r="K27" i="8"/>
  <c r="Y27" i="8"/>
  <c r="M27" i="8"/>
  <c r="O27" i="8"/>
  <c r="Q27" i="8"/>
  <c r="J27" i="8"/>
  <c r="P27" i="8"/>
  <c r="P151" i="8"/>
  <c r="H1439" i="25"/>
  <c r="K118" i="24" s="1"/>
  <c r="L118" i="24" s="1"/>
  <c r="N118" i="24" s="1"/>
  <c r="Y116" i="8"/>
  <c r="K116" i="8"/>
  <c r="O116" i="8"/>
  <c r="Q116" i="8"/>
  <c r="M116" i="8"/>
  <c r="L116" i="8"/>
  <c r="I116" i="8"/>
  <c r="N116" i="8"/>
  <c r="J116" i="8"/>
  <c r="P116" i="8"/>
  <c r="Y80" i="8"/>
  <c r="H1403" i="25"/>
  <c r="K82" i="24" s="1"/>
  <c r="L82" i="24" s="1"/>
  <c r="N82" i="24" s="1"/>
  <c r="J80" i="8"/>
  <c r="P80" i="8"/>
  <c r="N80" i="8"/>
  <c r="I80" i="8"/>
  <c r="K80" i="8"/>
  <c r="Q80" i="8"/>
  <c r="O80" i="8"/>
  <c r="M80" i="8"/>
  <c r="L80" i="8"/>
  <c r="H1367" i="25"/>
  <c r="K46" i="24" s="1"/>
  <c r="L46" i="24" s="1"/>
  <c r="N46" i="24" s="1"/>
  <c r="J44" i="8"/>
  <c r="Q44" i="8"/>
  <c r="Y8" i="8"/>
  <c r="H1331" i="25"/>
  <c r="K10" i="24" s="1"/>
  <c r="L10" i="24" s="1"/>
  <c r="N10" i="24" s="1"/>
  <c r="Q8" i="8"/>
  <c r="K8" i="8"/>
  <c r="L8" i="8"/>
  <c r="I8" i="8"/>
  <c r="J8" i="8"/>
  <c r="M8" i="8"/>
  <c r="O8" i="8"/>
  <c r="N8" i="8"/>
  <c r="P8" i="8"/>
  <c r="H1485" i="25"/>
  <c r="K164" i="24" s="1"/>
  <c r="L164" i="24" s="1"/>
  <c r="N164" i="24" s="1"/>
  <c r="Y162" i="8"/>
  <c r="L162" i="8"/>
  <c r="K162" i="8"/>
  <c r="N162" i="8"/>
  <c r="J162" i="8"/>
  <c r="M162" i="8"/>
  <c r="I162" i="8"/>
  <c r="O162" i="8"/>
  <c r="P162" i="8"/>
  <c r="Q162" i="8"/>
  <c r="H1390" i="25"/>
  <c r="K69" i="24" s="1"/>
  <c r="L69" i="24" s="1"/>
  <c r="N69" i="24" s="1"/>
  <c r="Y67" i="8"/>
  <c r="L67" i="8"/>
  <c r="O67" i="8"/>
  <c r="I67" i="8"/>
  <c r="N67" i="8"/>
  <c r="P67" i="8"/>
  <c r="J67" i="8"/>
  <c r="Q67" i="8"/>
  <c r="K67" i="8"/>
  <c r="M67" i="8"/>
  <c r="H1336" i="25"/>
  <c r="K15" i="24" s="1"/>
  <c r="L15" i="24" s="1"/>
  <c r="N15" i="24" s="1"/>
  <c r="H1399" i="25"/>
  <c r="K78" i="24" s="1"/>
  <c r="L78" i="24" s="1"/>
  <c r="N78" i="24" s="1"/>
  <c r="I76" i="8"/>
  <c r="L76" i="8"/>
  <c r="H1363" i="25"/>
  <c r="K42" i="24" s="1"/>
  <c r="L42" i="24" s="1"/>
  <c r="N42" i="24" s="1"/>
  <c r="Y40" i="8"/>
  <c r="M40" i="8"/>
  <c r="O40" i="8"/>
  <c r="Q40" i="8"/>
  <c r="K40" i="8"/>
  <c r="L40" i="8"/>
  <c r="J40" i="8"/>
  <c r="P40" i="8"/>
  <c r="N40" i="8"/>
  <c r="I40" i="8"/>
  <c r="Y4" i="8"/>
  <c r="H1327" i="25"/>
  <c r="K6" i="24" s="1"/>
  <c r="L6" i="24" s="1"/>
  <c r="N6" i="24" s="1"/>
  <c r="I4" i="8"/>
  <c r="Q4" i="8"/>
  <c r="P4" i="8"/>
  <c r="L4" i="8"/>
  <c r="N4" i="8"/>
  <c r="O4" i="8"/>
  <c r="J4" i="8"/>
  <c r="K4" i="8"/>
  <c r="M4" i="8"/>
  <c r="H1487" i="25"/>
  <c r="K166" i="24" s="1"/>
  <c r="L166" i="24" s="1"/>
  <c r="N166" i="24" s="1"/>
  <c r="Y164" i="8"/>
  <c r="L164" i="8"/>
  <c r="O164" i="8"/>
  <c r="J164" i="8"/>
  <c r="M164" i="8"/>
  <c r="N164" i="8"/>
  <c r="I164" i="8"/>
  <c r="Q164" i="8"/>
  <c r="P164" i="8"/>
  <c r="K164" i="8"/>
  <c r="H1452" i="25"/>
  <c r="K131" i="24" s="1"/>
  <c r="L131" i="24" s="1"/>
  <c r="N131" i="24" s="1"/>
  <c r="H1416" i="25"/>
  <c r="K95" i="24" s="1"/>
  <c r="L95" i="24" s="1"/>
  <c r="N95" i="24" s="1"/>
  <c r="Y93" i="8"/>
  <c r="Q93" i="8"/>
  <c r="K93" i="8"/>
  <c r="I93" i="8"/>
  <c r="P93" i="8"/>
  <c r="M93" i="8"/>
  <c r="L93" i="8"/>
  <c r="J93" i="8"/>
  <c r="N93" i="8"/>
  <c r="O93" i="8"/>
  <c r="H1380" i="25"/>
  <c r="K59" i="24" s="1"/>
  <c r="L59" i="24" s="1"/>
  <c r="N59" i="24" s="1"/>
  <c r="Y57" i="8"/>
  <c r="O57" i="8"/>
  <c r="M57" i="8"/>
  <c r="I57" i="8"/>
  <c r="N57" i="8"/>
  <c r="L57" i="8"/>
  <c r="J57" i="8"/>
  <c r="Q57" i="8"/>
  <c r="P57" i="8"/>
  <c r="K57" i="8"/>
  <c r="H1344" i="25"/>
  <c r="K23" i="24" s="1"/>
  <c r="L23" i="24" s="1"/>
  <c r="N23" i="24" s="1"/>
  <c r="Y21" i="8"/>
  <c r="K21" i="8"/>
  <c r="Q21" i="8"/>
  <c r="P21" i="8"/>
  <c r="M21" i="8"/>
  <c r="I21" i="8"/>
  <c r="O21" i="8"/>
  <c r="J21" i="8"/>
  <c r="N21" i="8"/>
  <c r="L21" i="8"/>
  <c r="M181" i="8"/>
  <c r="H1433" i="25"/>
  <c r="K112" i="24" s="1"/>
  <c r="L112" i="24" s="1"/>
  <c r="N112" i="24" s="1"/>
  <c r="N110" i="8"/>
  <c r="I110" i="8"/>
  <c r="F72" i="14" s="1"/>
  <c r="J110" i="8"/>
  <c r="L110" i="8"/>
  <c r="P110" i="8"/>
  <c r="Q110" i="8"/>
  <c r="K110" i="8"/>
  <c r="M110" i="8"/>
  <c r="H1397" i="25"/>
  <c r="K76" i="24" s="1"/>
  <c r="L76" i="24" s="1"/>
  <c r="N76" i="24" s="1"/>
  <c r="Y74" i="8"/>
  <c r="K74" i="8"/>
  <c r="L74" i="8"/>
  <c r="M74" i="8"/>
  <c r="J74" i="8"/>
  <c r="I74" i="8"/>
  <c r="Q74" i="8"/>
  <c r="O74" i="8"/>
  <c r="P74" i="8"/>
  <c r="N74" i="8"/>
  <c r="H1361" i="25"/>
  <c r="K40" i="24" s="1"/>
  <c r="L40" i="24" s="1"/>
  <c r="N40" i="24" s="1"/>
  <c r="L38" i="8"/>
  <c r="Y38" i="8"/>
  <c r="N38" i="8"/>
  <c r="M38" i="8"/>
  <c r="J38" i="8"/>
  <c r="O38" i="8"/>
  <c r="Q38" i="8"/>
  <c r="P38" i="8"/>
  <c r="K38" i="8"/>
  <c r="I38" i="8"/>
  <c r="H1325" i="25"/>
  <c r="K4" i="24" s="1"/>
  <c r="H1561" i="25"/>
  <c r="K240" i="24" s="1"/>
  <c r="L240" i="24" s="1"/>
  <c r="N240" i="24" s="1"/>
  <c r="Q238" i="8"/>
  <c r="K238" i="8"/>
  <c r="P238" i="8"/>
  <c r="M238" i="8"/>
  <c r="L238" i="8"/>
  <c r="H1473" i="25"/>
  <c r="K152" i="24" s="1"/>
  <c r="L152" i="24" s="1"/>
  <c r="N152" i="24" s="1"/>
  <c r="Y150" i="8"/>
  <c r="I150" i="8"/>
  <c r="L150" i="8"/>
  <c r="M150" i="8"/>
  <c r="K150" i="8"/>
  <c r="P150" i="8"/>
  <c r="J150" i="8"/>
  <c r="O150" i="8"/>
  <c r="N150" i="8"/>
  <c r="Q150" i="8"/>
  <c r="Y55" i="8"/>
  <c r="H1378" i="25"/>
  <c r="K57" i="24" s="1"/>
  <c r="L57" i="24" s="1"/>
  <c r="N57" i="24" s="1"/>
  <c r="M55" i="8"/>
  <c r="N55" i="8"/>
  <c r="O55" i="8"/>
  <c r="P55" i="8"/>
  <c r="I55" i="8"/>
  <c r="J55" i="8"/>
  <c r="L55" i="8"/>
  <c r="K55" i="8"/>
  <c r="Q55" i="8"/>
  <c r="H1330" i="25"/>
  <c r="K9" i="24" s="1"/>
  <c r="Y7" i="8"/>
  <c r="Q7" i="8"/>
  <c r="P7" i="8"/>
  <c r="O7" i="8"/>
  <c r="I7" i="8"/>
  <c r="J7" i="8"/>
  <c r="M7" i="8"/>
  <c r="N7" i="8"/>
  <c r="K7" i="8"/>
  <c r="L7" i="8"/>
  <c r="H1537" i="25"/>
  <c r="K216" i="24" s="1"/>
  <c r="L216" i="24" s="1"/>
  <c r="N216" i="24" s="1"/>
  <c r="Y214" i="8"/>
  <c r="N214" i="8"/>
  <c r="K214" i="8"/>
  <c r="P214" i="8"/>
  <c r="I214" i="8"/>
  <c r="L214" i="8"/>
  <c r="Q214" i="8"/>
  <c r="O214" i="8"/>
  <c r="M214" i="8"/>
  <c r="J214" i="8"/>
  <c r="H1376" i="25"/>
  <c r="K55" i="24" s="1"/>
  <c r="L55" i="24" s="1"/>
  <c r="N55" i="24" s="1"/>
  <c r="Y53" i="8"/>
  <c r="K53" i="8"/>
  <c r="J53" i="8"/>
  <c r="Q53" i="8"/>
  <c r="M53" i="8"/>
  <c r="I53" i="8"/>
  <c r="O53" i="8"/>
  <c r="P53" i="8"/>
  <c r="N53" i="8"/>
  <c r="L53" i="8"/>
  <c r="I293" i="8"/>
  <c r="H1562" i="25"/>
  <c r="K241" i="24" s="1"/>
  <c r="L241" i="24" s="1"/>
  <c r="N241" i="24" s="1"/>
  <c r="Y239" i="8"/>
  <c r="Q239" i="8"/>
  <c r="K239" i="8"/>
  <c r="M239" i="8"/>
  <c r="J239" i="8"/>
  <c r="I239" i="8"/>
  <c r="O239" i="8"/>
  <c r="P239" i="8"/>
  <c r="N239" i="8"/>
  <c r="L239" i="8"/>
  <c r="Y154" i="8"/>
  <c r="H1477" i="25"/>
  <c r="K156" i="24" s="1"/>
  <c r="L156" i="24" s="1"/>
  <c r="N156" i="24" s="1"/>
  <c r="P154" i="8"/>
  <c r="Q154" i="8"/>
  <c r="O154" i="8"/>
  <c r="M154" i="8"/>
  <c r="N154" i="8"/>
  <c r="J154" i="8"/>
  <c r="I154" i="8"/>
  <c r="L154" i="8"/>
  <c r="K154" i="8"/>
  <c r="H1641" i="25"/>
  <c r="K320" i="24" s="1"/>
  <c r="L320" i="24" s="1"/>
  <c r="N320" i="24" s="1"/>
  <c r="Y318" i="8"/>
  <c r="P318" i="8"/>
  <c r="O318" i="8"/>
  <c r="L318" i="8"/>
  <c r="N318" i="8"/>
  <c r="Q318" i="8"/>
  <c r="I318" i="8"/>
  <c r="K318" i="8"/>
  <c r="M318" i="8"/>
  <c r="J318" i="8"/>
  <c r="Y212" i="8"/>
  <c r="H1535" i="25"/>
  <c r="K214" i="24" s="1"/>
  <c r="L214" i="24" s="1"/>
  <c r="N214" i="24" s="1"/>
  <c r="L212" i="8"/>
  <c r="N212" i="8"/>
  <c r="J212" i="8"/>
  <c r="I212" i="8"/>
  <c r="P212" i="8"/>
  <c r="M212" i="8"/>
  <c r="Q212" i="8"/>
  <c r="K212" i="8"/>
  <c r="O212" i="8"/>
  <c r="H1364" i="25"/>
  <c r="K43" i="24" s="1"/>
  <c r="L43" i="24" s="1"/>
  <c r="N43" i="24" s="1"/>
  <c r="Y41" i="8"/>
  <c r="K41" i="8"/>
  <c r="J41" i="8"/>
  <c r="L41" i="8"/>
  <c r="I41" i="8"/>
  <c r="P41" i="8"/>
  <c r="M41" i="8"/>
  <c r="N41" i="8"/>
  <c r="Q41" i="8"/>
  <c r="O41" i="8"/>
  <c r="H1612" i="25"/>
  <c r="K291" i="24" s="1"/>
  <c r="L291" i="24" s="1"/>
  <c r="N291" i="24" s="1"/>
  <c r="Y289" i="8"/>
  <c r="O289" i="8"/>
  <c r="I289" i="8"/>
  <c r="N289" i="8"/>
  <c r="Q289" i="8"/>
  <c r="K289" i="8"/>
  <c r="J289" i="8"/>
  <c r="P289" i="8"/>
  <c r="M289" i="8"/>
  <c r="L289" i="8"/>
  <c r="H1558" i="25"/>
  <c r="K237" i="24" s="1"/>
  <c r="Y235" i="8"/>
  <c r="I235" i="8"/>
  <c r="P235" i="8"/>
  <c r="J235" i="8"/>
  <c r="Q235" i="8"/>
  <c r="N235" i="8"/>
  <c r="K235" i="8"/>
  <c r="O235" i="8"/>
  <c r="M235" i="8"/>
  <c r="L235" i="8"/>
  <c r="H1465" i="25"/>
  <c r="K144" i="24" s="1"/>
  <c r="L144" i="24" s="1"/>
  <c r="N144" i="24" s="1"/>
  <c r="O142" i="8"/>
  <c r="K142" i="8"/>
  <c r="O291" i="7"/>
  <c r="H288" i="8"/>
  <c r="O237" i="7"/>
  <c r="H234" i="8"/>
  <c r="O137" i="7"/>
  <c r="H136" i="8"/>
  <c r="H1618" i="25"/>
  <c r="K297" i="24" s="1"/>
  <c r="L297" i="24" s="1"/>
  <c r="N297" i="24" s="1"/>
  <c r="O295" i="8"/>
  <c r="I295" i="8"/>
  <c r="M295" i="8"/>
  <c r="O283" i="7"/>
  <c r="H280" i="8"/>
  <c r="O223" i="7"/>
  <c r="H220" i="8"/>
  <c r="O169" i="7"/>
  <c r="H168" i="8"/>
  <c r="O109" i="7"/>
  <c r="H109" i="8"/>
  <c r="O49" i="7"/>
  <c r="H49" i="8"/>
  <c r="O270" i="7"/>
  <c r="H267" i="8"/>
  <c r="O234" i="7"/>
  <c r="H231" i="8"/>
  <c r="O198" i="7"/>
  <c r="H197" i="8"/>
  <c r="O162" i="7"/>
  <c r="H161" i="8"/>
  <c r="O126" i="7"/>
  <c r="H126" i="8"/>
  <c r="O90" i="7"/>
  <c r="H90" i="8"/>
  <c r="O54" i="7"/>
  <c r="H54" i="8"/>
  <c r="Y18" i="8"/>
  <c r="H1341" i="25"/>
  <c r="K20" i="24" s="1"/>
  <c r="L20" i="24" s="1"/>
  <c r="N20" i="24" s="1"/>
  <c r="L18" i="8"/>
  <c r="O18" i="8"/>
  <c r="P18" i="8"/>
  <c r="M18" i="8"/>
  <c r="N18" i="8"/>
  <c r="K18" i="8"/>
  <c r="Q18" i="8"/>
  <c r="I18" i="8"/>
  <c r="J18" i="8"/>
  <c r="O178" i="7"/>
  <c r="H177" i="8"/>
  <c r="O142" i="7"/>
  <c r="H141" i="8"/>
  <c r="O106" i="7"/>
  <c r="H106" i="8"/>
  <c r="O70" i="7"/>
  <c r="H70" i="8"/>
  <c r="O34" i="7"/>
  <c r="H34" i="8"/>
  <c r="O195" i="7"/>
  <c r="H194" i="8"/>
  <c r="O159" i="7"/>
  <c r="H158" i="8"/>
  <c r="O123" i="7"/>
  <c r="H123" i="8"/>
  <c r="O87" i="7"/>
  <c r="H87" i="8"/>
  <c r="O51" i="7"/>
  <c r="H51" i="8"/>
  <c r="O15" i="7"/>
  <c r="H15" i="8"/>
  <c r="O176" i="7"/>
  <c r="H175" i="8"/>
  <c r="O140" i="7"/>
  <c r="H139" i="8"/>
  <c r="H1427" i="25"/>
  <c r="K106" i="24" s="1"/>
  <c r="L106" i="24" s="1"/>
  <c r="N106" i="24" s="1"/>
  <c r="Y104" i="8"/>
  <c r="J104" i="8"/>
  <c r="M104" i="8"/>
  <c r="O104" i="8"/>
  <c r="K104" i="8"/>
  <c r="P104" i="8"/>
  <c r="Q104" i="8"/>
  <c r="L104" i="8"/>
  <c r="N104" i="8"/>
  <c r="I104" i="8"/>
  <c r="O68" i="7"/>
  <c r="H68" i="8"/>
  <c r="O32" i="7"/>
  <c r="H32" i="8"/>
  <c r="O319" i="7"/>
  <c r="H316" i="8"/>
  <c r="O229" i="7"/>
  <c r="H226" i="8"/>
  <c r="Y132" i="8"/>
  <c r="H1455" i="25"/>
  <c r="K134" i="24" s="1"/>
  <c r="L134" i="24" s="1"/>
  <c r="N134" i="24" s="1"/>
  <c r="L132" i="8"/>
  <c r="O132" i="8"/>
  <c r="J132" i="8"/>
  <c r="M132" i="8"/>
  <c r="N132" i="8"/>
  <c r="K132" i="8"/>
  <c r="Q132" i="8"/>
  <c r="P132" i="8"/>
  <c r="I132" i="8"/>
  <c r="O43" i="7"/>
  <c r="H43" i="8"/>
  <c r="N324" i="8"/>
  <c r="I324" i="8"/>
  <c r="Q324" i="8"/>
  <c r="K324" i="8"/>
  <c r="O324" i="8"/>
  <c r="J324" i="8"/>
  <c r="Y324" i="8"/>
  <c r="M324" i="8"/>
  <c r="L324" i="8"/>
  <c r="P324" i="8"/>
  <c r="H1647" i="25"/>
  <c r="K326" i="24" s="1"/>
  <c r="L326" i="24" s="1"/>
  <c r="N326" i="24" s="1"/>
  <c r="F144" i="14"/>
  <c r="P76" i="8"/>
  <c r="P46" i="8"/>
  <c r="N76" i="8"/>
  <c r="O215" i="7"/>
  <c r="P259" i="8"/>
  <c r="I259" i="8"/>
  <c r="M259" i="8"/>
  <c r="H1530" i="25"/>
  <c r="K209" i="24" s="1"/>
  <c r="L209" i="24" s="1"/>
  <c r="N209" i="24" s="1"/>
  <c r="P207" i="8"/>
  <c r="M207" i="8"/>
  <c r="L207" i="8"/>
  <c r="Q207" i="8"/>
  <c r="K207" i="8"/>
  <c r="I207" i="8"/>
  <c r="O207" i="8"/>
  <c r="N207" i="8"/>
  <c r="J207" i="8"/>
  <c r="Y312" i="8"/>
  <c r="H1635" i="25"/>
  <c r="K314" i="24" s="1"/>
  <c r="L314" i="24" s="1"/>
  <c r="N314" i="24" s="1"/>
  <c r="J312" i="8"/>
  <c r="N312" i="8"/>
  <c r="Q312" i="8"/>
  <c r="P312" i="8"/>
  <c r="L312" i="8"/>
  <c r="O312" i="8"/>
  <c r="K312" i="8"/>
  <c r="I312" i="8"/>
  <c r="M312" i="8"/>
  <c r="H1529" i="25"/>
  <c r="K208" i="24" s="1"/>
  <c r="L208" i="24" s="1"/>
  <c r="N208" i="24" s="1"/>
  <c r="Q206" i="8"/>
  <c r="L206" i="8"/>
  <c r="K206" i="8"/>
  <c r="P206" i="8"/>
  <c r="J206" i="8"/>
  <c r="N206" i="8"/>
  <c r="M206" i="8"/>
  <c r="O206" i="8"/>
  <c r="I206" i="8"/>
  <c r="Y17" i="8"/>
  <c r="H1340" i="25"/>
  <c r="K19" i="24" s="1"/>
  <c r="L19" i="24" s="1"/>
  <c r="N19" i="24" s="1"/>
  <c r="I17" i="8"/>
  <c r="Q17" i="8"/>
  <c r="N17" i="8"/>
  <c r="M17" i="8"/>
  <c r="L17" i="8"/>
  <c r="J17" i="8"/>
  <c r="P17" i="8"/>
  <c r="O17" i="8"/>
  <c r="K17" i="8"/>
  <c r="H1606" i="25"/>
  <c r="K285" i="24" s="1"/>
  <c r="L285" i="24" s="1"/>
  <c r="N285" i="24" s="1"/>
  <c r="Y283" i="8"/>
  <c r="I283" i="8"/>
  <c r="P283" i="8"/>
  <c r="J283" i="8"/>
  <c r="Q283" i="8"/>
  <c r="L283" i="8"/>
  <c r="K283" i="8"/>
  <c r="O283" i="8"/>
  <c r="M283" i="8"/>
  <c r="N283" i="8"/>
  <c r="N229" i="8"/>
  <c r="O229" i="8"/>
  <c r="Q229" i="8"/>
  <c r="I229" i="8"/>
  <c r="J229" i="8"/>
  <c r="P229" i="8"/>
  <c r="L229" i="8"/>
  <c r="K229" i="8"/>
  <c r="M229" i="8"/>
  <c r="O119" i="7"/>
  <c r="H119" i="8"/>
  <c r="H1631" i="25"/>
  <c r="K310" i="24" s="1"/>
  <c r="L310" i="24" s="1"/>
  <c r="N310" i="24" s="1"/>
  <c r="Y308" i="8"/>
  <c r="K308" i="8"/>
  <c r="J308" i="8"/>
  <c r="Q308" i="8"/>
  <c r="L308" i="8"/>
  <c r="M308" i="8"/>
  <c r="P308" i="8"/>
  <c r="O308" i="8"/>
  <c r="N308" i="8"/>
  <c r="I308" i="8"/>
  <c r="O257" i="7"/>
  <c r="H254" i="8"/>
  <c r="H1525" i="25"/>
  <c r="K204" i="24" s="1"/>
  <c r="L204" i="24" s="1"/>
  <c r="N204" i="24" s="1"/>
  <c r="P202" i="8"/>
  <c r="K202" i="8"/>
  <c r="H1328" i="25"/>
  <c r="K7" i="24" s="1"/>
  <c r="L7" i="24" s="1"/>
  <c r="N7" i="24" s="1"/>
  <c r="Y5" i="8"/>
  <c r="K5" i="8"/>
  <c r="M5" i="8"/>
  <c r="N5" i="8"/>
  <c r="J5" i="8"/>
  <c r="Q5" i="8"/>
  <c r="I5" i="8"/>
  <c r="P5" i="8"/>
  <c r="L5" i="8"/>
  <c r="O5" i="8"/>
  <c r="Y281" i="8"/>
  <c r="H1604" i="25"/>
  <c r="K283" i="24" s="1"/>
  <c r="L283" i="24" s="1"/>
  <c r="N283" i="24" s="1"/>
  <c r="I281" i="8"/>
  <c r="K281" i="8"/>
  <c r="Q281" i="8"/>
  <c r="L281" i="8"/>
  <c r="M281" i="8"/>
  <c r="J281" i="8"/>
  <c r="O281" i="8"/>
  <c r="N281" i="8"/>
  <c r="P281" i="8"/>
  <c r="H1550" i="25"/>
  <c r="K229" i="24" s="1"/>
  <c r="L229" i="24" s="1"/>
  <c r="N229" i="24" s="1"/>
  <c r="K227" i="8"/>
  <c r="I227" i="8"/>
  <c r="F139" i="14" s="1"/>
  <c r="Q227" i="8"/>
  <c r="O107" i="8"/>
  <c r="I107" i="8"/>
  <c r="H1430" i="25"/>
  <c r="K109" i="24" s="1"/>
  <c r="L109" i="24" s="1"/>
  <c r="N109" i="24" s="1"/>
  <c r="Y107" i="8"/>
  <c r="N107" i="8"/>
  <c r="L107" i="8"/>
  <c r="P107" i="8"/>
  <c r="M107" i="8"/>
  <c r="J107" i="8"/>
  <c r="Q107" i="8"/>
  <c r="K107" i="8"/>
  <c r="O281" i="7"/>
  <c r="H278" i="8"/>
  <c r="O227" i="7"/>
  <c r="H224" i="8"/>
  <c r="O101" i="7"/>
  <c r="H101" i="8"/>
  <c r="O131" i="7"/>
  <c r="H131" i="8"/>
  <c r="O277" i="7"/>
  <c r="H274" i="8"/>
  <c r="O217" i="7"/>
  <c r="H215" i="8"/>
  <c r="O157" i="7"/>
  <c r="H156" i="8"/>
  <c r="O97" i="7"/>
  <c r="H97" i="8"/>
  <c r="O37" i="7"/>
  <c r="H37" i="8"/>
  <c r="O300" i="7"/>
  <c r="H297" i="8"/>
  <c r="O264" i="7"/>
  <c r="H261" i="8"/>
  <c r="O228" i="7"/>
  <c r="H225" i="8"/>
  <c r="O192" i="7"/>
  <c r="H191" i="8"/>
  <c r="O156" i="7"/>
  <c r="H155" i="8"/>
  <c r="O120" i="7"/>
  <c r="H120" i="8"/>
  <c r="O84" i="7"/>
  <c r="H84" i="8"/>
  <c r="O48" i="7"/>
  <c r="H48" i="8"/>
  <c r="O12" i="7"/>
  <c r="H12" i="8"/>
  <c r="O172" i="7"/>
  <c r="H171" i="8"/>
  <c r="O136" i="7"/>
  <c r="H135" i="8"/>
  <c r="O100" i="7"/>
  <c r="H100" i="8"/>
  <c r="O64" i="7"/>
  <c r="H64" i="8"/>
  <c r="O28" i="7"/>
  <c r="H28" i="8"/>
  <c r="O189" i="7"/>
  <c r="H188" i="8"/>
  <c r="O153" i="7"/>
  <c r="H152" i="8"/>
  <c r="O117" i="7"/>
  <c r="H117" i="8"/>
  <c r="O81" i="7"/>
  <c r="H81" i="8"/>
  <c r="O45" i="7"/>
  <c r="H45" i="8"/>
  <c r="O9" i="7"/>
  <c r="H9" i="8"/>
  <c r="O170" i="7"/>
  <c r="H169" i="8"/>
  <c r="O134" i="7"/>
  <c r="H133" i="8"/>
  <c r="O98" i="7"/>
  <c r="H98" i="8"/>
  <c r="O62" i="7"/>
  <c r="H62" i="8"/>
  <c r="O26" i="7"/>
  <c r="H26" i="8"/>
  <c r="O307" i="7"/>
  <c r="H304" i="8"/>
  <c r="O211" i="7"/>
  <c r="H210" i="8"/>
  <c r="O115" i="7"/>
  <c r="H115" i="8"/>
  <c r="O31" i="7"/>
  <c r="H31" i="8"/>
  <c r="O309" i="7"/>
  <c r="H306" i="8"/>
  <c r="K384" i="24"/>
  <c r="L245" i="24"/>
  <c r="K338" i="24"/>
  <c r="L205" i="24"/>
  <c r="N332" i="7"/>
  <c r="N339" i="7" s="1"/>
  <c r="N340" i="7" s="1"/>
  <c r="R36" i="8"/>
  <c r="U36" i="8" s="1"/>
  <c r="F99" i="14"/>
  <c r="R167" i="8"/>
  <c r="F99" i="21" s="1"/>
  <c r="R195" i="8"/>
  <c r="F116" i="21" s="1"/>
  <c r="F175" i="14"/>
  <c r="F20" i="14"/>
  <c r="F106" i="14"/>
  <c r="F66" i="14"/>
  <c r="F158" i="14"/>
  <c r="F35" i="14"/>
  <c r="R179" i="8"/>
  <c r="U179" i="8" s="1"/>
  <c r="F116" i="14"/>
  <c r="R252" i="8"/>
  <c r="U252" i="8" s="1"/>
  <c r="R159" i="8"/>
  <c r="U159" i="8" s="1"/>
  <c r="R284" i="8"/>
  <c r="U284" i="8" s="1"/>
  <c r="R260" i="8"/>
  <c r="U260" i="8" s="1"/>
  <c r="R258" i="8"/>
  <c r="U258" i="8" s="1"/>
  <c r="F51" i="14"/>
  <c r="R301" i="8"/>
  <c r="U301" i="8" s="1"/>
  <c r="R29" i="8"/>
  <c r="F24" i="21" s="1"/>
  <c r="S331" i="24"/>
  <c r="R2" i="8"/>
  <c r="F1" i="21" s="1"/>
  <c r="R138" i="8" l="1"/>
  <c r="R259" i="8"/>
  <c r="U259" i="8" s="1"/>
  <c r="L266" i="8"/>
  <c r="P266" i="8"/>
  <c r="K266" i="8"/>
  <c r="J266" i="8"/>
  <c r="Q266" i="8"/>
  <c r="N266" i="8"/>
  <c r="I266" i="8"/>
  <c r="M266" i="8"/>
  <c r="I238" i="8"/>
  <c r="R238" i="8" s="1"/>
  <c r="U238" i="8" s="1"/>
  <c r="O238" i="8"/>
  <c r="N238" i="8"/>
  <c r="J238" i="8"/>
  <c r="Y238" i="8"/>
  <c r="O44" i="8"/>
  <c r="K44" i="8"/>
  <c r="P44" i="8"/>
  <c r="L44" i="8"/>
  <c r="M44" i="8"/>
  <c r="Y44" i="8"/>
  <c r="I44" i="8"/>
  <c r="F33" i="14" s="1"/>
  <c r="N44" i="8"/>
  <c r="J151" i="8"/>
  <c r="K151" i="8"/>
  <c r="Y151" i="8"/>
  <c r="M151" i="8"/>
  <c r="O151" i="8"/>
  <c r="H1474" i="25"/>
  <c r="K153" i="24" s="1"/>
  <c r="L153" i="24" s="1"/>
  <c r="N153" i="24" s="1"/>
  <c r="N151" i="8"/>
  <c r="L151" i="8"/>
  <c r="I151" i="8"/>
  <c r="Q151" i="8"/>
  <c r="N170" i="8"/>
  <c r="Q170" i="8"/>
  <c r="P170" i="8"/>
  <c r="I170" i="8"/>
  <c r="K170" i="8"/>
  <c r="Y170" i="8"/>
  <c r="J170" i="8"/>
  <c r="M170" i="8"/>
  <c r="O170" i="8"/>
  <c r="L170" i="8"/>
  <c r="L129" i="8"/>
  <c r="K129" i="8"/>
  <c r="O129" i="8"/>
  <c r="Q129" i="8"/>
  <c r="M129" i="8"/>
  <c r="Y129" i="8"/>
  <c r="N129" i="8"/>
  <c r="J129" i="8"/>
  <c r="I129" i="8"/>
  <c r="P129" i="8"/>
  <c r="M147" i="8"/>
  <c r="P147" i="8"/>
  <c r="J147" i="8"/>
  <c r="L147" i="8"/>
  <c r="Q147" i="8"/>
  <c r="N147" i="8"/>
  <c r="O147" i="8"/>
  <c r="Q286" i="8"/>
  <c r="M286" i="8"/>
  <c r="J286" i="8"/>
  <c r="O286" i="8"/>
  <c r="L286" i="8"/>
  <c r="N286" i="8"/>
  <c r="K286" i="8"/>
  <c r="I286" i="8"/>
  <c r="P286" i="8"/>
  <c r="Y286" i="8"/>
  <c r="L111" i="8"/>
  <c r="Q111" i="8"/>
  <c r="I111" i="8"/>
  <c r="N111" i="8"/>
  <c r="M111" i="8"/>
  <c r="K111" i="8"/>
  <c r="Y111" i="8"/>
  <c r="O111" i="8"/>
  <c r="J111" i="8"/>
  <c r="P111" i="8"/>
  <c r="Y130" i="8"/>
  <c r="L130" i="8"/>
  <c r="Q130" i="8"/>
  <c r="I130" i="8"/>
  <c r="P130" i="8"/>
  <c r="K264" i="8"/>
  <c r="M264" i="8"/>
  <c r="Y264" i="8"/>
  <c r="H1587" i="25"/>
  <c r="K266" i="24" s="1"/>
  <c r="I264" i="8"/>
  <c r="O264" i="8"/>
  <c r="J264" i="8"/>
  <c r="N264" i="8"/>
  <c r="Q264" i="8"/>
  <c r="L264" i="8"/>
  <c r="P264" i="8"/>
  <c r="Y13" i="8"/>
  <c r="K13" i="8"/>
  <c r="J13" i="8"/>
  <c r="I13" i="8"/>
  <c r="Q13" i="8"/>
  <c r="N13" i="8"/>
  <c r="L13" i="8"/>
  <c r="P13" i="8"/>
  <c r="M13" i="8"/>
  <c r="O13" i="8"/>
  <c r="L250" i="8"/>
  <c r="K250" i="8"/>
  <c r="I250" i="8"/>
  <c r="P250" i="8"/>
  <c r="Q250" i="8"/>
  <c r="J250" i="8"/>
  <c r="O250" i="8"/>
  <c r="H1573" i="25"/>
  <c r="K252" i="24" s="1"/>
  <c r="L252" i="24" s="1"/>
  <c r="N252" i="24" s="1"/>
  <c r="N250" i="8"/>
  <c r="M250" i="8"/>
  <c r="Y250" i="8"/>
  <c r="H1510" i="25"/>
  <c r="K189" i="24" s="1"/>
  <c r="L189" i="24" s="1"/>
  <c r="N189" i="24" s="1"/>
  <c r="N187" i="8"/>
  <c r="L187" i="8"/>
  <c r="O187" i="8"/>
  <c r="K187" i="8"/>
  <c r="P187" i="8"/>
  <c r="M187" i="8"/>
  <c r="I187" i="8"/>
  <c r="Q187" i="8"/>
  <c r="Y187" i="8"/>
  <c r="J187" i="8"/>
  <c r="N145" i="8"/>
  <c r="O145" i="8"/>
  <c r="M145" i="8"/>
  <c r="P145" i="8"/>
  <c r="L145" i="8"/>
  <c r="J145" i="8"/>
  <c r="I145" i="8"/>
  <c r="Q145" i="8"/>
  <c r="K145" i="8"/>
  <c r="H1468" i="25"/>
  <c r="K147" i="24" s="1"/>
  <c r="L147" i="24" s="1"/>
  <c r="N147" i="24" s="1"/>
  <c r="Y145" i="8"/>
  <c r="N183" i="8"/>
  <c r="J183" i="8"/>
  <c r="K183" i="8"/>
  <c r="O203" i="8"/>
  <c r="R203" i="8" s="1"/>
  <c r="F120" i="21" s="1"/>
  <c r="Y203" i="8"/>
  <c r="K61" i="8"/>
  <c r="P61" i="8"/>
  <c r="Q180" i="8"/>
  <c r="N180" i="8"/>
  <c r="J180" i="8"/>
  <c r="I180" i="8"/>
  <c r="Y180" i="8"/>
  <c r="O180" i="8"/>
  <c r="Q50" i="8"/>
  <c r="H1373" i="25"/>
  <c r="K52" i="24" s="1"/>
  <c r="L52" i="24" s="1"/>
  <c r="N52" i="24" s="1"/>
  <c r="P50" i="8"/>
  <c r="M157" i="8"/>
  <c r="P157" i="8"/>
  <c r="I157" i="8"/>
  <c r="O157" i="8"/>
  <c r="N157" i="8"/>
  <c r="Q157" i="8"/>
  <c r="H1615" i="25"/>
  <c r="K294" i="24" s="1"/>
  <c r="L294" i="24" s="1"/>
  <c r="N294" i="24" s="1"/>
  <c r="I303" i="8"/>
  <c r="O266" i="8"/>
  <c r="O276" i="8"/>
  <c r="R276" i="8" s="1"/>
  <c r="U276" i="8" s="1"/>
  <c r="N143" i="8"/>
  <c r="O222" i="8"/>
  <c r="K153" i="8"/>
  <c r="Y153" i="8"/>
  <c r="Y103" i="8"/>
  <c r="N103" i="8"/>
  <c r="J103" i="8"/>
  <c r="Q103" i="8"/>
  <c r="I103" i="8"/>
  <c r="L103" i="8"/>
  <c r="P103" i="8"/>
  <c r="K103" i="8"/>
  <c r="M103" i="8"/>
  <c r="O103" i="8"/>
  <c r="J76" i="8"/>
  <c r="Q76" i="8"/>
  <c r="K76" i="8"/>
  <c r="M76" i="8"/>
  <c r="Y76" i="8"/>
  <c r="O76" i="8"/>
  <c r="Y227" i="8"/>
  <c r="L227" i="8"/>
  <c r="P227" i="8"/>
  <c r="M227" i="8"/>
  <c r="O227" i="8"/>
  <c r="J227" i="8"/>
  <c r="N227" i="8"/>
  <c r="J202" i="8"/>
  <c r="M202" i="8"/>
  <c r="I202" i="8"/>
  <c r="O202" i="8"/>
  <c r="N202" i="8"/>
  <c r="Y202" i="8"/>
  <c r="L202" i="8"/>
  <c r="Q202" i="8"/>
  <c r="Y229" i="8"/>
  <c r="H1552" i="25"/>
  <c r="K231" i="24" s="1"/>
  <c r="L231" i="24" s="1"/>
  <c r="N231" i="24" s="1"/>
  <c r="Q303" i="8"/>
  <c r="N303" i="8"/>
  <c r="L303" i="8"/>
  <c r="M303" i="8"/>
  <c r="Y142" i="8"/>
  <c r="L142" i="8"/>
  <c r="J142" i="8"/>
  <c r="M142" i="8"/>
  <c r="P142" i="8"/>
  <c r="I142" i="8"/>
  <c r="Q142" i="8"/>
  <c r="N142" i="8"/>
  <c r="K293" i="8"/>
  <c r="Q293" i="8"/>
  <c r="Y293" i="8"/>
  <c r="J293" i="8"/>
  <c r="H1616" i="25"/>
  <c r="K295" i="24" s="1"/>
  <c r="L293" i="8"/>
  <c r="N293" i="8"/>
  <c r="O293" i="8"/>
  <c r="P293" i="8"/>
  <c r="N46" i="8"/>
  <c r="Y46" i="8"/>
  <c r="J46" i="8"/>
  <c r="R46" i="8" s="1"/>
  <c r="H1369" i="25"/>
  <c r="K48" i="24" s="1"/>
  <c r="K46" i="8"/>
  <c r="O181" i="8"/>
  <c r="N181" i="8"/>
  <c r="K181" i="8"/>
  <c r="J181" i="8"/>
  <c r="P181" i="8"/>
  <c r="I181" i="8"/>
  <c r="Y181" i="8"/>
  <c r="L181" i="8"/>
  <c r="Q181" i="8"/>
  <c r="H1504" i="25"/>
  <c r="K183" i="24" s="1"/>
  <c r="L183" i="24" s="1"/>
  <c r="N183" i="24" s="1"/>
  <c r="N24" i="8"/>
  <c r="O24" i="8"/>
  <c r="Q24" i="8"/>
  <c r="L24" i="8"/>
  <c r="M24" i="8"/>
  <c r="K24" i="8"/>
  <c r="J24" i="8"/>
  <c r="K232" i="8"/>
  <c r="L292" i="8"/>
  <c r="J292" i="8"/>
  <c r="K292" i="8"/>
  <c r="M232" i="8"/>
  <c r="N292" i="8"/>
  <c r="Y232" i="8"/>
  <c r="M293" i="8"/>
  <c r="Y143" i="8"/>
  <c r="P295" i="8"/>
  <c r="K295" i="8"/>
  <c r="L295" i="8"/>
  <c r="Q295" i="8"/>
  <c r="J295" i="8"/>
  <c r="N295" i="8"/>
  <c r="Y295" i="8"/>
  <c r="M189" i="8"/>
  <c r="J189" i="8"/>
  <c r="H1512" i="25"/>
  <c r="K191" i="24" s="1"/>
  <c r="L191" i="24" s="1"/>
  <c r="N191" i="24" s="1"/>
  <c r="K189" i="8"/>
  <c r="I189" i="8"/>
  <c r="I163" i="8"/>
  <c r="J163" i="8"/>
  <c r="H1486" i="25"/>
  <c r="K165" i="24" s="1"/>
  <c r="O163" i="8"/>
  <c r="Y163" i="8"/>
  <c r="Q163" i="8"/>
  <c r="P163" i="8"/>
  <c r="M163" i="8"/>
  <c r="K163" i="8"/>
  <c r="L163" i="8"/>
  <c r="N163" i="8"/>
  <c r="I75" i="8"/>
  <c r="F50" i="14" s="1"/>
  <c r="P75" i="8"/>
  <c r="Y75" i="8"/>
  <c r="O75" i="8"/>
  <c r="L75" i="8"/>
  <c r="N75" i="8"/>
  <c r="K75" i="8"/>
  <c r="Y182" i="8"/>
  <c r="O182" i="8"/>
  <c r="N182" i="8"/>
  <c r="J182" i="8"/>
  <c r="K182" i="8"/>
  <c r="L182" i="8"/>
  <c r="M182" i="8"/>
  <c r="H1505" i="25"/>
  <c r="K184" i="24" s="1"/>
  <c r="Q182" i="8"/>
  <c r="O94" i="8"/>
  <c r="P94" i="8"/>
  <c r="Q94" i="8"/>
  <c r="N219" i="8"/>
  <c r="K219" i="8"/>
  <c r="P219" i="8"/>
  <c r="Q219" i="8"/>
  <c r="Y110" i="8"/>
  <c r="O110" i="8"/>
  <c r="Q72" i="7"/>
  <c r="R72" i="7" s="1"/>
  <c r="Q144" i="7"/>
  <c r="R144" i="7" s="1"/>
  <c r="Q180" i="7"/>
  <c r="R180" i="7" s="1"/>
  <c r="Q210" i="7"/>
  <c r="R210" i="7" s="1"/>
  <c r="Q228" i="7"/>
  <c r="R228" i="7" s="1"/>
  <c r="Q252" i="7"/>
  <c r="R252" i="7" s="1"/>
  <c r="Q270" i="7"/>
  <c r="R270" i="7" s="1"/>
  <c r="Q294" i="7"/>
  <c r="R294" i="7" s="1"/>
  <c r="Q312" i="7"/>
  <c r="R312" i="7" s="1"/>
  <c r="Q324" i="7"/>
  <c r="R324" i="7" s="1"/>
  <c r="Q4" i="7"/>
  <c r="R4" i="7" s="1"/>
  <c r="Q10" i="7"/>
  <c r="R10" i="7" s="1"/>
  <c r="Q16" i="7"/>
  <c r="R16" i="7" s="1"/>
  <c r="Q22" i="7"/>
  <c r="R22" i="7" s="1"/>
  <c r="Q28" i="7"/>
  <c r="R28" i="7" s="1"/>
  <c r="Q34" i="7"/>
  <c r="R34" i="7" s="1"/>
  <c r="Q40" i="7"/>
  <c r="R40" i="7" s="1"/>
  <c r="Q46" i="7"/>
  <c r="R46" i="7" s="1"/>
  <c r="Q52" i="7"/>
  <c r="R52" i="7" s="1"/>
  <c r="Q58" i="7"/>
  <c r="R58" i="7" s="1"/>
  <c r="Q64" i="7"/>
  <c r="R64" i="7" s="1"/>
  <c r="Q70" i="7"/>
  <c r="R70" i="7" s="1"/>
  <c r="Q76" i="7"/>
  <c r="R76" i="7" s="1"/>
  <c r="Q82" i="7"/>
  <c r="R82" i="7" s="1"/>
  <c r="Q88" i="7"/>
  <c r="R88" i="7" s="1"/>
  <c r="Q94" i="7"/>
  <c r="R94" i="7" s="1"/>
  <c r="Q100" i="7"/>
  <c r="R100" i="7" s="1"/>
  <c r="Q106" i="7"/>
  <c r="R106" i="7" s="1"/>
  <c r="Q112" i="7"/>
  <c r="R112" i="7" s="1"/>
  <c r="Q118" i="7"/>
  <c r="R118" i="7" s="1"/>
  <c r="Q124" i="7"/>
  <c r="R124" i="7" s="1"/>
  <c r="Q130" i="7"/>
  <c r="R130" i="7" s="1"/>
  <c r="Q136" i="7"/>
  <c r="R136" i="7" s="1"/>
  <c r="Q142" i="7"/>
  <c r="R142" i="7" s="1"/>
  <c r="Q148" i="7"/>
  <c r="R148" i="7" s="1"/>
  <c r="Q154" i="7"/>
  <c r="R154" i="7" s="1"/>
  <c r="Q160" i="7"/>
  <c r="R160" i="7" s="1"/>
  <c r="Q166" i="7"/>
  <c r="R166" i="7" s="1"/>
  <c r="Q172" i="7"/>
  <c r="R172" i="7" s="1"/>
  <c r="Q178" i="7"/>
  <c r="R178" i="7" s="1"/>
  <c r="Q184" i="7"/>
  <c r="R184" i="7" s="1"/>
  <c r="Q190" i="7"/>
  <c r="R190" i="7" s="1"/>
  <c r="Q196" i="7"/>
  <c r="R196" i="7" s="1"/>
  <c r="Q202" i="7"/>
  <c r="R202" i="7" s="1"/>
  <c r="Q208" i="7"/>
  <c r="R208" i="7" s="1"/>
  <c r="Q214" i="7"/>
  <c r="R214" i="7" s="1"/>
  <c r="Q220" i="7"/>
  <c r="R220" i="7" s="1"/>
  <c r="Q226" i="7"/>
  <c r="R226" i="7" s="1"/>
  <c r="Q232" i="7"/>
  <c r="R232" i="7" s="1"/>
  <c r="Q238" i="7"/>
  <c r="R238" i="7" s="1"/>
  <c r="Q244" i="7"/>
  <c r="R244" i="7" s="1"/>
  <c r="Q250" i="7"/>
  <c r="R250" i="7" s="1"/>
  <c r="Q256" i="7"/>
  <c r="R256" i="7" s="1"/>
  <c r="Q262" i="7"/>
  <c r="R262" i="7" s="1"/>
  <c r="Q268" i="7"/>
  <c r="R268" i="7" s="1"/>
  <c r="Q274" i="7"/>
  <c r="R274" i="7" s="1"/>
  <c r="Q280" i="7"/>
  <c r="R280" i="7" s="1"/>
  <c r="Q286" i="7"/>
  <c r="R286" i="7" s="1"/>
  <c r="Q292" i="7"/>
  <c r="R292" i="7" s="1"/>
  <c r="Q298" i="7"/>
  <c r="R298" i="7" s="1"/>
  <c r="Q304" i="7"/>
  <c r="R304" i="7" s="1"/>
  <c r="Q310" i="7"/>
  <c r="R310" i="7" s="1"/>
  <c r="Q316" i="7"/>
  <c r="R316" i="7" s="1"/>
  <c r="Q322" i="7"/>
  <c r="R322" i="7" s="1"/>
  <c r="Q328" i="7"/>
  <c r="R328" i="7" s="1"/>
  <c r="Q6" i="7"/>
  <c r="R6" i="7" s="1"/>
  <c r="Q12" i="7"/>
  <c r="R12" i="7" s="1"/>
  <c r="Q18" i="7"/>
  <c r="R18" i="7" s="1"/>
  <c r="Q24" i="7"/>
  <c r="R24" i="7" s="1"/>
  <c r="Q30" i="7"/>
  <c r="R30" i="7" s="1"/>
  <c r="Q36" i="7"/>
  <c r="R36" i="7" s="1"/>
  <c r="Q42" i="7"/>
  <c r="R42" i="7" s="1"/>
  <c r="Q48" i="7"/>
  <c r="R48" i="7" s="1"/>
  <c r="Q54" i="7"/>
  <c r="R54" i="7" s="1"/>
  <c r="Q60" i="7"/>
  <c r="R60" i="7" s="1"/>
  <c r="Q66" i="7"/>
  <c r="R66" i="7" s="1"/>
  <c r="Q78" i="7"/>
  <c r="R78" i="7" s="1"/>
  <c r="Q84" i="7"/>
  <c r="R84" i="7" s="1"/>
  <c r="Q90" i="7"/>
  <c r="R90" i="7" s="1"/>
  <c r="Q96" i="7"/>
  <c r="R96" i="7" s="1"/>
  <c r="Q102" i="7"/>
  <c r="R102" i="7" s="1"/>
  <c r="Q114" i="7"/>
  <c r="R114" i="7" s="1"/>
  <c r="Q120" i="7"/>
  <c r="R120" i="7" s="1"/>
  <c r="Q138" i="7"/>
  <c r="R138" i="7" s="1"/>
  <c r="Q156" i="7"/>
  <c r="R156" i="7" s="1"/>
  <c r="Q168" i="7"/>
  <c r="R168" i="7" s="1"/>
  <c r="Q186" i="7"/>
  <c r="R186" i="7" s="1"/>
  <c r="Q198" i="7"/>
  <c r="R198" i="7" s="1"/>
  <c r="Q216" i="7"/>
  <c r="R216" i="7" s="1"/>
  <c r="Q240" i="7"/>
  <c r="R240" i="7" s="1"/>
  <c r="Q258" i="7"/>
  <c r="R258" i="7" s="1"/>
  <c r="Q282" i="7"/>
  <c r="R282" i="7" s="1"/>
  <c r="Q300" i="7"/>
  <c r="R300" i="7" s="1"/>
  <c r="Q318" i="7"/>
  <c r="R318" i="7" s="1"/>
  <c r="Q5" i="7"/>
  <c r="R5" i="7" s="1"/>
  <c r="Q11" i="7"/>
  <c r="R11" i="7" s="1"/>
  <c r="Q17" i="7"/>
  <c r="R17" i="7" s="1"/>
  <c r="Q23" i="7"/>
  <c r="R23" i="7" s="1"/>
  <c r="Q29" i="7"/>
  <c r="R29" i="7" s="1"/>
  <c r="Q35" i="7"/>
  <c r="R35" i="7" s="1"/>
  <c r="Q41" i="7"/>
  <c r="R41" i="7" s="1"/>
  <c r="Q47" i="7"/>
  <c r="R47" i="7" s="1"/>
  <c r="Q53" i="7"/>
  <c r="R53" i="7" s="1"/>
  <c r="Q59" i="7"/>
  <c r="R59" i="7" s="1"/>
  <c r="Q65" i="7"/>
  <c r="R65" i="7" s="1"/>
  <c r="Q71" i="7"/>
  <c r="R71" i="7" s="1"/>
  <c r="Q77" i="7"/>
  <c r="R77" i="7" s="1"/>
  <c r="Q83" i="7"/>
  <c r="R83" i="7" s="1"/>
  <c r="Q89" i="7"/>
  <c r="R89" i="7" s="1"/>
  <c r="Q95" i="7"/>
  <c r="R95" i="7" s="1"/>
  <c r="Q101" i="7"/>
  <c r="R101" i="7" s="1"/>
  <c r="Q107" i="7"/>
  <c r="R107" i="7" s="1"/>
  <c r="Q113" i="7"/>
  <c r="R113" i="7" s="1"/>
  <c r="Q119" i="7"/>
  <c r="R119" i="7" s="1"/>
  <c r="Q125" i="7"/>
  <c r="R125" i="7" s="1"/>
  <c r="Q131" i="7"/>
  <c r="R131" i="7" s="1"/>
  <c r="Q137" i="7"/>
  <c r="R137" i="7" s="1"/>
  <c r="Q143" i="7"/>
  <c r="R143" i="7" s="1"/>
  <c r="Q149" i="7"/>
  <c r="R149" i="7" s="1"/>
  <c r="Q155" i="7"/>
  <c r="R155" i="7" s="1"/>
  <c r="Q161" i="7"/>
  <c r="R161" i="7" s="1"/>
  <c r="Q167" i="7"/>
  <c r="R167" i="7" s="1"/>
  <c r="Q173" i="7"/>
  <c r="R173" i="7" s="1"/>
  <c r="Q179" i="7"/>
  <c r="R179" i="7" s="1"/>
  <c r="Q185" i="7"/>
  <c r="R185" i="7" s="1"/>
  <c r="Q191" i="7"/>
  <c r="R191" i="7" s="1"/>
  <c r="Q197" i="7"/>
  <c r="R197" i="7" s="1"/>
  <c r="Q203" i="7"/>
  <c r="R203" i="7" s="1"/>
  <c r="Q209" i="7"/>
  <c r="R209" i="7" s="1"/>
  <c r="Q215" i="7"/>
  <c r="R215" i="7" s="1"/>
  <c r="Q221" i="7"/>
  <c r="R221" i="7" s="1"/>
  <c r="Q227" i="7"/>
  <c r="R227" i="7" s="1"/>
  <c r="Q233" i="7"/>
  <c r="R233" i="7" s="1"/>
  <c r="Q239" i="7"/>
  <c r="R239" i="7" s="1"/>
  <c r="Q245" i="7"/>
  <c r="R245" i="7" s="1"/>
  <c r="Q251" i="7"/>
  <c r="R251" i="7" s="1"/>
  <c r="Q257" i="7"/>
  <c r="R257" i="7" s="1"/>
  <c r="Q263" i="7"/>
  <c r="R263" i="7" s="1"/>
  <c r="Q269" i="7"/>
  <c r="R269" i="7" s="1"/>
  <c r="Q275" i="7"/>
  <c r="R275" i="7" s="1"/>
  <c r="Q281" i="7"/>
  <c r="R281" i="7" s="1"/>
  <c r="Q287" i="7"/>
  <c r="R287" i="7" s="1"/>
  <c r="Q293" i="7"/>
  <c r="R293" i="7" s="1"/>
  <c r="Q299" i="7"/>
  <c r="R299" i="7" s="1"/>
  <c r="Q305" i="7"/>
  <c r="R305" i="7" s="1"/>
  <c r="Q311" i="7"/>
  <c r="R311" i="7" s="1"/>
  <c r="Q317" i="7"/>
  <c r="R317" i="7" s="1"/>
  <c r="Q323" i="7"/>
  <c r="R323" i="7" s="1"/>
  <c r="Q329" i="7"/>
  <c r="R329" i="7" s="1"/>
  <c r="Q108" i="7"/>
  <c r="R108" i="7" s="1"/>
  <c r="Q126" i="7"/>
  <c r="R126" i="7" s="1"/>
  <c r="Q132" i="7"/>
  <c r="R132" i="7" s="1"/>
  <c r="Q150" i="7"/>
  <c r="R150" i="7" s="1"/>
  <c r="Q162" i="7"/>
  <c r="R162" i="7" s="1"/>
  <c r="Q174" i="7"/>
  <c r="R174" i="7" s="1"/>
  <c r="Q192" i="7"/>
  <c r="R192" i="7" s="1"/>
  <c r="Q204" i="7"/>
  <c r="R204" i="7" s="1"/>
  <c r="Q222" i="7"/>
  <c r="R222" i="7" s="1"/>
  <c r="Q234" i="7"/>
  <c r="R234" i="7" s="1"/>
  <c r="Q246" i="7"/>
  <c r="R246" i="7" s="1"/>
  <c r="Q264" i="7"/>
  <c r="R264" i="7" s="1"/>
  <c r="Q276" i="7"/>
  <c r="R276" i="7" s="1"/>
  <c r="Q288" i="7"/>
  <c r="R288" i="7" s="1"/>
  <c r="Q306" i="7"/>
  <c r="R306" i="7" s="1"/>
  <c r="Q330" i="7"/>
  <c r="R330" i="7" s="1"/>
  <c r="Q8" i="7"/>
  <c r="R8" i="7" s="1"/>
  <c r="Q20" i="7"/>
  <c r="R20" i="7" s="1"/>
  <c r="Q32" i="7"/>
  <c r="R32" i="7" s="1"/>
  <c r="Q44" i="7"/>
  <c r="R44" i="7" s="1"/>
  <c r="Q56" i="7"/>
  <c r="R56" i="7" s="1"/>
  <c r="Q68" i="7"/>
  <c r="R68" i="7" s="1"/>
  <c r="Q80" i="7"/>
  <c r="R80" i="7" s="1"/>
  <c r="Q92" i="7"/>
  <c r="R92" i="7" s="1"/>
  <c r="Q104" i="7"/>
  <c r="R104" i="7" s="1"/>
  <c r="Q116" i="7"/>
  <c r="R116" i="7" s="1"/>
  <c r="Q128" i="7"/>
  <c r="R128" i="7" s="1"/>
  <c r="Q140" i="7"/>
  <c r="R140" i="7" s="1"/>
  <c r="Q152" i="7"/>
  <c r="R152" i="7" s="1"/>
  <c r="Q164" i="7"/>
  <c r="R164" i="7" s="1"/>
  <c r="Q176" i="7"/>
  <c r="R176" i="7" s="1"/>
  <c r="Q188" i="7"/>
  <c r="R188" i="7" s="1"/>
  <c r="Q200" i="7"/>
  <c r="R200" i="7" s="1"/>
  <c r="Q212" i="7"/>
  <c r="R212" i="7" s="1"/>
  <c r="Q224" i="7"/>
  <c r="R224" i="7" s="1"/>
  <c r="Q236" i="7"/>
  <c r="R236" i="7" s="1"/>
  <c r="Q248" i="7"/>
  <c r="R248" i="7" s="1"/>
  <c r="Q260" i="7"/>
  <c r="R260" i="7" s="1"/>
  <c r="Q272" i="7"/>
  <c r="R272" i="7" s="1"/>
  <c r="Q284" i="7"/>
  <c r="R284" i="7" s="1"/>
  <c r="Q296" i="7"/>
  <c r="R296" i="7" s="1"/>
  <c r="Q308" i="7"/>
  <c r="R308" i="7" s="1"/>
  <c r="Q320" i="7"/>
  <c r="R320" i="7" s="1"/>
  <c r="Q9" i="7"/>
  <c r="R9" i="7" s="1"/>
  <c r="Q21" i="7"/>
  <c r="R21" i="7" s="1"/>
  <c r="Q33" i="7"/>
  <c r="R33" i="7" s="1"/>
  <c r="Q45" i="7"/>
  <c r="R45" i="7" s="1"/>
  <c r="Q57" i="7"/>
  <c r="R57" i="7" s="1"/>
  <c r="Q69" i="7"/>
  <c r="R69" i="7" s="1"/>
  <c r="Q81" i="7"/>
  <c r="R81" i="7" s="1"/>
  <c r="Q93" i="7"/>
  <c r="R93" i="7" s="1"/>
  <c r="Q105" i="7"/>
  <c r="R105" i="7" s="1"/>
  <c r="Q117" i="7"/>
  <c r="R117" i="7" s="1"/>
  <c r="Q129" i="7"/>
  <c r="R129" i="7" s="1"/>
  <c r="Q141" i="7"/>
  <c r="R141" i="7" s="1"/>
  <c r="Q153" i="7"/>
  <c r="R153" i="7" s="1"/>
  <c r="Q165" i="7"/>
  <c r="R165" i="7" s="1"/>
  <c r="Q177" i="7"/>
  <c r="R177" i="7" s="1"/>
  <c r="Q189" i="7"/>
  <c r="R189" i="7" s="1"/>
  <c r="Q201" i="7"/>
  <c r="R201" i="7" s="1"/>
  <c r="Q213" i="7"/>
  <c r="R213" i="7" s="1"/>
  <c r="Q225" i="7"/>
  <c r="R225" i="7" s="1"/>
  <c r="Q237" i="7"/>
  <c r="R237" i="7" s="1"/>
  <c r="Q249" i="7"/>
  <c r="R249" i="7" s="1"/>
  <c r="Q261" i="7"/>
  <c r="R261" i="7" s="1"/>
  <c r="Q273" i="7"/>
  <c r="R273" i="7" s="1"/>
  <c r="Q285" i="7"/>
  <c r="R285" i="7" s="1"/>
  <c r="Q297" i="7"/>
  <c r="R297" i="7" s="1"/>
  <c r="Q309" i="7"/>
  <c r="R309" i="7" s="1"/>
  <c r="Q321" i="7"/>
  <c r="R321" i="7" s="1"/>
  <c r="Q13" i="7"/>
  <c r="R13" i="7" s="1"/>
  <c r="Q25" i="7"/>
  <c r="R25" i="7" s="1"/>
  <c r="Q37" i="7"/>
  <c r="R37" i="7" s="1"/>
  <c r="Q49" i="7"/>
  <c r="R49" i="7" s="1"/>
  <c r="Q61" i="7"/>
  <c r="R61" i="7" s="1"/>
  <c r="Q73" i="7"/>
  <c r="R73" i="7" s="1"/>
  <c r="Q85" i="7"/>
  <c r="R85" i="7" s="1"/>
  <c r="Q97" i="7"/>
  <c r="R97" i="7" s="1"/>
  <c r="Q109" i="7"/>
  <c r="R109" i="7" s="1"/>
  <c r="Q121" i="7"/>
  <c r="R121" i="7" s="1"/>
  <c r="Q133" i="7"/>
  <c r="R133" i="7" s="1"/>
  <c r="Q145" i="7"/>
  <c r="R145" i="7" s="1"/>
  <c r="Q157" i="7"/>
  <c r="R157" i="7" s="1"/>
  <c r="Q169" i="7"/>
  <c r="R169" i="7" s="1"/>
  <c r="Q181" i="7"/>
  <c r="R181" i="7" s="1"/>
  <c r="Q193" i="7"/>
  <c r="R193" i="7" s="1"/>
  <c r="Q205" i="7"/>
  <c r="R205" i="7" s="1"/>
  <c r="Q217" i="7"/>
  <c r="R217" i="7" s="1"/>
  <c r="Q229" i="7"/>
  <c r="R229" i="7" s="1"/>
  <c r="Q241" i="7"/>
  <c r="R241" i="7" s="1"/>
  <c r="Q253" i="7"/>
  <c r="R253" i="7" s="1"/>
  <c r="Q265" i="7"/>
  <c r="R265" i="7" s="1"/>
  <c r="Q277" i="7"/>
  <c r="R277" i="7" s="1"/>
  <c r="Q289" i="7"/>
  <c r="R289" i="7" s="1"/>
  <c r="Q301" i="7"/>
  <c r="R301" i="7" s="1"/>
  <c r="Q313" i="7"/>
  <c r="R313" i="7" s="1"/>
  <c r="Q325" i="7"/>
  <c r="R325" i="7" s="1"/>
  <c r="Q2" i="7"/>
  <c r="R2" i="7" s="1"/>
  <c r="Q19" i="7"/>
  <c r="R19" i="7" s="1"/>
  <c r="Q43" i="7"/>
  <c r="R43" i="7" s="1"/>
  <c r="Q67" i="7"/>
  <c r="R67" i="7" s="1"/>
  <c r="Q91" i="7"/>
  <c r="R91" i="7" s="1"/>
  <c r="Q115" i="7"/>
  <c r="R115" i="7" s="1"/>
  <c r="Q139" i="7"/>
  <c r="R139" i="7" s="1"/>
  <c r="Q163" i="7"/>
  <c r="R163" i="7" s="1"/>
  <c r="Q187" i="7"/>
  <c r="R187" i="7" s="1"/>
  <c r="Q211" i="7"/>
  <c r="R211" i="7" s="1"/>
  <c r="Q235" i="7"/>
  <c r="R235" i="7" s="1"/>
  <c r="Q259" i="7"/>
  <c r="R259" i="7" s="1"/>
  <c r="Q283" i="7"/>
  <c r="R283" i="7" s="1"/>
  <c r="Q307" i="7"/>
  <c r="R307" i="7" s="1"/>
  <c r="Q331" i="7"/>
  <c r="R331" i="7" s="1"/>
  <c r="Q26" i="7"/>
  <c r="R26" i="7" s="1"/>
  <c r="Q50" i="7"/>
  <c r="R50" i="7" s="1"/>
  <c r="Q74" i="7"/>
  <c r="R74" i="7" s="1"/>
  <c r="Q98" i="7"/>
  <c r="R98" i="7" s="1"/>
  <c r="Q122" i="7"/>
  <c r="R122" i="7" s="1"/>
  <c r="Q146" i="7"/>
  <c r="R146" i="7" s="1"/>
  <c r="Q170" i="7"/>
  <c r="R170" i="7" s="1"/>
  <c r="Q194" i="7"/>
  <c r="R194" i="7" s="1"/>
  <c r="Q218" i="7"/>
  <c r="R218" i="7" s="1"/>
  <c r="Q242" i="7"/>
  <c r="R242" i="7" s="1"/>
  <c r="Q266" i="7"/>
  <c r="R266" i="7" s="1"/>
  <c r="Q290" i="7"/>
  <c r="R290" i="7" s="1"/>
  <c r="Q314" i="7"/>
  <c r="R314" i="7" s="1"/>
  <c r="Q3" i="7"/>
  <c r="R3" i="7" s="1"/>
  <c r="Q27" i="7"/>
  <c r="R27" i="7" s="1"/>
  <c r="Q51" i="7"/>
  <c r="R51" i="7" s="1"/>
  <c r="Q75" i="7"/>
  <c r="R75" i="7" s="1"/>
  <c r="Q99" i="7"/>
  <c r="R99" i="7" s="1"/>
  <c r="Q123" i="7"/>
  <c r="R123" i="7" s="1"/>
  <c r="Q147" i="7"/>
  <c r="R147" i="7" s="1"/>
  <c r="Q171" i="7"/>
  <c r="R171" i="7" s="1"/>
  <c r="Q195" i="7"/>
  <c r="R195" i="7" s="1"/>
  <c r="Q219" i="7"/>
  <c r="R219" i="7" s="1"/>
  <c r="Q243" i="7"/>
  <c r="R243" i="7" s="1"/>
  <c r="Q267" i="7"/>
  <c r="R267" i="7" s="1"/>
  <c r="Q291" i="7"/>
  <c r="R291" i="7" s="1"/>
  <c r="Q315" i="7"/>
  <c r="R315" i="7" s="1"/>
  <c r="Q7" i="7"/>
  <c r="R7" i="7" s="1"/>
  <c r="Q31" i="7"/>
  <c r="R31" i="7" s="1"/>
  <c r="Q55" i="7"/>
  <c r="R55" i="7" s="1"/>
  <c r="Q79" i="7"/>
  <c r="R79" i="7" s="1"/>
  <c r="Q103" i="7"/>
  <c r="R103" i="7" s="1"/>
  <c r="Q127" i="7"/>
  <c r="R127" i="7" s="1"/>
  <c r="Q151" i="7"/>
  <c r="R151" i="7" s="1"/>
  <c r="Q175" i="7"/>
  <c r="R175" i="7" s="1"/>
  <c r="Q199" i="7"/>
  <c r="R199" i="7" s="1"/>
  <c r="Q223" i="7"/>
  <c r="R223" i="7" s="1"/>
  <c r="Q247" i="7"/>
  <c r="R247" i="7" s="1"/>
  <c r="Q271" i="7"/>
  <c r="R271" i="7" s="1"/>
  <c r="Q295" i="7"/>
  <c r="R295" i="7" s="1"/>
  <c r="Q319" i="7"/>
  <c r="R319" i="7" s="1"/>
  <c r="Q14" i="7"/>
  <c r="R14" i="7" s="1"/>
  <c r="Q38" i="7"/>
  <c r="R38" i="7" s="1"/>
  <c r="Q62" i="7"/>
  <c r="R62" i="7" s="1"/>
  <c r="Q86" i="7"/>
  <c r="R86" i="7" s="1"/>
  <c r="Q110" i="7"/>
  <c r="R110" i="7" s="1"/>
  <c r="Q134" i="7"/>
  <c r="R134" i="7" s="1"/>
  <c r="Q158" i="7"/>
  <c r="R158" i="7" s="1"/>
  <c r="Q182" i="7"/>
  <c r="R182" i="7" s="1"/>
  <c r="Q206" i="7"/>
  <c r="R206" i="7" s="1"/>
  <c r="Q230" i="7"/>
  <c r="R230" i="7" s="1"/>
  <c r="Q254" i="7"/>
  <c r="R254" i="7" s="1"/>
  <c r="Q278" i="7"/>
  <c r="R278" i="7" s="1"/>
  <c r="Q302" i="7"/>
  <c r="R302" i="7" s="1"/>
  <c r="Q326" i="7"/>
  <c r="R326" i="7" s="1"/>
  <c r="Q15" i="7"/>
  <c r="R15" i="7" s="1"/>
  <c r="Q39" i="7"/>
  <c r="R39" i="7" s="1"/>
  <c r="Q63" i="7"/>
  <c r="R63" i="7" s="1"/>
  <c r="Q87" i="7"/>
  <c r="R87" i="7" s="1"/>
  <c r="Q111" i="7"/>
  <c r="R111" i="7" s="1"/>
  <c r="Q135" i="7"/>
  <c r="R135" i="7" s="1"/>
  <c r="Q159" i="7"/>
  <c r="R159" i="7" s="1"/>
  <c r="Q183" i="7"/>
  <c r="R183" i="7" s="1"/>
  <c r="Q207" i="7"/>
  <c r="R207" i="7" s="1"/>
  <c r="Q231" i="7"/>
  <c r="R231" i="7" s="1"/>
  <c r="Q255" i="7"/>
  <c r="R255" i="7" s="1"/>
  <c r="Q279" i="7"/>
  <c r="R279" i="7" s="1"/>
  <c r="Q303" i="7"/>
  <c r="R303" i="7" s="1"/>
  <c r="Q327" i="7"/>
  <c r="R327" i="7" s="1"/>
  <c r="F158" i="21"/>
  <c r="F181" i="14"/>
  <c r="R293" i="8"/>
  <c r="U293" i="8" s="1"/>
  <c r="R107" i="8"/>
  <c r="U107" i="8" s="1"/>
  <c r="R207" i="8"/>
  <c r="U207" i="8" s="1"/>
  <c r="U167" i="8"/>
  <c r="U195" i="8"/>
  <c r="R105" i="8"/>
  <c r="F69" i="21" s="1"/>
  <c r="R143" i="8"/>
  <c r="U143" i="8" s="1"/>
  <c r="R91" i="8"/>
  <c r="U91" i="8" s="1"/>
  <c r="R79" i="8"/>
  <c r="U79" i="8" s="1"/>
  <c r="R144" i="8"/>
  <c r="R296" i="8"/>
  <c r="U296" i="8" s="1"/>
  <c r="R23" i="8"/>
  <c r="U23" i="8" s="1"/>
  <c r="R277" i="8"/>
  <c r="U277" i="8" s="1"/>
  <c r="R7" i="8"/>
  <c r="F6" i="21" s="1"/>
  <c r="R25" i="8"/>
  <c r="R39" i="8"/>
  <c r="F29" i="21" s="1"/>
  <c r="R89" i="8"/>
  <c r="U89" i="8" s="1"/>
  <c r="R230" i="8"/>
  <c r="U230" i="8" s="1"/>
  <c r="R233" i="8"/>
  <c r="U233" i="8" s="1"/>
  <c r="R33" i="8"/>
  <c r="U33" i="8" s="1"/>
  <c r="U138" i="8"/>
  <c r="F88" i="21"/>
  <c r="H1438" i="25"/>
  <c r="K117" i="24" s="1"/>
  <c r="L117" i="24" s="1"/>
  <c r="N117" i="24" s="1"/>
  <c r="M115" i="8"/>
  <c r="I115" i="8"/>
  <c r="F75" i="14" s="1"/>
  <c r="J115" i="8"/>
  <c r="Q115" i="8"/>
  <c r="L115" i="8"/>
  <c r="N115" i="8"/>
  <c r="Y115" i="8"/>
  <c r="P115" i="8"/>
  <c r="O115" i="8"/>
  <c r="K115" i="8"/>
  <c r="H1475" i="25"/>
  <c r="K154" i="24" s="1"/>
  <c r="L154" i="24" s="1"/>
  <c r="N154" i="24" s="1"/>
  <c r="Y152" i="8"/>
  <c r="O152" i="8"/>
  <c r="K152" i="8"/>
  <c r="I152" i="8"/>
  <c r="L152" i="8"/>
  <c r="N152" i="8"/>
  <c r="P152" i="8"/>
  <c r="Q152" i="8"/>
  <c r="M152" i="8"/>
  <c r="J152" i="8"/>
  <c r="H1407" i="25"/>
  <c r="K86" i="24" s="1"/>
  <c r="L86" i="24" s="1"/>
  <c r="N86" i="24" s="1"/>
  <c r="Y84" i="8"/>
  <c r="L84" i="8"/>
  <c r="I84" i="8"/>
  <c r="F55" i="14" s="1"/>
  <c r="J84" i="8"/>
  <c r="P84" i="8"/>
  <c r="O84" i="8"/>
  <c r="K84" i="8"/>
  <c r="Q84" i="8"/>
  <c r="M84" i="8"/>
  <c r="N84" i="8"/>
  <c r="H1454" i="25"/>
  <c r="K133" i="24" s="1"/>
  <c r="L133" i="24" s="1"/>
  <c r="N133" i="24" s="1"/>
  <c r="Y131" i="8"/>
  <c r="M131" i="8"/>
  <c r="Q131" i="8"/>
  <c r="N131" i="8"/>
  <c r="L131" i="8"/>
  <c r="K131" i="8"/>
  <c r="P131" i="8"/>
  <c r="I131" i="8"/>
  <c r="O131" i="8"/>
  <c r="J131" i="8"/>
  <c r="H1601" i="25"/>
  <c r="K280" i="24" s="1"/>
  <c r="L280" i="24" s="1"/>
  <c r="N280" i="24" s="1"/>
  <c r="M278" i="8"/>
  <c r="Q278" i="8"/>
  <c r="K278" i="8"/>
  <c r="N278" i="8"/>
  <c r="I278" i="8"/>
  <c r="F170" i="14" s="1"/>
  <c r="J278" i="8"/>
  <c r="L278" i="8"/>
  <c r="P278" i="8"/>
  <c r="O278" i="8"/>
  <c r="Y278" i="8"/>
  <c r="I254" i="8"/>
  <c r="P254" i="8"/>
  <c r="O254" i="8"/>
  <c r="J254" i="8"/>
  <c r="K254" i="8"/>
  <c r="H1577" i="25"/>
  <c r="K256" i="24" s="1"/>
  <c r="L256" i="24" s="1"/>
  <c r="N256" i="24" s="1"/>
  <c r="Q254" i="8"/>
  <c r="L254" i="8"/>
  <c r="N254" i="8"/>
  <c r="M254" i="8"/>
  <c r="Y254" i="8"/>
  <c r="H1355" i="25"/>
  <c r="K34" i="24" s="1"/>
  <c r="L34" i="24" s="1"/>
  <c r="N34" i="24" s="1"/>
  <c r="Y32" i="8"/>
  <c r="N32" i="8"/>
  <c r="K32" i="8"/>
  <c r="M32" i="8"/>
  <c r="J32" i="8"/>
  <c r="L32" i="8"/>
  <c r="Q32" i="8"/>
  <c r="O32" i="8"/>
  <c r="P32" i="8"/>
  <c r="I32" i="8"/>
  <c r="H1517" i="25"/>
  <c r="K196" i="24" s="1"/>
  <c r="L196" i="24" s="1"/>
  <c r="N196" i="24" s="1"/>
  <c r="J194" i="8"/>
  <c r="Q194" i="8"/>
  <c r="K194" i="8"/>
  <c r="M194" i="8"/>
  <c r="P194" i="8"/>
  <c r="O194" i="8"/>
  <c r="L194" i="8"/>
  <c r="N194" i="8"/>
  <c r="I194" i="8"/>
  <c r="Y194" i="8"/>
  <c r="H1484" i="25"/>
  <c r="K163" i="24" s="1"/>
  <c r="L163" i="24" s="1"/>
  <c r="N163" i="24" s="1"/>
  <c r="Q161" i="8"/>
  <c r="N161" i="8"/>
  <c r="O161" i="8"/>
  <c r="K161" i="8"/>
  <c r="M161" i="8"/>
  <c r="L161" i="8"/>
  <c r="Y161" i="8"/>
  <c r="P161" i="8"/>
  <c r="I161" i="8"/>
  <c r="J161" i="8"/>
  <c r="F2" i="14"/>
  <c r="R3" i="8"/>
  <c r="F40" i="14"/>
  <c r="R58" i="8"/>
  <c r="R60" i="8"/>
  <c r="U60" i="8" s="1"/>
  <c r="F60" i="14"/>
  <c r="R96" i="8"/>
  <c r="L123" i="24"/>
  <c r="K391" i="24"/>
  <c r="K166" i="8"/>
  <c r="O166" i="8"/>
  <c r="Q166" i="8"/>
  <c r="P166" i="8"/>
  <c r="H1489" i="25"/>
  <c r="K168" i="24" s="1"/>
  <c r="L168" i="24" s="1"/>
  <c r="N168" i="24" s="1"/>
  <c r="I166" i="8"/>
  <c r="Y166" i="8"/>
  <c r="J166" i="8"/>
  <c r="L166" i="8"/>
  <c r="M166" i="8"/>
  <c r="N166" i="8"/>
  <c r="H1541" i="25"/>
  <c r="K220" i="24" s="1"/>
  <c r="L220" i="24" s="1"/>
  <c r="N220" i="24" s="1"/>
  <c r="Y218" i="8"/>
  <c r="O218" i="8"/>
  <c r="M218" i="8"/>
  <c r="Q218" i="8"/>
  <c r="P218" i="8"/>
  <c r="N218" i="8"/>
  <c r="K218" i="8"/>
  <c r="J218" i="8"/>
  <c r="L218" i="8"/>
  <c r="I218" i="8"/>
  <c r="L225" i="24"/>
  <c r="K400" i="24"/>
  <c r="R243" i="8"/>
  <c r="U243" i="8" s="1"/>
  <c r="R279" i="8"/>
  <c r="U279" i="8" s="1"/>
  <c r="H1509" i="25"/>
  <c r="K188" i="24" s="1"/>
  <c r="L188" i="24" s="1"/>
  <c r="N188" i="24" s="1"/>
  <c r="Y186" i="8"/>
  <c r="O186" i="8"/>
  <c r="I186" i="8"/>
  <c r="J186" i="8"/>
  <c r="N186" i="8"/>
  <c r="L186" i="8"/>
  <c r="M186" i="8"/>
  <c r="Q186" i="8"/>
  <c r="P186" i="8"/>
  <c r="K186" i="8"/>
  <c r="Q307" i="8"/>
  <c r="N307" i="8"/>
  <c r="H1630" i="25"/>
  <c r="K309" i="24" s="1"/>
  <c r="L309" i="24" s="1"/>
  <c r="N309" i="24" s="1"/>
  <c r="Y307" i="8"/>
  <c r="M307" i="8"/>
  <c r="K307" i="8"/>
  <c r="I307" i="8"/>
  <c r="J307" i="8"/>
  <c r="O307" i="8"/>
  <c r="L307" i="8"/>
  <c r="P307" i="8"/>
  <c r="H1334" i="25"/>
  <c r="K13" i="24" s="1"/>
  <c r="L13" i="24" s="1"/>
  <c r="N13" i="24" s="1"/>
  <c r="Y11" i="8"/>
  <c r="M11" i="8"/>
  <c r="N11" i="8"/>
  <c r="Q11" i="8"/>
  <c r="J11" i="8"/>
  <c r="I11" i="8"/>
  <c r="P11" i="8"/>
  <c r="K11" i="8"/>
  <c r="O11" i="8"/>
  <c r="L11" i="8"/>
  <c r="P311" i="8"/>
  <c r="H1634" i="25"/>
  <c r="K313" i="24" s="1"/>
  <c r="L313" i="24" s="1"/>
  <c r="N313" i="24" s="1"/>
  <c r="K311" i="8"/>
  <c r="Y311" i="8"/>
  <c r="N311" i="8"/>
  <c r="O311" i="8"/>
  <c r="L311" i="8"/>
  <c r="Q311" i="8"/>
  <c r="I311" i="8"/>
  <c r="M311" i="8"/>
  <c r="J311" i="8"/>
  <c r="H1411" i="25"/>
  <c r="K90" i="24" s="1"/>
  <c r="L90" i="24" s="1"/>
  <c r="N90" i="24" s="1"/>
  <c r="Y88" i="8"/>
  <c r="Q88" i="8"/>
  <c r="N88" i="8"/>
  <c r="I88" i="8"/>
  <c r="J88" i="8"/>
  <c r="P88" i="8"/>
  <c r="M88" i="8"/>
  <c r="L88" i="8"/>
  <c r="K88" i="8"/>
  <c r="O88" i="8"/>
  <c r="N82" i="8"/>
  <c r="H1405" i="25"/>
  <c r="K84" i="24" s="1"/>
  <c r="L84" i="24" s="1"/>
  <c r="N84" i="24" s="1"/>
  <c r="P82" i="8"/>
  <c r="K82" i="8"/>
  <c r="Y82" i="8"/>
  <c r="O82" i="8"/>
  <c r="I82" i="8"/>
  <c r="M82" i="8"/>
  <c r="L82" i="8"/>
  <c r="Q82" i="8"/>
  <c r="J82" i="8"/>
  <c r="F121" i="14"/>
  <c r="R204" i="8"/>
  <c r="M262" i="8"/>
  <c r="N262" i="8"/>
  <c r="J262" i="8"/>
  <c r="P262" i="8"/>
  <c r="I262" i="8"/>
  <c r="K262" i="8"/>
  <c r="H1585" i="25"/>
  <c r="K264" i="24" s="1"/>
  <c r="L264" i="24" s="1"/>
  <c r="N264" i="24" s="1"/>
  <c r="O262" i="8"/>
  <c r="L262" i="8"/>
  <c r="Y262" i="8"/>
  <c r="Q262" i="8"/>
  <c r="R190" i="8"/>
  <c r="U190" i="8" s="1"/>
  <c r="H1586" i="25"/>
  <c r="K265" i="24" s="1"/>
  <c r="L265" i="24" s="1"/>
  <c r="N265" i="24" s="1"/>
  <c r="Y263" i="8"/>
  <c r="J263" i="8"/>
  <c r="M263" i="8"/>
  <c r="N263" i="8"/>
  <c r="I263" i="8"/>
  <c r="K263" i="8"/>
  <c r="P263" i="8"/>
  <c r="O263" i="8"/>
  <c r="Q263" i="8"/>
  <c r="L263" i="8"/>
  <c r="H1559" i="25"/>
  <c r="K238" i="24" s="1"/>
  <c r="L238" i="24" s="1"/>
  <c r="N238" i="24" s="1"/>
  <c r="M236" i="8"/>
  <c r="K236" i="8"/>
  <c r="I236" i="8"/>
  <c r="J236" i="8"/>
  <c r="O236" i="8"/>
  <c r="P236" i="8"/>
  <c r="Q236" i="8"/>
  <c r="L236" i="8"/>
  <c r="N236" i="8"/>
  <c r="Y236" i="8"/>
  <c r="M213" i="8"/>
  <c r="K213" i="8"/>
  <c r="H1536" i="25"/>
  <c r="K215" i="24" s="1"/>
  <c r="L215" i="24" s="1"/>
  <c r="N215" i="24" s="1"/>
  <c r="O213" i="8"/>
  <c r="J213" i="8"/>
  <c r="I213" i="8"/>
  <c r="N213" i="8"/>
  <c r="Y213" i="8"/>
  <c r="Q213" i="8"/>
  <c r="P213" i="8"/>
  <c r="L213" i="8"/>
  <c r="Y160" i="8"/>
  <c r="H1483" i="25"/>
  <c r="K162" i="24" s="1"/>
  <c r="L162" i="24" s="1"/>
  <c r="N162" i="24" s="1"/>
  <c r="J160" i="8"/>
  <c r="Q160" i="8"/>
  <c r="N160" i="8"/>
  <c r="L160" i="8"/>
  <c r="M160" i="8"/>
  <c r="K160" i="8"/>
  <c r="O160" i="8"/>
  <c r="I160" i="8"/>
  <c r="P160" i="8"/>
  <c r="H1418" i="25"/>
  <c r="K97" i="24" s="1"/>
  <c r="L97" i="24" s="1"/>
  <c r="N97" i="24" s="1"/>
  <c r="Y95" i="8"/>
  <c r="Q95" i="8"/>
  <c r="P95" i="8"/>
  <c r="K95" i="8"/>
  <c r="N95" i="8"/>
  <c r="L95" i="8"/>
  <c r="O95" i="8"/>
  <c r="I95" i="8"/>
  <c r="M95" i="8"/>
  <c r="J95" i="8"/>
  <c r="R65" i="8"/>
  <c r="M133" i="8"/>
  <c r="O133" i="8"/>
  <c r="I133" i="8"/>
  <c r="K133" i="8"/>
  <c r="H1456" i="25"/>
  <c r="K135" i="24" s="1"/>
  <c r="L135" i="24" s="1"/>
  <c r="N135" i="24" s="1"/>
  <c r="P133" i="8"/>
  <c r="N133" i="8"/>
  <c r="J133" i="8"/>
  <c r="L133" i="8"/>
  <c r="Q133" i="8"/>
  <c r="Y133" i="8"/>
  <c r="Q64" i="8"/>
  <c r="N64" i="8"/>
  <c r="I64" i="8"/>
  <c r="J64" i="8"/>
  <c r="M64" i="8"/>
  <c r="Y64" i="8"/>
  <c r="L64" i="8"/>
  <c r="K64" i="8"/>
  <c r="P64" i="8"/>
  <c r="O64" i="8"/>
  <c r="H1387" i="25"/>
  <c r="K66" i="24" s="1"/>
  <c r="L66" i="24" s="1"/>
  <c r="N66" i="24" s="1"/>
  <c r="J297" i="8"/>
  <c r="I297" i="8"/>
  <c r="L297" i="8"/>
  <c r="Q297" i="8"/>
  <c r="H1620" i="25"/>
  <c r="K299" i="24" s="1"/>
  <c r="L299" i="24" s="1"/>
  <c r="N299" i="24" s="1"/>
  <c r="M297" i="8"/>
  <c r="P297" i="8"/>
  <c r="K297" i="8"/>
  <c r="O297" i="8"/>
  <c r="N297" i="8"/>
  <c r="Y297" i="8"/>
  <c r="Q175" i="8"/>
  <c r="L175" i="8"/>
  <c r="H1498" i="25"/>
  <c r="K177" i="24" s="1"/>
  <c r="L177" i="24" s="1"/>
  <c r="N177" i="24" s="1"/>
  <c r="P175" i="8"/>
  <c r="O175" i="8"/>
  <c r="N175" i="8"/>
  <c r="J175" i="8"/>
  <c r="Y175" i="8"/>
  <c r="K175" i="8"/>
  <c r="M175" i="8"/>
  <c r="I175" i="8"/>
  <c r="J106" i="8"/>
  <c r="Q106" i="8"/>
  <c r="H1429" i="25"/>
  <c r="K108" i="24" s="1"/>
  <c r="L108" i="24" s="1"/>
  <c r="N108" i="24" s="1"/>
  <c r="O106" i="8"/>
  <c r="N106" i="8"/>
  <c r="I106" i="8"/>
  <c r="L106" i="8"/>
  <c r="M106" i="8"/>
  <c r="K106" i="8"/>
  <c r="P106" i="8"/>
  <c r="Y106" i="8"/>
  <c r="H1590" i="25"/>
  <c r="K269" i="24" s="1"/>
  <c r="L269" i="24" s="1"/>
  <c r="N269" i="24" s="1"/>
  <c r="K267" i="8"/>
  <c r="L267" i="8"/>
  <c r="O267" i="8"/>
  <c r="M267" i="8"/>
  <c r="I267" i="8"/>
  <c r="J267" i="8"/>
  <c r="N267" i="8"/>
  <c r="Q267" i="8"/>
  <c r="P267" i="8"/>
  <c r="Y267" i="8"/>
  <c r="R57" i="8"/>
  <c r="U57" i="8" s="1"/>
  <c r="R93" i="8"/>
  <c r="U93" i="8" s="1"/>
  <c r="L237" i="24"/>
  <c r="K396" i="24"/>
  <c r="R80" i="8"/>
  <c r="U80" i="8" s="1"/>
  <c r="R99" i="8"/>
  <c r="R92" i="8"/>
  <c r="U92" i="8" s="1"/>
  <c r="F83" i="14"/>
  <c r="R128" i="8"/>
  <c r="Y112" i="8"/>
  <c r="H1435" i="25"/>
  <c r="K114" i="24" s="1"/>
  <c r="L114" i="24" s="1"/>
  <c r="N114" i="24" s="1"/>
  <c r="Q112" i="8"/>
  <c r="L112" i="8"/>
  <c r="O112" i="8"/>
  <c r="M112" i="8"/>
  <c r="J112" i="8"/>
  <c r="P112" i="8"/>
  <c r="K112" i="8"/>
  <c r="N112" i="8"/>
  <c r="I112" i="8"/>
  <c r="H1622" i="25"/>
  <c r="K301" i="24" s="1"/>
  <c r="L301" i="24" s="1"/>
  <c r="N301" i="24" s="1"/>
  <c r="O299" i="8"/>
  <c r="J299" i="8"/>
  <c r="N299" i="8"/>
  <c r="L299" i="8"/>
  <c r="I299" i="8"/>
  <c r="M299" i="8"/>
  <c r="Y299" i="8"/>
  <c r="P299" i="8"/>
  <c r="Q299" i="8"/>
  <c r="K299" i="8"/>
  <c r="R244" i="8"/>
  <c r="U244" i="8" s="1"/>
  <c r="I287" i="8"/>
  <c r="O287" i="8"/>
  <c r="H1610" i="25"/>
  <c r="K289" i="24" s="1"/>
  <c r="L289" i="24" s="1"/>
  <c r="N289" i="24" s="1"/>
  <c r="Y287" i="8"/>
  <c r="N287" i="8"/>
  <c r="P287" i="8"/>
  <c r="L287" i="8"/>
  <c r="M287" i="8"/>
  <c r="J287" i="8"/>
  <c r="K287" i="8"/>
  <c r="Q287" i="8"/>
  <c r="F63" i="14"/>
  <c r="F73" i="14"/>
  <c r="R113" i="8"/>
  <c r="H1591" i="25"/>
  <c r="K270" i="24" s="1"/>
  <c r="L270" i="24" s="1"/>
  <c r="N270" i="24" s="1"/>
  <c r="N268" i="8"/>
  <c r="J268" i="8"/>
  <c r="L268" i="8"/>
  <c r="P268" i="8"/>
  <c r="I268" i="8"/>
  <c r="O268" i="8"/>
  <c r="M268" i="8"/>
  <c r="Y268" i="8"/>
  <c r="K268" i="8"/>
  <c r="Q268" i="8"/>
  <c r="F13" i="14"/>
  <c r="R14" i="8"/>
  <c r="Y86" i="8"/>
  <c r="N86" i="8"/>
  <c r="I86" i="8"/>
  <c r="M86" i="8"/>
  <c r="O86" i="8"/>
  <c r="H1409" i="25"/>
  <c r="K88" i="24" s="1"/>
  <c r="L88" i="24" s="1"/>
  <c r="N88" i="24" s="1"/>
  <c r="P86" i="8"/>
  <c r="L86" i="8"/>
  <c r="Q86" i="8"/>
  <c r="K86" i="8"/>
  <c r="J86" i="8"/>
  <c r="O193" i="8"/>
  <c r="H1516" i="25"/>
  <c r="K195" i="24" s="1"/>
  <c r="L195" i="24" s="1"/>
  <c r="N195" i="24" s="1"/>
  <c r="L193" i="8"/>
  <c r="Q193" i="8"/>
  <c r="J193" i="8"/>
  <c r="Y193" i="8"/>
  <c r="N193" i="8"/>
  <c r="K193" i="8"/>
  <c r="I193" i="8"/>
  <c r="P193" i="8"/>
  <c r="M193" i="8"/>
  <c r="L142" i="24"/>
  <c r="K401" i="24"/>
  <c r="F70" i="14"/>
  <c r="R108" i="8"/>
  <c r="K165" i="8"/>
  <c r="H1488" i="25"/>
  <c r="K167" i="24" s="1"/>
  <c r="Q165" i="8"/>
  <c r="J165" i="8"/>
  <c r="M165" i="8"/>
  <c r="I165" i="8"/>
  <c r="Y165" i="8"/>
  <c r="P165" i="8"/>
  <c r="O165" i="8"/>
  <c r="L165" i="8"/>
  <c r="N165" i="8"/>
  <c r="H1437" i="25"/>
  <c r="K116" i="24" s="1"/>
  <c r="L116" i="24" s="1"/>
  <c r="N116" i="24" s="1"/>
  <c r="L114" i="8"/>
  <c r="K114" i="8"/>
  <c r="Y114" i="8"/>
  <c r="Q114" i="8"/>
  <c r="J114" i="8"/>
  <c r="M114" i="8"/>
  <c r="O114" i="8"/>
  <c r="P114" i="8"/>
  <c r="N114" i="8"/>
  <c r="I114" i="8"/>
  <c r="K398" i="24"/>
  <c r="L257" i="24"/>
  <c r="R192" i="8"/>
  <c r="Y271" i="8"/>
  <c r="H1594" i="25"/>
  <c r="K273" i="24" s="1"/>
  <c r="L273" i="24" s="1"/>
  <c r="N273" i="24" s="1"/>
  <c r="P271" i="8"/>
  <c r="M271" i="8"/>
  <c r="N271" i="8"/>
  <c r="Q271" i="8"/>
  <c r="K271" i="8"/>
  <c r="L271" i="8"/>
  <c r="O271" i="8"/>
  <c r="I271" i="8"/>
  <c r="J271" i="8"/>
  <c r="H1569" i="25"/>
  <c r="K248" i="24" s="1"/>
  <c r="J246" i="8"/>
  <c r="Q246" i="8"/>
  <c r="L246" i="8"/>
  <c r="M246" i="8"/>
  <c r="I246" i="8"/>
  <c r="O246" i="8"/>
  <c r="P246" i="8"/>
  <c r="N246" i="8"/>
  <c r="K246" i="8"/>
  <c r="Y246" i="8"/>
  <c r="H1544" i="25"/>
  <c r="K223" i="24" s="1"/>
  <c r="L223" i="24" s="1"/>
  <c r="N223" i="24" s="1"/>
  <c r="P221" i="8"/>
  <c r="Q221" i="8"/>
  <c r="L221" i="8"/>
  <c r="J221" i="8"/>
  <c r="Y221" i="8"/>
  <c r="N221" i="8"/>
  <c r="I221" i="8"/>
  <c r="M221" i="8"/>
  <c r="O221" i="8"/>
  <c r="K221" i="8"/>
  <c r="H1519" i="25"/>
  <c r="K198" i="24" s="1"/>
  <c r="L198" i="24" s="1"/>
  <c r="N198" i="24" s="1"/>
  <c r="Y196" i="8"/>
  <c r="M196" i="8"/>
  <c r="N196" i="8"/>
  <c r="Q196" i="8"/>
  <c r="I196" i="8"/>
  <c r="L196" i="8"/>
  <c r="O196" i="8"/>
  <c r="P196" i="8"/>
  <c r="J196" i="8"/>
  <c r="K196" i="8"/>
  <c r="Q199" i="8"/>
  <c r="H1522" i="25"/>
  <c r="K201" i="24" s="1"/>
  <c r="L201" i="24" s="1"/>
  <c r="N201" i="24" s="1"/>
  <c r="N199" i="8"/>
  <c r="L199" i="8"/>
  <c r="I199" i="8"/>
  <c r="Y199" i="8"/>
  <c r="M199" i="8"/>
  <c r="O199" i="8"/>
  <c r="K199" i="8"/>
  <c r="P199" i="8"/>
  <c r="J199" i="8"/>
  <c r="H1349" i="25"/>
  <c r="K28" i="24" s="1"/>
  <c r="L28" i="24" s="1"/>
  <c r="N28" i="24" s="1"/>
  <c r="Y26" i="8"/>
  <c r="O26" i="8"/>
  <c r="L26" i="8"/>
  <c r="J26" i="8"/>
  <c r="Q26" i="8"/>
  <c r="K26" i="8"/>
  <c r="I26" i="8"/>
  <c r="F22" i="14" s="1"/>
  <c r="N26" i="8"/>
  <c r="M26" i="8"/>
  <c r="P26" i="8"/>
  <c r="N171" i="8"/>
  <c r="Q171" i="8"/>
  <c r="M171" i="8"/>
  <c r="Y171" i="8"/>
  <c r="H1494" i="25"/>
  <c r="K173" i="24" s="1"/>
  <c r="L173" i="24" s="1"/>
  <c r="N173" i="24" s="1"/>
  <c r="I171" i="8"/>
  <c r="K171" i="8"/>
  <c r="O171" i="8"/>
  <c r="P171" i="8"/>
  <c r="L171" i="8"/>
  <c r="J171" i="8"/>
  <c r="I156" i="8"/>
  <c r="Y156" i="8"/>
  <c r="N156" i="8"/>
  <c r="J156" i="8"/>
  <c r="H1479" i="25"/>
  <c r="K158" i="24" s="1"/>
  <c r="L158" i="24" s="1"/>
  <c r="N158" i="24" s="1"/>
  <c r="L156" i="8"/>
  <c r="K156" i="8"/>
  <c r="P156" i="8"/>
  <c r="Q156" i="8"/>
  <c r="M156" i="8"/>
  <c r="O156" i="8"/>
  <c r="H1410" i="25"/>
  <c r="K89" i="24" s="1"/>
  <c r="L89" i="24" s="1"/>
  <c r="N89" i="24" s="1"/>
  <c r="Y87" i="8"/>
  <c r="M87" i="8"/>
  <c r="L87" i="8"/>
  <c r="N87" i="8"/>
  <c r="K87" i="8"/>
  <c r="P87" i="8"/>
  <c r="I87" i="8"/>
  <c r="Q87" i="8"/>
  <c r="J87" i="8"/>
  <c r="O87" i="8"/>
  <c r="H1377" i="25"/>
  <c r="K56" i="24" s="1"/>
  <c r="Y54" i="8"/>
  <c r="K54" i="8"/>
  <c r="Q54" i="8"/>
  <c r="M54" i="8"/>
  <c r="I54" i="8"/>
  <c r="J54" i="8"/>
  <c r="N54" i="8"/>
  <c r="L54" i="8"/>
  <c r="P54" i="8"/>
  <c r="O54" i="8"/>
  <c r="H1491" i="25"/>
  <c r="K170" i="24" s="1"/>
  <c r="L170" i="24" s="1"/>
  <c r="N170" i="24" s="1"/>
  <c r="Y168" i="8"/>
  <c r="Q168" i="8"/>
  <c r="K168" i="8"/>
  <c r="J168" i="8"/>
  <c r="P168" i="8"/>
  <c r="N168" i="8"/>
  <c r="I168" i="8"/>
  <c r="F100" i="14" s="1"/>
  <c r="O168" i="8"/>
  <c r="L168" i="8"/>
  <c r="M168" i="8"/>
  <c r="F130" i="14"/>
  <c r="R214" i="8"/>
  <c r="F130" i="21" s="1"/>
  <c r="K344" i="24"/>
  <c r="L172" i="24"/>
  <c r="R154" i="8"/>
  <c r="U154" i="8" s="1"/>
  <c r="F21" i="21"/>
  <c r="R227" i="8"/>
  <c r="F139" i="21" s="1"/>
  <c r="H1533" i="25"/>
  <c r="K212" i="24" s="1"/>
  <c r="L212" i="24" s="1"/>
  <c r="N212" i="24" s="1"/>
  <c r="Y210" i="8"/>
  <c r="N210" i="8"/>
  <c r="P210" i="8"/>
  <c r="O210" i="8"/>
  <c r="M210" i="8"/>
  <c r="K210" i="8"/>
  <c r="J210" i="8"/>
  <c r="L210" i="8"/>
  <c r="Q210" i="8"/>
  <c r="I210" i="8"/>
  <c r="H1492" i="25"/>
  <c r="K171" i="24" s="1"/>
  <c r="L171" i="24" s="1"/>
  <c r="N171" i="24" s="1"/>
  <c r="I169" i="8"/>
  <c r="Q169" i="8"/>
  <c r="L169" i="8"/>
  <c r="J169" i="8"/>
  <c r="P169" i="8"/>
  <c r="N169" i="8"/>
  <c r="M169" i="8"/>
  <c r="Y169" i="8"/>
  <c r="O169" i="8"/>
  <c r="K169" i="8"/>
  <c r="H1511" i="25"/>
  <c r="K190" i="24" s="1"/>
  <c r="L190" i="24" s="1"/>
  <c r="N190" i="24" s="1"/>
  <c r="Y188" i="8"/>
  <c r="L188" i="8"/>
  <c r="N188" i="8"/>
  <c r="Q188" i="8"/>
  <c r="K188" i="8"/>
  <c r="M188" i="8"/>
  <c r="O188" i="8"/>
  <c r="J188" i="8"/>
  <c r="I188" i="8"/>
  <c r="P188" i="8"/>
  <c r="Y12" i="8"/>
  <c r="I12" i="8"/>
  <c r="M12" i="8"/>
  <c r="Q12" i="8"/>
  <c r="K12" i="8"/>
  <c r="H1335" i="25"/>
  <c r="K14" i="24" s="1"/>
  <c r="L14" i="24" s="1"/>
  <c r="N14" i="24" s="1"/>
  <c r="P12" i="8"/>
  <c r="L12" i="8"/>
  <c r="O12" i="8"/>
  <c r="J12" i="8"/>
  <c r="N12" i="8"/>
  <c r="H1548" i="25"/>
  <c r="K227" i="24" s="1"/>
  <c r="L227" i="24" s="1"/>
  <c r="N227" i="24" s="1"/>
  <c r="M225" i="8"/>
  <c r="J225" i="8"/>
  <c r="P225" i="8"/>
  <c r="N225" i="8"/>
  <c r="O225" i="8"/>
  <c r="L225" i="8"/>
  <c r="K225" i="8"/>
  <c r="Y225" i="8"/>
  <c r="I225" i="8"/>
  <c r="Q225" i="8"/>
  <c r="N215" i="8"/>
  <c r="Y215" i="8"/>
  <c r="H1538" i="25"/>
  <c r="K217" i="24" s="1"/>
  <c r="L217" i="24" s="1"/>
  <c r="N217" i="24" s="1"/>
  <c r="J215" i="8"/>
  <c r="K215" i="8"/>
  <c r="O215" i="8"/>
  <c r="M215" i="8"/>
  <c r="Q215" i="8"/>
  <c r="I215" i="8"/>
  <c r="P215" i="8"/>
  <c r="L215" i="8"/>
  <c r="H1442" i="25"/>
  <c r="K121" i="24" s="1"/>
  <c r="L121" i="24" s="1"/>
  <c r="N121" i="24" s="1"/>
  <c r="Y119" i="8"/>
  <c r="N119" i="8"/>
  <c r="M119" i="8"/>
  <c r="P119" i="8"/>
  <c r="O119" i="8"/>
  <c r="K119" i="8"/>
  <c r="I119" i="8"/>
  <c r="J119" i="8"/>
  <c r="L119" i="8"/>
  <c r="Q119" i="8"/>
  <c r="R206" i="8"/>
  <c r="R132" i="8"/>
  <c r="F84" i="21" s="1"/>
  <c r="F84" i="14"/>
  <c r="K226" i="8"/>
  <c r="Q226" i="8"/>
  <c r="J226" i="8"/>
  <c r="O226" i="8"/>
  <c r="I226" i="8"/>
  <c r="M226" i="8"/>
  <c r="H1549" i="25"/>
  <c r="K228" i="24" s="1"/>
  <c r="L228" i="24" s="1"/>
  <c r="N228" i="24" s="1"/>
  <c r="N226" i="8"/>
  <c r="L226" i="8"/>
  <c r="Y226" i="8"/>
  <c r="P226" i="8"/>
  <c r="M68" i="8"/>
  <c r="J68" i="8"/>
  <c r="H1391" i="25"/>
  <c r="K70" i="24" s="1"/>
  <c r="L70" i="24" s="1"/>
  <c r="N70" i="24" s="1"/>
  <c r="N68" i="8"/>
  <c r="I68" i="8"/>
  <c r="O68" i="8"/>
  <c r="L68" i="8"/>
  <c r="Y68" i="8"/>
  <c r="P68" i="8"/>
  <c r="K68" i="8"/>
  <c r="Q68" i="8"/>
  <c r="Y123" i="8"/>
  <c r="H1446" i="25"/>
  <c r="K125" i="24" s="1"/>
  <c r="L125" i="24" s="1"/>
  <c r="N125" i="24" s="1"/>
  <c r="M123" i="8"/>
  <c r="I123" i="8"/>
  <c r="Q123" i="8"/>
  <c r="L123" i="8"/>
  <c r="J123" i="8"/>
  <c r="N123" i="8"/>
  <c r="O123" i="8"/>
  <c r="P123" i="8"/>
  <c r="K123" i="8"/>
  <c r="N141" i="8"/>
  <c r="H1464" i="25"/>
  <c r="K143" i="24" s="1"/>
  <c r="L143" i="24" s="1"/>
  <c r="N143" i="24" s="1"/>
  <c r="L141" i="8"/>
  <c r="P141" i="8"/>
  <c r="I141" i="8"/>
  <c r="O141" i="8"/>
  <c r="K141" i="8"/>
  <c r="M141" i="8"/>
  <c r="Y141" i="8"/>
  <c r="Q141" i="8"/>
  <c r="J141" i="8"/>
  <c r="H1413" i="25"/>
  <c r="K92" i="24" s="1"/>
  <c r="L92" i="24" s="1"/>
  <c r="N92" i="24" s="1"/>
  <c r="Y90" i="8"/>
  <c r="P90" i="8"/>
  <c r="J90" i="8"/>
  <c r="M90" i="8"/>
  <c r="Q90" i="8"/>
  <c r="I90" i="8"/>
  <c r="N90" i="8"/>
  <c r="K90" i="8"/>
  <c r="O90" i="8"/>
  <c r="L90" i="8"/>
  <c r="Q197" i="8"/>
  <c r="O197" i="8"/>
  <c r="L197" i="8"/>
  <c r="K197" i="8"/>
  <c r="J197" i="8"/>
  <c r="M197" i="8"/>
  <c r="N197" i="8"/>
  <c r="P197" i="8"/>
  <c r="H1520" i="25"/>
  <c r="K199" i="24" s="1"/>
  <c r="L199" i="24" s="1"/>
  <c r="N199" i="24" s="1"/>
  <c r="Y197" i="8"/>
  <c r="I197" i="8"/>
  <c r="H1372" i="25"/>
  <c r="K51" i="24" s="1"/>
  <c r="L51" i="24" s="1"/>
  <c r="N51" i="24" s="1"/>
  <c r="M49" i="8"/>
  <c r="O49" i="8"/>
  <c r="Y49" i="8"/>
  <c r="N49" i="8"/>
  <c r="P49" i="8"/>
  <c r="I49" i="8"/>
  <c r="L49" i="8"/>
  <c r="K49" i="8"/>
  <c r="J49" i="8"/>
  <c r="Q49" i="8"/>
  <c r="N220" i="8"/>
  <c r="Y220" i="8"/>
  <c r="L220" i="8"/>
  <c r="J220" i="8"/>
  <c r="Q220" i="8"/>
  <c r="O220" i="8"/>
  <c r="M220" i="8"/>
  <c r="H1543" i="25"/>
  <c r="K222" i="24" s="1"/>
  <c r="L222" i="24" s="1"/>
  <c r="N222" i="24" s="1"/>
  <c r="K220" i="8"/>
  <c r="P220" i="8"/>
  <c r="I220" i="8"/>
  <c r="R41" i="8"/>
  <c r="U41" i="8" s="1"/>
  <c r="R212" i="8"/>
  <c r="U212" i="8" s="1"/>
  <c r="F196" i="14"/>
  <c r="R318" i="8"/>
  <c r="F196" i="21" s="1"/>
  <c r="L4" i="24"/>
  <c r="K336" i="24"/>
  <c r="F49" i="14"/>
  <c r="R74" i="8"/>
  <c r="F49" i="21" s="1"/>
  <c r="R40" i="8"/>
  <c r="R67" i="8"/>
  <c r="U67" i="8" s="1"/>
  <c r="R27" i="8"/>
  <c r="F23" i="21" s="1"/>
  <c r="F23" i="14"/>
  <c r="R146" i="8"/>
  <c r="U146" i="8" s="1"/>
  <c r="F189" i="14"/>
  <c r="R309" i="8"/>
  <c r="R178" i="8"/>
  <c r="U178" i="8" s="1"/>
  <c r="R153" i="8"/>
  <c r="U153" i="8" s="1"/>
  <c r="R137" i="8"/>
  <c r="U137" i="8" s="1"/>
  <c r="R209" i="8"/>
  <c r="R314" i="8"/>
  <c r="U314" i="8" s="1"/>
  <c r="H1524" i="25"/>
  <c r="K203" i="24" s="1"/>
  <c r="L203" i="24" s="1"/>
  <c r="N203" i="24" s="1"/>
  <c r="M201" i="8"/>
  <c r="Q201" i="8"/>
  <c r="K201" i="8"/>
  <c r="J201" i="8"/>
  <c r="P201" i="8"/>
  <c r="O201" i="8"/>
  <c r="I201" i="8"/>
  <c r="N201" i="8"/>
  <c r="L201" i="8"/>
  <c r="Y201" i="8"/>
  <c r="O228" i="8"/>
  <c r="L228" i="8"/>
  <c r="I228" i="8"/>
  <c r="H1551" i="25"/>
  <c r="K230" i="24" s="1"/>
  <c r="K228" i="8"/>
  <c r="M228" i="8"/>
  <c r="N228" i="8"/>
  <c r="P228" i="8"/>
  <c r="Q228" i="8"/>
  <c r="J228" i="8"/>
  <c r="Y228" i="8"/>
  <c r="H1528" i="25"/>
  <c r="K207" i="24" s="1"/>
  <c r="L207" i="24" s="1"/>
  <c r="N207" i="24" s="1"/>
  <c r="K205" i="8"/>
  <c r="I205" i="8"/>
  <c r="P205" i="8"/>
  <c r="Y205" i="8"/>
  <c r="N205" i="8"/>
  <c r="M205" i="8"/>
  <c r="L205" i="8"/>
  <c r="Q205" i="8"/>
  <c r="O205" i="8"/>
  <c r="J205" i="8"/>
  <c r="H1448" i="25"/>
  <c r="K127" i="24" s="1"/>
  <c r="L127" i="24" s="1"/>
  <c r="N127" i="24" s="1"/>
  <c r="Q125" i="8"/>
  <c r="I125" i="8"/>
  <c r="L125" i="8"/>
  <c r="P125" i="8"/>
  <c r="M125" i="8"/>
  <c r="N125" i="8"/>
  <c r="K125" i="8"/>
  <c r="Y125" i="8"/>
  <c r="J125" i="8"/>
  <c r="O125" i="8"/>
  <c r="F47" i="14"/>
  <c r="R72" i="8"/>
  <c r="R285" i="8"/>
  <c r="U285" i="8" s="1"/>
  <c r="R256" i="8"/>
  <c r="U256" i="8" s="1"/>
  <c r="R310" i="8"/>
  <c r="U310" i="8" s="1"/>
  <c r="H1472" i="25"/>
  <c r="K151" i="24" s="1"/>
  <c r="L151" i="24" s="1"/>
  <c r="N151" i="24" s="1"/>
  <c r="P149" i="8"/>
  <c r="O149" i="8"/>
  <c r="K149" i="8"/>
  <c r="M149" i="8"/>
  <c r="N149" i="8"/>
  <c r="I149" i="8"/>
  <c r="J149" i="8"/>
  <c r="L149" i="8"/>
  <c r="Q149" i="8"/>
  <c r="Y149" i="8"/>
  <c r="K351" i="24"/>
  <c r="L322" i="24"/>
  <c r="F135" i="14"/>
  <c r="R222" i="8"/>
  <c r="F120" i="14"/>
  <c r="H1565" i="25"/>
  <c r="K244" i="24" s="1"/>
  <c r="L244" i="24" s="1"/>
  <c r="N244" i="24" s="1"/>
  <c r="K242" i="8"/>
  <c r="M242" i="8"/>
  <c r="N242" i="8"/>
  <c r="Q242" i="8"/>
  <c r="P242" i="8"/>
  <c r="J242" i="8"/>
  <c r="I242" i="8"/>
  <c r="Y242" i="8"/>
  <c r="L242" i="8"/>
  <c r="O242" i="8"/>
  <c r="Y35" i="8"/>
  <c r="H1358" i="25"/>
  <c r="K37" i="24" s="1"/>
  <c r="L37" i="24" s="1"/>
  <c r="N37" i="24" s="1"/>
  <c r="L35" i="8"/>
  <c r="J35" i="8"/>
  <c r="I35" i="8"/>
  <c r="O35" i="8"/>
  <c r="M35" i="8"/>
  <c r="K35" i="8"/>
  <c r="Q35" i="8"/>
  <c r="P35" i="8"/>
  <c r="N35" i="8"/>
  <c r="I317" i="8"/>
  <c r="N317" i="8"/>
  <c r="P317" i="8"/>
  <c r="L317" i="8"/>
  <c r="O317" i="8"/>
  <c r="H1640" i="25"/>
  <c r="K319" i="24" s="1"/>
  <c r="L319" i="24" s="1"/>
  <c r="N319" i="24" s="1"/>
  <c r="Q317" i="8"/>
  <c r="Y317" i="8"/>
  <c r="K317" i="8"/>
  <c r="M317" i="8"/>
  <c r="J317" i="8"/>
  <c r="J290" i="8"/>
  <c r="K290" i="8"/>
  <c r="H1613" i="25"/>
  <c r="K292" i="24" s="1"/>
  <c r="L292" i="24" s="1"/>
  <c r="N292" i="24" s="1"/>
  <c r="N290" i="8"/>
  <c r="O290" i="8"/>
  <c r="M290" i="8"/>
  <c r="P290" i="8"/>
  <c r="L290" i="8"/>
  <c r="Q290" i="8"/>
  <c r="I290" i="8"/>
  <c r="Y290" i="8"/>
  <c r="H1588" i="25"/>
  <c r="K267" i="24" s="1"/>
  <c r="L267" i="24" s="1"/>
  <c r="N267" i="24" s="1"/>
  <c r="O265" i="8"/>
  <c r="P265" i="8"/>
  <c r="L265" i="8"/>
  <c r="Q265" i="8"/>
  <c r="J265" i="8"/>
  <c r="M265" i="8"/>
  <c r="Y265" i="8"/>
  <c r="I265" i="8"/>
  <c r="K265" i="8"/>
  <c r="N265" i="8"/>
  <c r="H1563" i="25"/>
  <c r="K242" i="24" s="1"/>
  <c r="L242" i="24" s="1"/>
  <c r="N242" i="24" s="1"/>
  <c r="L240" i="8"/>
  <c r="I240" i="8"/>
  <c r="J240" i="8"/>
  <c r="K240" i="8"/>
  <c r="Q240" i="8"/>
  <c r="M240" i="8"/>
  <c r="N240" i="8"/>
  <c r="O240" i="8"/>
  <c r="P240" i="8"/>
  <c r="Y240" i="8"/>
  <c r="H1564" i="25"/>
  <c r="K243" i="24" s="1"/>
  <c r="L243" i="24" s="1"/>
  <c r="N243" i="24" s="1"/>
  <c r="Q241" i="8"/>
  <c r="M241" i="8"/>
  <c r="Y241" i="8"/>
  <c r="L241" i="8"/>
  <c r="K241" i="8"/>
  <c r="J241" i="8"/>
  <c r="I241" i="8"/>
  <c r="N241" i="8"/>
  <c r="P241" i="8"/>
  <c r="O241" i="8"/>
  <c r="F30" i="14"/>
  <c r="H1593" i="25"/>
  <c r="K272" i="24" s="1"/>
  <c r="L272" i="24" s="1"/>
  <c r="N272" i="24" s="1"/>
  <c r="N270" i="8"/>
  <c r="O270" i="8"/>
  <c r="K270" i="8"/>
  <c r="I270" i="8"/>
  <c r="L270" i="8"/>
  <c r="Q270" i="8"/>
  <c r="P270" i="8"/>
  <c r="M270" i="8"/>
  <c r="J270" i="8"/>
  <c r="Y270" i="8"/>
  <c r="R115" i="8"/>
  <c r="U115" i="8" s="1"/>
  <c r="H1368" i="25"/>
  <c r="K47" i="24" s="1"/>
  <c r="L47" i="24" s="1"/>
  <c r="N47" i="24" s="1"/>
  <c r="Q45" i="8"/>
  <c r="N45" i="8"/>
  <c r="Y45" i="8"/>
  <c r="I45" i="8"/>
  <c r="K45" i="8"/>
  <c r="L45" i="8"/>
  <c r="O45" i="8"/>
  <c r="M45" i="8"/>
  <c r="J45" i="8"/>
  <c r="P45" i="8"/>
  <c r="H1514" i="25"/>
  <c r="K193" i="24" s="1"/>
  <c r="L193" i="24" s="1"/>
  <c r="N193" i="24" s="1"/>
  <c r="Q191" i="8"/>
  <c r="K191" i="8"/>
  <c r="I191" i="8"/>
  <c r="F114" i="14" s="1"/>
  <c r="L191" i="8"/>
  <c r="M191" i="8"/>
  <c r="J191" i="8"/>
  <c r="O191" i="8"/>
  <c r="P191" i="8"/>
  <c r="Y191" i="8"/>
  <c r="N191" i="8"/>
  <c r="H1366" i="25"/>
  <c r="K45" i="24" s="1"/>
  <c r="L45" i="24" s="1"/>
  <c r="N45" i="24" s="1"/>
  <c r="Y43" i="8"/>
  <c r="Q43" i="8"/>
  <c r="I43" i="8"/>
  <c r="M43" i="8"/>
  <c r="K43" i="8"/>
  <c r="L43" i="8"/>
  <c r="N43" i="8"/>
  <c r="P43" i="8"/>
  <c r="O43" i="8"/>
  <c r="J43" i="8"/>
  <c r="F174" i="21"/>
  <c r="R18" i="8"/>
  <c r="F15" i="14"/>
  <c r="R295" i="8"/>
  <c r="U295" i="8" s="1"/>
  <c r="K234" i="8"/>
  <c r="L234" i="8"/>
  <c r="Q234" i="8"/>
  <c r="J234" i="8"/>
  <c r="M234" i="8"/>
  <c r="P234" i="8"/>
  <c r="O234" i="8"/>
  <c r="N234" i="8"/>
  <c r="I234" i="8"/>
  <c r="Y234" i="8"/>
  <c r="H1557" i="25"/>
  <c r="K236" i="24" s="1"/>
  <c r="L236" i="24" s="1"/>
  <c r="N236" i="24" s="1"/>
  <c r="H1629" i="25"/>
  <c r="K308" i="24" s="1"/>
  <c r="Y306" i="8"/>
  <c r="J306" i="8"/>
  <c r="M306" i="8"/>
  <c r="Q306" i="8"/>
  <c r="L306" i="8"/>
  <c r="I306" i="8"/>
  <c r="N306" i="8"/>
  <c r="O306" i="8"/>
  <c r="P306" i="8"/>
  <c r="K306" i="8"/>
  <c r="H1385" i="25"/>
  <c r="K64" i="24" s="1"/>
  <c r="L64" i="24" s="1"/>
  <c r="N64" i="24" s="1"/>
  <c r="Y62" i="8"/>
  <c r="M62" i="8"/>
  <c r="I62" i="8"/>
  <c r="N62" i="8"/>
  <c r="L62" i="8"/>
  <c r="Q62" i="8"/>
  <c r="J62" i="8"/>
  <c r="K62" i="8"/>
  <c r="P62" i="8"/>
  <c r="O62" i="8"/>
  <c r="I81" i="8"/>
  <c r="M81" i="8"/>
  <c r="L81" i="8"/>
  <c r="Q81" i="8"/>
  <c r="K81" i="8"/>
  <c r="N81" i="8"/>
  <c r="Y81" i="8"/>
  <c r="H1404" i="25"/>
  <c r="K83" i="24" s="1"/>
  <c r="L83" i="24" s="1"/>
  <c r="N83" i="24" s="1"/>
  <c r="P81" i="8"/>
  <c r="O81" i="8"/>
  <c r="J81" i="8"/>
  <c r="H1423" i="25"/>
  <c r="K102" i="24" s="1"/>
  <c r="L102" i="24" s="1"/>
  <c r="N102" i="24" s="1"/>
  <c r="Y100" i="8"/>
  <c r="L100" i="8"/>
  <c r="N100" i="8"/>
  <c r="J100" i="8"/>
  <c r="M100" i="8"/>
  <c r="O100" i="8"/>
  <c r="K100" i="8"/>
  <c r="Q100" i="8"/>
  <c r="P100" i="8"/>
  <c r="I100" i="8"/>
  <c r="H1443" i="25"/>
  <c r="K122" i="24" s="1"/>
  <c r="L122" i="24" s="1"/>
  <c r="N122" i="24" s="1"/>
  <c r="I120" i="8"/>
  <c r="L120" i="8"/>
  <c r="Y120" i="8"/>
  <c r="M120" i="8"/>
  <c r="J120" i="8"/>
  <c r="P120" i="8"/>
  <c r="K120" i="8"/>
  <c r="Q120" i="8"/>
  <c r="O120" i="8"/>
  <c r="N120" i="8"/>
  <c r="H1360" i="25"/>
  <c r="K39" i="24" s="1"/>
  <c r="L39" i="24" s="1"/>
  <c r="N39" i="24" s="1"/>
  <c r="Y37" i="8"/>
  <c r="L37" i="8"/>
  <c r="P37" i="8"/>
  <c r="M37" i="8"/>
  <c r="K37" i="8"/>
  <c r="Q37" i="8"/>
  <c r="O37" i="8"/>
  <c r="I37" i="8"/>
  <c r="N37" i="8"/>
  <c r="J37" i="8"/>
  <c r="Y101" i="8"/>
  <c r="H1424" i="25"/>
  <c r="K103" i="24" s="1"/>
  <c r="N101" i="8"/>
  <c r="L101" i="8"/>
  <c r="P101" i="8"/>
  <c r="M101" i="8"/>
  <c r="K101" i="8"/>
  <c r="Q101" i="8"/>
  <c r="J101" i="8"/>
  <c r="O101" i="8"/>
  <c r="I101" i="8"/>
  <c r="F188" i="14"/>
  <c r="R308" i="8"/>
  <c r="F188" i="21" s="1"/>
  <c r="L15" i="8"/>
  <c r="P15" i="8"/>
  <c r="H1338" i="25"/>
  <c r="K17" i="24" s="1"/>
  <c r="L17" i="24" s="1"/>
  <c r="N17" i="24" s="1"/>
  <c r="Q15" i="8"/>
  <c r="K15" i="8"/>
  <c r="J15" i="8"/>
  <c r="I15" i="8"/>
  <c r="Y15" i="8"/>
  <c r="N15" i="8"/>
  <c r="M15" i="8"/>
  <c r="O15" i="8"/>
  <c r="Y34" i="8"/>
  <c r="H1357" i="25"/>
  <c r="K36" i="24" s="1"/>
  <c r="O34" i="8"/>
  <c r="P34" i="8"/>
  <c r="M34" i="8"/>
  <c r="L34" i="8"/>
  <c r="J34" i="8"/>
  <c r="Q34" i="8"/>
  <c r="K34" i="8"/>
  <c r="I34" i="8"/>
  <c r="F26" i="14" s="1"/>
  <c r="N34" i="8"/>
  <c r="U7" i="8"/>
  <c r="U25" i="8"/>
  <c r="F21" i="14"/>
  <c r="R106" i="8"/>
  <c r="U106" i="8" s="1"/>
  <c r="R194" i="8"/>
  <c r="U194" i="8" s="1"/>
  <c r="F141" i="14"/>
  <c r="R229" i="8"/>
  <c r="R110" i="8"/>
  <c r="R324" i="8"/>
  <c r="U324" i="8" s="1"/>
  <c r="L288" i="8"/>
  <c r="O288" i="8"/>
  <c r="M288" i="8"/>
  <c r="J288" i="8"/>
  <c r="N288" i="8"/>
  <c r="K288" i="8"/>
  <c r="H1611" i="25"/>
  <c r="K290" i="24" s="1"/>
  <c r="L290" i="24" s="1"/>
  <c r="N290" i="24" s="1"/>
  <c r="Y288" i="8"/>
  <c r="I288" i="8"/>
  <c r="Q288" i="8"/>
  <c r="P288" i="8"/>
  <c r="F145" i="14"/>
  <c r="R239" i="8"/>
  <c r="R150" i="8"/>
  <c r="F91" i="14"/>
  <c r="F7" i="14"/>
  <c r="R8" i="8"/>
  <c r="R63" i="8"/>
  <c r="U63" i="8" s="1"/>
  <c r="F9" i="14"/>
  <c r="R10" i="8"/>
  <c r="F9" i="21" s="1"/>
  <c r="F39" i="14"/>
  <c r="R56" i="8"/>
  <c r="F17" i="14"/>
  <c r="M77" i="8"/>
  <c r="H1400" i="25"/>
  <c r="K79" i="24" s="1"/>
  <c r="L79" i="24" s="1"/>
  <c r="N79" i="24" s="1"/>
  <c r="N77" i="8"/>
  <c r="Q77" i="8"/>
  <c r="Y77" i="8"/>
  <c r="P77" i="8"/>
  <c r="K77" i="8"/>
  <c r="J77" i="8"/>
  <c r="O77" i="8"/>
  <c r="I77" i="8"/>
  <c r="L77" i="8"/>
  <c r="R127" i="8"/>
  <c r="U127" i="8" s="1"/>
  <c r="H1523" i="25"/>
  <c r="K202" i="24" s="1"/>
  <c r="L202" i="24" s="1"/>
  <c r="N202" i="24" s="1"/>
  <c r="Y200" i="8"/>
  <c r="N200" i="8"/>
  <c r="I200" i="8"/>
  <c r="L200" i="8"/>
  <c r="P200" i="8"/>
  <c r="O200" i="8"/>
  <c r="M200" i="8"/>
  <c r="K200" i="8"/>
  <c r="Q200" i="8"/>
  <c r="J200" i="8"/>
  <c r="F16" i="14"/>
  <c r="R19" i="8"/>
  <c r="R176" i="8"/>
  <c r="U176" i="8" s="1"/>
  <c r="H1572" i="25"/>
  <c r="K251" i="24" s="1"/>
  <c r="I249" i="8"/>
  <c r="M249" i="8"/>
  <c r="K249" i="8"/>
  <c r="Y249" i="8"/>
  <c r="J249" i="8"/>
  <c r="P249" i="8"/>
  <c r="O249" i="8"/>
  <c r="N249" i="8"/>
  <c r="L249" i="8"/>
  <c r="Q249" i="8"/>
  <c r="Y6" i="8"/>
  <c r="H1329" i="25"/>
  <c r="K8" i="24" s="1"/>
  <c r="N6" i="8"/>
  <c r="P6" i="8"/>
  <c r="M6" i="8"/>
  <c r="K6" i="8"/>
  <c r="J6" i="8"/>
  <c r="Q6" i="8"/>
  <c r="L6" i="8"/>
  <c r="O6" i="8"/>
  <c r="I6" i="8"/>
  <c r="L339" i="7"/>
  <c r="K327" i="8"/>
  <c r="M327" i="8"/>
  <c r="Q327" i="8"/>
  <c r="O327" i="8"/>
  <c r="J327" i="8"/>
  <c r="N327" i="8"/>
  <c r="L327" i="8"/>
  <c r="P327" i="8"/>
  <c r="Y327" i="8"/>
  <c r="I327" i="8"/>
  <c r="F201" i="14" s="1"/>
  <c r="H1650" i="25"/>
  <c r="K329" i="24" s="1"/>
  <c r="L329" i="24" s="1"/>
  <c r="N329" i="24" s="1"/>
  <c r="F166" i="14"/>
  <c r="R269" i="8"/>
  <c r="F149" i="14"/>
  <c r="R245" i="8"/>
  <c r="H1649" i="25"/>
  <c r="K328" i="24" s="1"/>
  <c r="L328" i="24" s="1"/>
  <c r="N328" i="24" s="1"/>
  <c r="L326" i="8"/>
  <c r="N326" i="8"/>
  <c r="Q326" i="8"/>
  <c r="J326" i="8"/>
  <c r="K326" i="8"/>
  <c r="I326" i="8"/>
  <c r="O326" i="8"/>
  <c r="Y326" i="8"/>
  <c r="P326" i="8"/>
  <c r="M326" i="8"/>
  <c r="F29" i="14"/>
  <c r="R216" i="8"/>
  <c r="O71" i="8"/>
  <c r="Q71" i="8"/>
  <c r="P71" i="8"/>
  <c r="H1394" i="25"/>
  <c r="K73" i="24" s="1"/>
  <c r="L73" i="24" s="1"/>
  <c r="N73" i="24" s="1"/>
  <c r="J71" i="8"/>
  <c r="L71" i="8"/>
  <c r="M71" i="8"/>
  <c r="N71" i="8"/>
  <c r="Y71" i="8"/>
  <c r="I71" i="8"/>
  <c r="K71" i="8"/>
  <c r="Q325" i="8"/>
  <c r="O325" i="8"/>
  <c r="M325" i="8"/>
  <c r="L325" i="8"/>
  <c r="P325" i="8"/>
  <c r="H1648" i="25"/>
  <c r="K327" i="24" s="1"/>
  <c r="L327" i="24" s="1"/>
  <c r="N327" i="24" s="1"/>
  <c r="J325" i="8"/>
  <c r="Y325" i="8"/>
  <c r="I325" i="8"/>
  <c r="K325" i="8"/>
  <c r="N325" i="8"/>
  <c r="H1623" i="25"/>
  <c r="K302" i="24" s="1"/>
  <c r="L302" i="24" s="1"/>
  <c r="N302" i="24" s="1"/>
  <c r="Q300" i="8"/>
  <c r="K300" i="8"/>
  <c r="L300" i="8"/>
  <c r="O300" i="8"/>
  <c r="I300" i="8"/>
  <c r="J300" i="8"/>
  <c r="Y300" i="8"/>
  <c r="N300" i="8"/>
  <c r="P300" i="8"/>
  <c r="M300" i="8"/>
  <c r="H1598" i="25"/>
  <c r="K277" i="24" s="1"/>
  <c r="L277" i="24" s="1"/>
  <c r="N277" i="24" s="1"/>
  <c r="Y275" i="8"/>
  <c r="K275" i="8"/>
  <c r="Q275" i="8"/>
  <c r="M275" i="8"/>
  <c r="P275" i="8"/>
  <c r="I275" i="8"/>
  <c r="O275" i="8"/>
  <c r="N275" i="8"/>
  <c r="L275" i="8"/>
  <c r="J275" i="8"/>
  <c r="J248" i="8"/>
  <c r="P248" i="8"/>
  <c r="O248" i="8"/>
  <c r="L248" i="8"/>
  <c r="I248" i="8"/>
  <c r="H1571" i="25"/>
  <c r="K250" i="24" s="1"/>
  <c r="L250" i="24" s="1"/>
  <c r="N250" i="24" s="1"/>
  <c r="Y248" i="8"/>
  <c r="Q248" i="8"/>
  <c r="N248" i="8"/>
  <c r="M248" i="8"/>
  <c r="K248" i="8"/>
  <c r="H1574" i="25"/>
  <c r="K253" i="24" s="1"/>
  <c r="L253" i="24" s="1"/>
  <c r="N253" i="24" s="1"/>
  <c r="Y251" i="8"/>
  <c r="I251" i="8"/>
  <c r="M251" i="8"/>
  <c r="J251" i="8"/>
  <c r="Q251" i="8"/>
  <c r="L251" i="8"/>
  <c r="O251" i="8"/>
  <c r="K251" i="8"/>
  <c r="N251" i="8"/>
  <c r="P251" i="8"/>
  <c r="H1627" i="25"/>
  <c r="K306" i="24" s="1"/>
  <c r="L306" i="24" s="1"/>
  <c r="N306" i="24" s="1"/>
  <c r="Y304" i="8"/>
  <c r="P304" i="8"/>
  <c r="M304" i="8"/>
  <c r="O304" i="8"/>
  <c r="Q304" i="8"/>
  <c r="N304" i="8"/>
  <c r="K304" i="8"/>
  <c r="J304" i="8"/>
  <c r="I304" i="8"/>
  <c r="F185" i="14" s="1"/>
  <c r="L304" i="8"/>
  <c r="H1440" i="25"/>
  <c r="K119" i="24" s="1"/>
  <c r="L119" i="24" s="1"/>
  <c r="N119" i="24" s="1"/>
  <c r="Y117" i="8"/>
  <c r="Q117" i="8"/>
  <c r="M117" i="8"/>
  <c r="I117" i="8"/>
  <c r="O117" i="8"/>
  <c r="L117" i="8"/>
  <c r="K117" i="8"/>
  <c r="J117" i="8"/>
  <c r="P117" i="8"/>
  <c r="N117" i="8"/>
  <c r="H1351" i="25"/>
  <c r="K30" i="24" s="1"/>
  <c r="L30" i="24" s="1"/>
  <c r="N30" i="24" s="1"/>
  <c r="Y28" i="8"/>
  <c r="P28" i="8"/>
  <c r="N28" i="8"/>
  <c r="O28" i="8"/>
  <c r="Q28" i="8"/>
  <c r="L28" i="8"/>
  <c r="K28" i="8"/>
  <c r="M28" i="8"/>
  <c r="I28" i="8"/>
  <c r="J28" i="8"/>
  <c r="I155" i="8"/>
  <c r="F93" i="14" s="1"/>
  <c r="O155" i="8"/>
  <c r="J155" i="8"/>
  <c r="Y155" i="8"/>
  <c r="M155" i="8"/>
  <c r="H1478" i="25"/>
  <c r="K157" i="24" s="1"/>
  <c r="L157" i="24" s="1"/>
  <c r="N157" i="24" s="1"/>
  <c r="K155" i="8"/>
  <c r="N155" i="8"/>
  <c r="Q155" i="8"/>
  <c r="L155" i="8"/>
  <c r="P155" i="8"/>
  <c r="H1420" i="25"/>
  <c r="K99" i="24" s="1"/>
  <c r="L99" i="24" s="1"/>
  <c r="N99" i="24" s="1"/>
  <c r="M97" i="8"/>
  <c r="Y97" i="8"/>
  <c r="N97" i="8"/>
  <c r="J97" i="8"/>
  <c r="K97" i="8"/>
  <c r="I97" i="8"/>
  <c r="P97" i="8"/>
  <c r="O97" i="8"/>
  <c r="Q97" i="8"/>
  <c r="L97" i="8"/>
  <c r="R283" i="8"/>
  <c r="U283" i="8" s="1"/>
  <c r="R17" i="8"/>
  <c r="U17" i="8" s="1"/>
  <c r="R312" i="8"/>
  <c r="F191" i="21" s="1"/>
  <c r="F191" i="14"/>
  <c r="Y316" i="8"/>
  <c r="H1639" i="25"/>
  <c r="K318" i="24" s="1"/>
  <c r="L318" i="24" s="1"/>
  <c r="N318" i="24" s="1"/>
  <c r="P316" i="8"/>
  <c r="I316" i="8"/>
  <c r="F194" i="14" s="1"/>
  <c r="N316" i="8"/>
  <c r="Q316" i="8"/>
  <c r="M316" i="8"/>
  <c r="L316" i="8"/>
  <c r="O316" i="8"/>
  <c r="K316" i="8"/>
  <c r="J316" i="8"/>
  <c r="F68" i="14"/>
  <c r="R104" i="8"/>
  <c r="F68" i="21" s="1"/>
  <c r="N139" i="8"/>
  <c r="M139" i="8"/>
  <c r="L139" i="8"/>
  <c r="H1462" i="25"/>
  <c r="K141" i="24" s="1"/>
  <c r="L141" i="24" s="1"/>
  <c r="N141" i="24" s="1"/>
  <c r="Y139" i="8"/>
  <c r="K139" i="8"/>
  <c r="P139" i="8"/>
  <c r="J139" i="8"/>
  <c r="O139" i="8"/>
  <c r="Q139" i="8"/>
  <c r="I139" i="8"/>
  <c r="H1374" i="25"/>
  <c r="K53" i="24" s="1"/>
  <c r="L53" i="24" s="1"/>
  <c r="N53" i="24" s="1"/>
  <c r="Y51" i="8"/>
  <c r="K51" i="8"/>
  <c r="O51" i="8"/>
  <c r="Q51" i="8"/>
  <c r="P51" i="8"/>
  <c r="N51" i="8"/>
  <c r="L51" i="8"/>
  <c r="M51" i="8"/>
  <c r="I51" i="8"/>
  <c r="J51" i="8"/>
  <c r="Y158" i="8"/>
  <c r="J158" i="8"/>
  <c r="K158" i="8"/>
  <c r="H1481" i="25"/>
  <c r="K160" i="24" s="1"/>
  <c r="L160" i="24" s="1"/>
  <c r="N160" i="24" s="1"/>
  <c r="P158" i="8"/>
  <c r="L158" i="8"/>
  <c r="O158" i="8"/>
  <c r="N158" i="8"/>
  <c r="M158" i="8"/>
  <c r="Q158" i="8"/>
  <c r="I158" i="8"/>
  <c r="H1393" i="25"/>
  <c r="K72" i="24" s="1"/>
  <c r="L72" i="24" s="1"/>
  <c r="N72" i="24" s="1"/>
  <c r="Y70" i="8"/>
  <c r="P70" i="8"/>
  <c r="K70" i="8"/>
  <c r="M70" i="8"/>
  <c r="I70" i="8"/>
  <c r="J70" i="8"/>
  <c r="O70" i="8"/>
  <c r="L70" i="8"/>
  <c r="Q70" i="8"/>
  <c r="N70" i="8"/>
  <c r="H1500" i="25"/>
  <c r="K179" i="24" s="1"/>
  <c r="L179" i="24" s="1"/>
  <c r="N179" i="24" s="1"/>
  <c r="P177" i="8"/>
  <c r="Q177" i="8"/>
  <c r="K177" i="8"/>
  <c r="M177" i="8"/>
  <c r="N177" i="8"/>
  <c r="J177" i="8"/>
  <c r="L177" i="8"/>
  <c r="I177" i="8"/>
  <c r="F105" i="14" s="1"/>
  <c r="O177" i="8"/>
  <c r="Y177" i="8"/>
  <c r="Y126" i="8"/>
  <c r="H1449" i="25"/>
  <c r="K128" i="24" s="1"/>
  <c r="I126" i="8"/>
  <c r="F82" i="14" s="1"/>
  <c r="Q126" i="8"/>
  <c r="L126" i="8"/>
  <c r="N126" i="8"/>
  <c r="K126" i="8"/>
  <c r="J126" i="8"/>
  <c r="O126" i="8"/>
  <c r="P126" i="8"/>
  <c r="M126" i="8"/>
  <c r="H1554" i="25"/>
  <c r="K233" i="24" s="1"/>
  <c r="M231" i="8"/>
  <c r="O231" i="8"/>
  <c r="N231" i="8"/>
  <c r="J231" i="8"/>
  <c r="P231" i="8"/>
  <c r="I231" i="8"/>
  <c r="L231" i="8"/>
  <c r="K231" i="8"/>
  <c r="Y231" i="8"/>
  <c r="Q231" i="8"/>
  <c r="Y109" i="8"/>
  <c r="H1432" i="25"/>
  <c r="K111" i="24" s="1"/>
  <c r="L111" i="24" s="1"/>
  <c r="N111" i="24" s="1"/>
  <c r="K109" i="8"/>
  <c r="N109" i="8"/>
  <c r="I109" i="8"/>
  <c r="F71" i="14" s="1"/>
  <c r="M109" i="8"/>
  <c r="J109" i="8"/>
  <c r="O109" i="8"/>
  <c r="L109" i="8"/>
  <c r="P109" i="8"/>
  <c r="Q109" i="8"/>
  <c r="O280" i="8"/>
  <c r="I280" i="8"/>
  <c r="F171" i="14" s="1"/>
  <c r="H1603" i="25"/>
  <c r="K282" i="24" s="1"/>
  <c r="L282" i="24" s="1"/>
  <c r="N282" i="24" s="1"/>
  <c r="M280" i="8"/>
  <c r="K280" i="8"/>
  <c r="Q280" i="8"/>
  <c r="N280" i="8"/>
  <c r="L280" i="8"/>
  <c r="P280" i="8"/>
  <c r="J280" i="8"/>
  <c r="Y280" i="8"/>
  <c r="F179" i="14"/>
  <c r="R289" i="8"/>
  <c r="F179" i="21" s="1"/>
  <c r="R38" i="8"/>
  <c r="F28" i="14"/>
  <c r="R21" i="8"/>
  <c r="R4" i="8"/>
  <c r="F3" i="21" s="1"/>
  <c r="F3" i="14"/>
  <c r="L288" i="24"/>
  <c r="K346" i="24"/>
  <c r="K385" i="24"/>
  <c r="R20" i="8"/>
  <c r="U20" i="8" s="1"/>
  <c r="F18" i="14"/>
  <c r="R22" i="8"/>
  <c r="F18" i="21" s="1"/>
  <c r="K337" i="24"/>
  <c r="L60" i="24"/>
  <c r="R237" i="8"/>
  <c r="R272" i="8"/>
  <c r="U272" i="8" s="1"/>
  <c r="F77" i="14"/>
  <c r="R118" i="8"/>
  <c r="P315" i="8"/>
  <c r="N315" i="8"/>
  <c r="M315" i="8"/>
  <c r="L315" i="8"/>
  <c r="J315" i="8"/>
  <c r="Q315" i="8"/>
  <c r="I315" i="8"/>
  <c r="K315" i="8"/>
  <c r="O315" i="8"/>
  <c r="H1638" i="25"/>
  <c r="K317" i="24" s="1"/>
  <c r="L317" i="24" s="1"/>
  <c r="N317" i="24" s="1"/>
  <c r="Y315" i="8"/>
  <c r="Y253" i="8"/>
  <c r="K253" i="8"/>
  <c r="P253" i="8"/>
  <c r="I253" i="8"/>
  <c r="H1576" i="25"/>
  <c r="K255" i="24" s="1"/>
  <c r="L255" i="24" s="1"/>
  <c r="N255" i="24" s="1"/>
  <c r="N253" i="8"/>
  <c r="M253" i="8"/>
  <c r="L253" i="8"/>
  <c r="J253" i="8"/>
  <c r="Q253" i="8"/>
  <c r="O253" i="8"/>
  <c r="I282" i="8"/>
  <c r="H1605" i="25"/>
  <c r="K284" i="24" s="1"/>
  <c r="L284" i="24" s="1"/>
  <c r="N284" i="24" s="1"/>
  <c r="Q282" i="8"/>
  <c r="N282" i="8"/>
  <c r="L282" i="8"/>
  <c r="P282" i="8"/>
  <c r="K282" i="8"/>
  <c r="M282" i="8"/>
  <c r="J282" i="8"/>
  <c r="Y282" i="8"/>
  <c r="O282" i="8"/>
  <c r="H1580" i="25"/>
  <c r="K259" i="24" s="1"/>
  <c r="L259" i="24" s="1"/>
  <c r="N259" i="24" s="1"/>
  <c r="Y257" i="8"/>
  <c r="P257" i="8"/>
  <c r="L257" i="8"/>
  <c r="N257" i="8"/>
  <c r="Q257" i="8"/>
  <c r="I257" i="8"/>
  <c r="J257" i="8"/>
  <c r="K257" i="8"/>
  <c r="O257" i="8"/>
  <c r="M257" i="8"/>
  <c r="R59" i="8"/>
  <c r="U59" i="8" s="1"/>
  <c r="M305" i="8"/>
  <c r="L305" i="8"/>
  <c r="O305" i="8"/>
  <c r="P305" i="8"/>
  <c r="N305" i="8"/>
  <c r="J305" i="8"/>
  <c r="Q305" i="8"/>
  <c r="K305" i="8"/>
  <c r="H1628" i="25"/>
  <c r="K307" i="24" s="1"/>
  <c r="L307" i="24" s="1"/>
  <c r="N307" i="24" s="1"/>
  <c r="I305" i="8"/>
  <c r="Y305" i="8"/>
  <c r="R85" i="8"/>
  <c r="U85" i="8" s="1"/>
  <c r="R69" i="8"/>
  <c r="U69" i="8" s="1"/>
  <c r="R140" i="8"/>
  <c r="U140" i="8" s="1"/>
  <c r="H1375" i="25"/>
  <c r="K54" i="24" s="1"/>
  <c r="Y52" i="8"/>
  <c r="K52" i="8"/>
  <c r="N52" i="8"/>
  <c r="Q52" i="8"/>
  <c r="M52" i="8"/>
  <c r="L52" i="8"/>
  <c r="I52" i="8"/>
  <c r="O52" i="8"/>
  <c r="J52" i="8"/>
  <c r="P52" i="8"/>
  <c r="F125" i="14"/>
  <c r="R208" i="8"/>
  <c r="H1365" i="25"/>
  <c r="K44" i="24" s="1"/>
  <c r="Y42" i="8"/>
  <c r="N42" i="8"/>
  <c r="L42" i="8"/>
  <c r="M42" i="8"/>
  <c r="Q42" i="8"/>
  <c r="I42" i="8"/>
  <c r="K42" i="8"/>
  <c r="J42" i="8"/>
  <c r="O42" i="8"/>
  <c r="P42" i="8"/>
  <c r="L206" i="24"/>
  <c r="K349" i="24"/>
  <c r="K388" i="24"/>
  <c r="R173" i="8"/>
  <c r="U173" i="8" s="1"/>
  <c r="R124" i="8"/>
  <c r="K211" i="8"/>
  <c r="O211" i="8"/>
  <c r="I211" i="8"/>
  <c r="L211" i="8"/>
  <c r="N211" i="8"/>
  <c r="Q211" i="8"/>
  <c r="P211" i="8"/>
  <c r="M211" i="8"/>
  <c r="Y211" i="8"/>
  <c r="J211" i="8"/>
  <c r="H1534" i="25"/>
  <c r="K213" i="24" s="1"/>
  <c r="L213" i="24" s="1"/>
  <c r="N213" i="24" s="1"/>
  <c r="H1471" i="25"/>
  <c r="K150" i="24" s="1"/>
  <c r="L150" i="24" s="1"/>
  <c r="N150" i="24" s="1"/>
  <c r="Y148" i="8"/>
  <c r="I148" i="8"/>
  <c r="O148" i="8"/>
  <c r="Q148" i="8"/>
  <c r="K148" i="8"/>
  <c r="L148" i="8"/>
  <c r="M148" i="8"/>
  <c r="N148" i="8"/>
  <c r="P148" i="8"/>
  <c r="J148" i="8"/>
  <c r="H1370" i="25"/>
  <c r="K49" i="24" s="1"/>
  <c r="L49" i="24" s="1"/>
  <c r="N49" i="24" s="1"/>
  <c r="Y47" i="8"/>
  <c r="N47" i="8"/>
  <c r="M47" i="8"/>
  <c r="J47" i="8"/>
  <c r="I47" i="8"/>
  <c r="Q47" i="8"/>
  <c r="O47" i="8"/>
  <c r="K47" i="8"/>
  <c r="P47" i="8"/>
  <c r="L47" i="8"/>
  <c r="Q319" i="8"/>
  <c r="N319" i="8"/>
  <c r="J319" i="8"/>
  <c r="P319" i="8"/>
  <c r="I319" i="8"/>
  <c r="H1642" i="25"/>
  <c r="K321" i="24" s="1"/>
  <c r="L321" i="24" s="1"/>
  <c r="N321" i="24" s="1"/>
  <c r="K319" i="8"/>
  <c r="Y319" i="8"/>
  <c r="L319" i="8"/>
  <c r="M319" i="8"/>
  <c r="O319" i="8"/>
  <c r="H1617" i="25"/>
  <c r="K296" i="24" s="1"/>
  <c r="L296" i="24" s="1"/>
  <c r="N296" i="24" s="1"/>
  <c r="L294" i="8"/>
  <c r="M294" i="8"/>
  <c r="Q294" i="8"/>
  <c r="N294" i="8"/>
  <c r="K294" i="8"/>
  <c r="P294" i="8"/>
  <c r="Y294" i="8"/>
  <c r="O294" i="8"/>
  <c r="J294" i="8"/>
  <c r="I294" i="8"/>
  <c r="N313" i="8"/>
  <c r="P313" i="8"/>
  <c r="O313" i="8"/>
  <c r="Q313" i="8"/>
  <c r="Y313" i="8"/>
  <c r="J313" i="8"/>
  <c r="H1636" i="25"/>
  <c r="K315" i="24" s="1"/>
  <c r="L315" i="24" s="1"/>
  <c r="N315" i="24" s="1"/>
  <c r="L313" i="8"/>
  <c r="M313" i="8"/>
  <c r="K313" i="8"/>
  <c r="I313" i="8"/>
  <c r="R255" i="8"/>
  <c r="R223" i="8"/>
  <c r="Y31" i="8"/>
  <c r="H1354" i="25"/>
  <c r="K33" i="24" s="1"/>
  <c r="L33" i="24" s="1"/>
  <c r="N33" i="24" s="1"/>
  <c r="N31" i="8"/>
  <c r="J31" i="8"/>
  <c r="L31" i="8"/>
  <c r="O31" i="8"/>
  <c r="Q31" i="8"/>
  <c r="I31" i="8"/>
  <c r="K31" i="8"/>
  <c r="M31" i="8"/>
  <c r="P31" i="8"/>
  <c r="H1421" i="25"/>
  <c r="K100" i="24" s="1"/>
  <c r="L100" i="24" s="1"/>
  <c r="N100" i="24" s="1"/>
  <c r="K98" i="8"/>
  <c r="J98" i="8"/>
  <c r="P98" i="8"/>
  <c r="I98" i="8"/>
  <c r="L98" i="8"/>
  <c r="Q98" i="8"/>
  <c r="M98" i="8"/>
  <c r="Y98" i="8"/>
  <c r="N98" i="8"/>
  <c r="O98" i="8"/>
  <c r="H1332" i="25"/>
  <c r="K11" i="24" s="1"/>
  <c r="L11" i="24" s="1"/>
  <c r="N11" i="24" s="1"/>
  <c r="Y9" i="8"/>
  <c r="N9" i="8"/>
  <c r="I9" i="8"/>
  <c r="J9" i="8"/>
  <c r="M9" i="8"/>
  <c r="Q9" i="8"/>
  <c r="K9" i="8"/>
  <c r="P9" i="8"/>
  <c r="O9" i="8"/>
  <c r="L9" i="8"/>
  <c r="H1458" i="25"/>
  <c r="K137" i="24" s="1"/>
  <c r="L137" i="24" s="1"/>
  <c r="N137" i="24" s="1"/>
  <c r="N135" i="8"/>
  <c r="I135" i="8"/>
  <c r="L135" i="8"/>
  <c r="P135" i="8"/>
  <c r="O135" i="8"/>
  <c r="J135" i="8"/>
  <c r="Q135" i="8"/>
  <c r="Y135" i="8"/>
  <c r="K135" i="8"/>
  <c r="M135" i="8"/>
  <c r="H1371" i="25"/>
  <c r="K50" i="24" s="1"/>
  <c r="L50" i="24" s="1"/>
  <c r="N50" i="24" s="1"/>
  <c r="Y48" i="8"/>
  <c r="J48" i="8"/>
  <c r="P48" i="8"/>
  <c r="N48" i="8"/>
  <c r="I48" i="8"/>
  <c r="K48" i="8"/>
  <c r="Q48" i="8"/>
  <c r="O48" i="8"/>
  <c r="M48" i="8"/>
  <c r="L48" i="8"/>
  <c r="Y261" i="8"/>
  <c r="H1584" i="25"/>
  <c r="K263" i="24" s="1"/>
  <c r="L263" i="24" s="1"/>
  <c r="N263" i="24" s="1"/>
  <c r="L261" i="8"/>
  <c r="I261" i="8"/>
  <c r="F159" i="14" s="1"/>
  <c r="M261" i="8"/>
  <c r="O261" i="8"/>
  <c r="K261" i="8"/>
  <c r="N261" i="8"/>
  <c r="P261" i="8"/>
  <c r="Q261" i="8"/>
  <c r="J261" i="8"/>
  <c r="H1597" i="25"/>
  <c r="K276" i="24" s="1"/>
  <c r="L276" i="24" s="1"/>
  <c r="N276" i="24" s="1"/>
  <c r="O274" i="8"/>
  <c r="M274" i="8"/>
  <c r="Q274" i="8"/>
  <c r="Y274" i="8"/>
  <c r="J274" i="8"/>
  <c r="L274" i="8"/>
  <c r="K274" i="8"/>
  <c r="N274" i="8"/>
  <c r="P274" i="8"/>
  <c r="I274" i="8"/>
  <c r="N224" i="8"/>
  <c r="M224" i="8"/>
  <c r="O224" i="8"/>
  <c r="H1547" i="25"/>
  <c r="K226" i="24" s="1"/>
  <c r="P224" i="8"/>
  <c r="L224" i="8"/>
  <c r="K224" i="8"/>
  <c r="I224" i="8"/>
  <c r="J224" i="8"/>
  <c r="Y224" i="8"/>
  <c r="Q224" i="8"/>
  <c r="R281" i="8"/>
  <c r="F172" i="21" s="1"/>
  <c r="F172" i="14"/>
  <c r="R133" i="8"/>
  <c r="U133" i="8" s="1"/>
  <c r="R278" i="8"/>
  <c r="F170" i="21" s="1"/>
  <c r="R5" i="8"/>
  <c r="F4" i="21" s="1"/>
  <c r="F4" i="14"/>
  <c r="Y136" i="8"/>
  <c r="H1459" i="25"/>
  <c r="K138" i="24" s="1"/>
  <c r="L138" i="24" s="1"/>
  <c r="N138" i="24" s="1"/>
  <c r="Q136" i="8"/>
  <c r="I136" i="8"/>
  <c r="P136" i="8"/>
  <c r="N136" i="8"/>
  <c r="M136" i="8"/>
  <c r="L136" i="8"/>
  <c r="J136" i="8"/>
  <c r="K136" i="8"/>
  <c r="O136" i="8"/>
  <c r="R235" i="8"/>
  <c r="F143" i="21" s="1"/>
  <c r="F143" i="14"/>
  <c r="R53" i="8"/>
  <c r="F37" i="14"/>
  <c r="K342" i="24"/>
  <c r="L9" i="24"/>
  <c r="R55" i="8"/>
  <c r="F38" i="21" s="1"/>
  <c r="F97" i="14"/>
  <c r="R164" i="8"/>
  <c r="F97" i="21" s="1"/>
  <c r="R162" i="8"/>
  <c r="U162" i="8" s="1"/>
  <c r="R116" i="8"/>
  <c r="F76" i="21" s="1"/>
  <c r="F85" i="14"/>
  <c r="R134" i="8"/>
  <c r="F85" i="21" s="1"/>
  <c r="R198" i="8"/>
  <c r="U198" i="8" s="1"/>
  <c r="L77" i="24"/>
  <c r="K339" i="24"/>
  <c r="H1614" i="25"/>
  <c r="K293" i="24" s="1"/>
  <c r="I291" i="8"/>
  <c r="P291" i="8"/>
  <c r="M291" i="8"/>
  <c r="L291" i="8"/>
  <c r="J291" i="8"/>
  <c r="O291" i="8"/>
  <c r="Q291" i="8"/>
  <c r="K291" i="8"/>
  <c r="N291" i="8"/>
  <c r="Y291" i="8"/>
  <c r="H1596" i="25"/>
  <c r="K275" i="24" s="1"/>
  <c r="L275" i="24" s="1"/>
  <c r="N275" i="24" s="1"/>
  <c r="Y273" i="8"/>
  <c r="Q273" i="8"/>
  <c r="N273" i="8"/>
  <c r="M273" i="8"/>
  <c r="K273" i="8"/>
  <c r="J273" i="8"/>
  <c r="L273" i="8"/>
  <c r="P273" i="8"/>
  <c r="O273" i="8"/>
  <c r="I273" i="8"/>
  <c r="R121" i="8"/>
  <c r="U121" i="8" s="1"/>
  <c r="R172" i="8"/>
  <c r="U172" i="8" s="1"/>
  <c r="R247" i="8"/>
  <c r="R30" i="8"/>
  <c r="F25" i="21" s="1"/>
  <c r="F25" i="14"/>
  <c r="H1389" i="25"/>
  <c r="K68" i="24" s="1"/>
  <c r="L68" i="24" s="1"/>
  <c r="N68" i="24" s="1"/>
  <c r="Y66" i="8"/>
  <c r="L66" i="8"/>
  <c r="M66" i="8"/>
  <c r="O66" i="8"/>
  <c r="N66" i="8"/>
  <c r="K66" i="8"/>
  <c r="Q66" i="8"/>
  <c r="P66" i="8"/>
  <c r="J66" i="8"/>
  <c r="I66" i="8"/>
  <c r="F45" i="14" s="1"/>
  <c r="R298" i="8"/>
  <c r="U298" i="8" s="1"/>
  <c r="F69" i="14"/>
  <c r="F79" i="14"/>
  <c r="R122" i="8"/>
  <c r="K392" i="24"/>
  <c r="L124" i="24"/>
  <c r="U105" i="8"/>
  <c r="F14" i="14"/>
  <c r="R16" i="8"/>
  <c r="R321" i="8"/>
  <c r="U321" i="8" s="1"/>
  <c r="R78" i="8"/>
  <c r="U78" i="8" s="1"/>
  <c r="H1508" i="25"/>
  <c r="K187" i="24" s="1"/>
  <c r="M185" i="8"/>
  <c r="J185" i="8"/>
  <c r="Q185" i="8"/>
  <c r="L185" i="8"/>
  <c r="O185" i="8"/>
  <c r="I185" i="8"/>
  <c r="N185" i="8"/>
  <c r="P185" i="8"/>
  <c r="K185" i="8"/>
  <c r="Y185" i="8"/>
  <c r="K402" i="24"/>
  <c r="L324" i="24"/>
  <c r="F198" i="14"/>
  <c r="R320" i="8"/>
  <c r="F104" i="14"/>
  <c r="R174" i="8"/>
  <c r="R322" i="8"/>
  <c r="H1540" i="25"/>
  <c r="K219" i="24" s="1"/>
  <c r="L219" i="24" s="1"/>
  <c r="N219" i="24" s="1"/>
  <c r="P217" i="8"/>
  <c r="I217" i="8"/>
  <c r="K217" i="8"/>
  <c r="J217" i="8"/>
  <c r="L217" i="8"/>
  <c r="O217" i="8"/>
  <c r="Y217" i="8"/>
  <c r="M217" i="8"/>
  <c r="Q217" i="8"/>
  <c r="N217" i="8"/>
  <c r="H1507" i="25"/>
  <c r="K186" i="24" s="1"/>
  <c r="L186" i="24" s="1"/>
  <c r="N186" i="24" s="1"/>
  <c r="Y184" i="8"/>
  <c r="I184" i="8"/>
  <c r="F110" i="14" s="1"/>
  <c r="M184" i="8"/>
  <c r="K184" i="8"/>
  <c r="Q184" i="8"/>
  <c r="N184" i="8"/>
  <c r="L184" i="8"/>
  <c r="O184" i="8"/>
  <c r="J184" i="8"/>
  <c r="P184" i="8"/>
  <c r="H1406" i="25"/>
  <c r="K85" i="24" s="1"/>
  <c r="Y83" i="8"/>
  <c r="O83" i="8"/>
  <c r="I83" i="8"/>
  <c r="N83" i="8"/>
  <c r="Q83" i="8"/>
  <c r="K83" i="8"/>
  <c r="L83" i="8"/>
  <c r="J83" i="8"/>
  <c r="M83" i="8"/>
  <c r="P83" i="8"/>
  <c r="J328" i="8"/>
  <c r="P328" i="8"/>
  <c r="N328" i="8"/>
  <c r="K328" i="8"/>
  <c r="H1651" i="25"/>
  <c r="K330" i="24" s="1"/>
  <c r="L330" i="24" s="1"/>
  <c r="N330" i="24" s="1"/>
  <c r="I328" i="8"/>
  <c r="F202" i="14" s="1"/>
  <c r="Q328" i="8"/>
  <c r="Y328" i="8"/>
  <c r="O328" i="8"/>
  <c r="L328" i="8"/>
  <c r="M328" i="8"/>
  <c r="Y302" i="8"/>
  <c r="H1625" i="25"/>
  <c r="K304" i="24" s="1"/>
  <c r="L304" i="24" s="1"/>
  <c r="N304" i="24" s="1"/>
  <c r="O302" i="8"/>
  <c r="N302" i="8"/>
  <c r="J302" i="8"/>
  <c r="L302" i="8"/>
  <c r="K302" i="8"/>
  <c r="P302" i="8"/>
  <c r="M302" i="8"/>
  <c r="Q302" i="8"/>
  <c r="I302" i="8"/>
  <c r="H1646" i="25"/>
  <c r="K325" i="24" s="1"/>
  <c r="L325" i="24" s="1"/>
  <c r="N325" i="24" s="1"/>
  <c r="K323" i="8"/>
  <c r="I323" i="8"/>
  <c r="L323" i="8"/>
  <c r="O323" i="8"/>
  <c r="Q323" i="8"/>
  <c r="Y323" i="8"/>
  <c r="N323" i="8"/>
  <c r="M323" i="8"/>
  <c r="P323" i="8"/>
  <c r="J323" i="8"/>
  <c r="R73" i="8"/>
  <c r="L384" i="24"/>
  <c r="N245" i="24"/>
  <c r="N384" i="24" s="1"/>
  <c r="L338" i="24"/>
  <c r="N205" i="24"/>
  <c r="N338" i="24" s="1"/>
  <c r="F106" i="21"/>
  <c r="F66" i="21"/>
  <c r="U203" i="8"/>
  <c r="F75" i="21"/>
  <c r="F181" i="21"/>
  <c r="F142" i="21"/>
  <c r="F103" i="21"/>
  <c r="F175" i="21"/>
  <c r="U29" i="8"/>
  <c r="F124" i="21"/>
  <c r="U2" i="8"/>
  <c r="R76" i="8" l="1"/>
  <c r="U76" i="8" s="1"/>
  <c r="R151" i="8"/>
  <c r="U151" i="8" s="1"/>
  <c r="R142" i="8"/>
  <c r="U142" i="8" s="1"/>
  <c r="R157" i="8"/>
  <c r="U157" i="8" s="1"/>
  <c r="R183" i="8"/>
  <c r="U183" i="8" s="1"/>
  <c r="R303" i="8"/>
  <c r="F184" i="21" s="1"/>
  <c r="R129" i="8"/>
  <c r="U129" i="8" s="1"/>
  <c r="R219" i="8"/>
  <c r="U219" i="8" s="1"/>
  <c r="R24" i="8"/>
  <c r="F20" i="21" s="1"/>
  <c r="R196" i="8"/>
  <c r="U196" i="8" s="1"/>
  <c r="R181" i="8"/>
  <c r="U181" i="8" s="1"/>
  <c r="U46" i="8"/>
  <c r="F34" i="21"/>
  <c r="F107" i="21"/>
  <c r="U24" i="8"/>
  <c r="R94" i="8"/>
  <c r="F58" i="21" s="1"/>
  <c r="R182" i="8"/>
  <c r="K383" i="24"/>
  <c r="L266" i="24"/>
  <c r="K390" i="24"/>
  <c r="L165" i="24"/>
  <c r="R232" i="8"/>
  <c r="U232" i="8" s="1"/>
  <c r="F184" i="14"/>
  <c r="R61" i="8"/>
  <c r="F12" i="14"/>
  <c r="R13" i="8"/>
  <c r="R75" i="8"/>
  <c r="F50" i="21" s="1"/>
  <c r="R266" i="8"/>
  <c r="F164" i="14"/>
  <c r="K350" i="24"/>
  <c r="L184" i="24"/>
  <c r="K399" i="24"/>
  <c r="L48" i="24"/>
  <c r="F67" i="14"/>
  <c r="R103" i="8"/>
  <c r="R180" i="8"/>
  <c r="U180" i="8" s="1"/>
  <c r="F176" i="14"/>
  <c r="R286" i="8"/>
  <c r="R147" i="8"/>
  <c r="U147" i="8" s="1"/>
  <c r="R44" i="8"/>
  <c r="U94" i="8"/>
  <c r="R163" i="8"/>
  <c r="U163" i="8" s="1"/>
  <c r="R50" i="8"/>
  <c r="R250" i="8"/>
  <c r="U250" i="8" s="1"/>
  <c r="R111" i="8"/>
  <c r="U111" i="8" s="1"/>
  <c r="R170" i="8"/>
  <c r="F101" i="14"/>
  <c r="K343" i="24"/>
  <c r="L295" i="24"/>
  <c r="R202" i="8"/>
  <c r="U202" i="8" s="1"/>
  <c r="F111" i="14"/>
  <c r="R187" i="8"/>
  <c r="R130" i="8"/>
  <c r="U130" i="8" s="1"/>
  <c r="F113" i="14"/>
  <c r="R189" i="8"/>
  <c r="R292" i="8"/>
  <c r="U292" i="8" s="1"/>
  <c r="R145" i="8"/>
  <c r="U145" i="8" s="1"/>
  <c r="F162" i="14"/>
  <c r="R264" i="8"/>
  <c r="Q332" i="7"/>
  <c r="F109" i="21"/>
  <c r="R112" i="8"/>
  <c r="U112" i="8" s="1"/>
  <c r="F57" i="21"/>
  <c r="R188" i="8"/>
  <c r="F112" i="21" s="1"/>
  <c r="F169" i="21"/>
  <c r="R136" i="8"/>
  <c r="R200" i="8"/>
  <c r="U200" i="8" s="1"/>
  <c r="R100" i="8"/>
  <c r="F64" i="21" s="1"/>
  <c r="R175" i="8"/>
  <c r="U175" i="8" s="1"/>
  <c r="R54" i="8"/>
  <c r="U54" i="8" s="1"/>
  <c r="R325" i="8"/>
  <c r="F200" i="21" s="1"/>
  <c r="F19" i="21"/>
  <c r="R49" i="8"/>
  <c r="U49" i="8" s="1"/>
  <c r="R90" i="8"/>
  <c r="U90" i="8" s="1"/>
  <c r="R261" i="8"/>
  <c r="F159" i="21" s="1"/>
  <c r="R48" i="8"/>
  <c r="U48" i="8" s="1"/>
  <c r="R135" i="8"/>
  <c r="F86" i="21" s="1"/>
  <c r="R47" i="8"/>
  <c r="U47" i="8" s="1"/>
  <c r="R231" i="8"/>
  <c r="U231" i="8" s="1"/>
  <c r="R70" i="8"/>
  <c r="F46" i="21" s="1"/>
  <c r="R251" i="8"/>
  <c r="F154" i="21" s="1"/>
  <c r="R275" i="8"/>
  <c r="R35" i="8"/>
  <c r="F27" i="21" s="1"/>
  <c r="R242" i="8"/>
  <c r="F148" i="21" s="1"/>
  <c r="R15" i="8"/>
  <c r="U15" i="8" s="1"/>
  <c r="R123" i="8"/>
  <c r="F80" i="21" s="1"/>
  <c r="R11" i="8"/>
  <c r="F10" i="21" s="1"/>
  <c r="R218" i="8"/>
  <c r="F133" i="21" s="1"/>
  <c r="R291" i="8"/>
  <c r="F180" i="21" s="1"/>
  <c r="R224" i="8"/>
  <c r="F137" i="21" s="1"/>
  <c r="R294" i="8"/>
  <c r="U294" i="8" s="1"/>
  <c r="R315" i="8"/>
  <c r="F193" i="21" s="1"/>
  <c r="R316" i="8"/>
  <c r="F194" i="21" s="1"/>
  <c r="R326" i="8"/>
  <c r="U326" i="8" s="1"/>
  <c r="K359" i="24"/>
  <c r="M359" i="24" s="1"/>
  <c r="R43" i="8"/>
  <c r="F32" i="21" s="1"/>
  <c r="R86" i="8"/>
  <c r="U86" i="8" s="1"/>
  <c r="R328" i="8"/>
  <c r="U328" i="8" s="1"/>
  <c r="R83" i="8"/>
  <c r="F54" i="21" s="1"/>
  <c r="R98" i="8"/>
  <c r="F62" i="21" s="1"/>
  <c r="R158" i="8"/>
  <c r="F95" i="21" s="1"/>
  <c r="R51" i="8"/>
  <c r="U51" i="8" s="1"/>
  <c r="R139" i="8"/>
  <c r="U139" i="8" s="1"/>
  <c r="R117" i="8"/>
  <c r="U117" i="8" s="1"/>
  <c r="R300" i="8"/>
  <c r="U300" i="8" s="1"/>
  <c r="R149" i="8"/>
  <c r="U149" i="8" s="1"/>
  <c r="R225" i="8"/>
  <c r="F138" i="21" s="1"/>
  <c r="R210" i="8"/>
  <c r="F127" i="21" s="1"/>
  <c r="R271" i="8"/>
  <c r="U271" i="8" s="1"/>
  <c r="R165" i="8"/>
  <c r="U165" i="8" s="1"/>
  <c r="R267" i="8"/>
  <c r="U267" i="8" s="1"/>
  <c r="R236" i="8"/>
  <c r="U236" i="8" s="1"/>
  <c r="R66" i="8"/>
  <c r="R28" i="8"/>
  <c r="U28" i="8" s="1"/>
  <c r="R249" i="8"/>
  <c r="F153" i="21" s="1"/>
  <c r="R62" i="8"/>
  <c r="F42" i="21" s="1"/>
  <c r="R306" i="8"/>
  <c r="U306" i="8" s="1"/>
  <c r="R215" i="8"/>
  <c r="F131" i="21" s="1"/>
  <c r="R246" i="8"/>
  <c r="F150" i="21" s="1"/>
  <c r="R152" i="8"/>
  <c r="F92" i="21" s="1"/>
  <c r="R217" i="8"/>
  <c r="U217" i="8" s="1"/>
  <c r="R185" i="8"/>
  <c r="U185" i="8" s="1"/>
  <c r="R52" i="8"/>
  <c r="F36" i="21" s="1"/>
  <c r="R304" i="8"/>
  <c r="F185" i="21" s="1"/>
  <c r="R6" i="8"/>
  <c r="F5" i="21" s="1"/>
  <c r="R101" i="8"/>
  <c r="R37" i="8"/>
  <c r="U37" i="8" s="1"/>
  <c r="R290" i="8"/>
  <c r="U290" i="8" s="1"/>
  <c r="R119" i="8"/>
  <c r="F78" i="21" s="1"/>
  <c r="R87" i="8"/>
  <c r="U87" i="8" s="1"/>
  <c r="R160" i="8"/>
  <c r="U160" i="8" s="1"/>
  <c r="R88" i="8"/>
  <c r="U88" i="8" s="1"/>
  <c r="U39" i="8"/>
  <c r="R273" i="8"/>
  <c r="F167" i="21" s="1"/>
  <c r="R9" i="8"/>
  <c r="F8" i="21" s="1"/>
  <c r="R31" i="8"/>
  <c r="U31" i="8" s="1"/>
  <c r="R42" i="8"/>
  <c r="F31" i="21" s="1"/>
  <c r="R257" i="8"/>
  <c r="U257" i="8" s="1"/>
  <c r="R169" i="8"/>
  <c r="U169" i="8" s="1"/>
  <c r="R156" i="8"/>
  <c r="U156" i="8" s="1"/>
  <c r="R193" i="8"/>
  <c r="U193" i="8" s="1"/>
  <c r="R263" i="8"/>
  <c r="F161" i="21" s="1"/>
  <c r="R186" i="8"/>
  <c r="U186" i="8" s="1"/>
  <c r="R131" i="8"/>
  <c r="U131" i="8" s="1"/>
  <c r="F90" i="21"/>
  <c r="U144" i="8"/>
  <c r="F87" i="21"/>
  <c r="F56" i="21"/>
  <c r="K397" i="24"/>
  <c r="L226" i="24"/>
  <c r="F198" i="21"/>
  <c r="U320" i="8"/>
  <c r="F192" i="14"/>
  <c r="R313" i="8"/>
  <c r="F192" i="21" s="1"/>
  <c r="L54" i="24"/>
  <c r="K335" i="24"/>
  <c r="F186" i="14"/>
  <c r="R305" i="8"/>
  <c r="F186" i="21" s="1"/>
  <c r="U237" i="8"/>
  <c r="F144" i="21"/>
  <c r="R109" i="8"/>
  <c r="K352" i="24"/>
  <c r="L251" i="24"/>
  <c r="U150" i="8"/>
  <c r="F91" i="21"/>
  <c r="F72" i="21"/>
  <c r="U110" i="8"/>
  <c r="K361" i="24"/>
  <c r="F56" i="14"/>
  <c r="K387" i="24"/>
  <c r="L308" i="24"/>
  <c r="R234" i="8"/>
  <c r="U234" i="8" s="1"/>
  <c r="R280" i="8"/>
  <c r="F171" i="21" s="1"/>
  <c r="F133" i="14"/>
  <c r="F147" i="14"/>
  <c r="R241" i="8"/>
  <c r="F147" i="21" s="1"/>
  <c r="F163" i="14"/>
  <c r="F27" i="14"/>
  <c r="U35" i="8"/>
  <c r="F119" i="14"/>
  <c r="F189" i="21"/>
  <c r="U309" i="8"/>
  <c r="F107" i="14"/>
  <c r="R197" i="8"/>
  <c r="U206" i="8"/>
  <c r="F123" i="21"/>
  <c r="F150" i="14"/>
  <c r="K389" i="24"/>
  <c r="L167" i="24"/>
  <c r="F73" i="21"/>
  <c r="U113" i="8"/>
  <c r="K364" i="24"/>
  <c r="F38" i="14"/>
  <c r="F43" i="14"/>
  <c r="R64" i="8"/>
  <c r="F43" i="21" s="1"/>
  <c r="U65" i="8"/>
  <c r="F44" i="21"/>
  <c r="L391" i="24"/>
  <c r="N123" i="24"/>
  <c r="N391" i="24" s="1"/>
  <c r="U4" i="8"/>
  <c r="U55" i="8"/>
  <c r="U30" i="8"/>
  <c r="U235" i="8"/>
  <c r="U304" i="8"/>
  <c r="U255" i="8"/>
  <c r="F157" i="21"/>
  <c r="F180" i="14"/>
  <c r="U291" i="8"/>
  <c r="F126" i="14"/>
  <c r="F137" i="14"/>
  <c r="F173" i="14"/>
  <c r="R282" i="8"/>
  <c r="F173" i="21" s="1"/>
  <c r="F193" i="14"/>
  <c r="U315" i="8"/>
  <c r="U118" i="8"/>
  <c r="F77" i="21"/>
  <c r="L337" i="24"/>
  <c r="N60" i="24"/>
  <c r="N337" i="24" s="1"/>
  <c r="F28" i="21"/>
  <c r="U38" i="8"/>
  <c r="R126" i="8"/>
  <c r="F82" i="21" s="1"/>
  <c r="U251" i="8"/>
  <c r="F166" i="21"/>
  <c r="U269" i="8"/>
  <c r="U239" i="8"/>
  <c r="F145" i="21"/>
  <c r="U229" i="8"/>
  <c r="F141" i="21"/>
  <c r="K393" i="24"/>
  <c r="L36" i="24"/>
  <c r="L103" i="24"/>
  <c r="K353" i="24"/>
  <c r="R191" i="8"/>
  <c r="F114" i="21" s="1"/>
  <c r="R45" i="8"/>
  <c r="U45" i="8" s="1"/>
  <c r="F65" i="21"/>
  <c r="R240" i="8"/>
  <c r="U240" i="8" s="1"/>
  <c r="R317" i="8"/>
  <c r="F195" i="21" s="1"/>
  <c r="L351" i="24"/>
  <c r="N322" i="24"/>
  <c r="N351" i="24" s="1"/>
  <c r="F80" i="14"/>
  <c r="F89" i="14"/>
  <c r="R141" i="8"/>
  <c r="F89" i="21" s="1"/>
  <c r="F112" i="14"/>
  <c r="U188" i="8"/>
  <c r="L344" i="24"/>
  <c r="N172" i="24"/>
  <c r="N344" i="24" s="1"/>
  <c r="R168" i="8"/>
  <c r="F100" i="21" s="1"/>
  <c r="L56" i="24"/>
  <c r="K386" i="24"/>
  <c r="L398" i="24"/>
  <c r="N257" i="24"/>
  <c r="N398" i="24" s="1"/>
  <c r="U108" i="8"/>
  <c r="F70" i="21"/>
  <c r="U99" i="8"/>
  <c r="F63" i="21"/>
  <c r="R297" i="8"/>
  <c r="U297" i="8" s="1"/>
  <c r="F129" i="14"/>
  <c r="R213" i="8"/>
  <c r="U11" i="8"/>
  <c r="F10" i="14"/>
  <c r="F187" i="14"/>
  <c r="R307" i="8"/>
  <c r="F60" i="21"/>
  <c r="U96" i="8"/>
  <c r="F92" i="14"/>
  <c r="U152" i="8"/>
  <c r="U318" i="8"/>
  <c r="U22" i="8"/>
  <c r="U5" i="8"/>
  <c r="F183" i="14"/>
  <c r="U174" i="8"/>
  <c r="F104" i="21"/>
  <c r="F79" i="21"/>
  <c r="U122" i="8"/>
  <c r="U66" i="8"/>
  <c r="F45" i="21"/>
  <c r="F117" i="14"/>
  <c r="F128" i="14"/>
  <c r="R211" i="8"/>
  <c r="U208" i="8"/>
  <c r="F125" i="21"/>
  <c r="F36" i="14"/>
  <c r="U52" i="8"/>
  <c r="F155" i="14"/>
  <c r="F17" i="21"/>
  <c r="U21" i="8"/>
  <c r="R184" i="8"/>
  <c r="L293" i="24"/>
  <c r="K341" i="24"/>
  <c r="U136" i="8"/>
  <c r="K365" i="24"/>
  <c r="R148" i="8"/>
  <c r="U148" i="8" s="1"/>
  <c r="N288" i="24"/>
  <c r="L346" i="24"/>
  <c r="L385" i="24"/>
  <c r="F132" i="21"/>
  <c r="U216" i="8"/>
  <c r="R327" i="8"/>
  <c r="F201" i="21" s="1"/>
  <c r="L8" i="24"/>
  <c r="K373" i="24"/>
  <c r="K376" i="24"/>
  <c r="K371" i="24"/>
  <c r="K368" i="24"/>
  <c r="K367" i="24"/>
  <c r="K378" i="24"/>
  <c r="K372" i="24"/>
  <c r="R77" i="8"/>
  <c r="U77" i="8" s="1"/>
  <c r="U56" i="8"/>
  <c r="F39" i="21"/>
  <c r="R120" i="8"/>
  <c r="U120" i="8" s="1"/>
  <c r="F42" i="14"/>
  <c r="U62" i="8"/>
  <c r="K375" i="24"/>
  <c r="R270" i="8"/>
  <c r="U270" i="8" s="1"/>
  <c r="U242" i="8"/>
  <c r="F148" i="14"/>
  <c r="U72" i="8"/>
  <c r="F47" i="21"/>
  <c r="F126" i="21"/>
  <c r="U209" i="8"/>
  <c r="N4" i="24"/>
  <c r="L336" i="24"/>
  <c r="R68" i="8"/>
  <c r="U68" i="8" s="1"/>
  <c r="R226" i="8"/>
  <c r="U226" i="8" s="1"/>
  <c r="F11" i="14"/>
  <c r="F127" i="14"/>
  <c r="U210" i="8"/>
  <c r="U192" i="8"/>
  <c r="F115" i="21"/>
  <c r="F13" i="21"/>
  <c r="U14" i="8"/>
  <c r="F168" i="14"/>
  <c r="F182" i="14"/>
  <c r="F83" i="21"/>
  <c r="U128" i="8"/>
  <c r="U3" i="8"/>
  <c r="F2" i="21"/>
  <c r="F142" i="14"/>
  <c r="R254" i="8"/>
  <c r="F156" i="14"/>
  <c r="U132" i="8"/>
  <c r="U10" i="8"/>
  <c r="U261" i="8"/>
  <c r="K340" i="24"/>
  <c r="L85" i="24"/>
  <c r="L339" i="24"/>
  <c r="N77" i="24"/>
  <c r="N339" i="24" s="1"/>
  <c r="K366" i="24"/>
  <c r="N9" i="24"/>
  <c r="N342" i="24" s="1"/>
  <c r="L342" i="24"/>
  <c r="F197" i="14"/>
  <c r="R319" i="8"/>
  <c r="F197" i="21" s="1"/>
  <c r="U73" i="8"/>
  <c r="F48" i="21"/>
  <c r="F54" i="14"/>
  <c r="U83" i="8"/>
  <c r="L402" i="24"/>
  <c r="N324" i="24"/>
  <c r="N402" i="24" s="1"/>
  <c r="L392" i="24"/>
  <c r="N124" i="24"/>
  <c r="N392" i="24" s="1"/>
  <c r="R302" i="8"/>
  <c r="F183" i="21" s="1"/>
  <c r="U322" i="8"/>
  <c r="F199" i="21"/>
  <c r="K395" i="24"/>
  <c r="L187" i="24"/>
  <c r="F14" i="21"/>
  <c r="U16" i="8"/>
  <c r="U247" i="8"/>
  <c r="F151" i="21"/>
  <c r="F167" i="14"/>
  <c r="U53" i="8"/>
  <c r="F37" i="21"/>
  <c r="K362" i="24"/>
  <c r="F76" i="14"/>
  <c r="U135" i="8"/>
  <c r="F86" i="14"/>
  <c r="F6" i="14"/>
  <c r="F8" i="14"/>
  <c r="F62" i="14"/>
  <c r="U98" i="8"/>
  <c r="U124" i="8"/>
  <c r="F81" i="21"/>
  <c r="N206" i="24"/>
  <c r="L349" i="24"/>
  <c r="L388" i="24"/>
  <c r="F31" i="14"/>
  <c r="U42" i="8"/>
  <c r="L44" i="24"/>
  <c r="K348" i="24"/>
  <c r="R253" i="8"/>
  <c r="F155" i="21" s="1"/>
  <c r="R177" i="8"/>
  <c r="F105" i="21" s="1"/>
  <c r="R71" i="8"/>
  <c r="U71" i="8" s="1"/>
  <c r="F16" i="21"/>
  <c r="U19" i="8"/>
  <c r="U8" i="8"/>
  <c r="F7" i="21"/>
  <c r="R34" i="8"/>
  <c r="U227" i="8"/>
  <c r="R265" i="8"/>
  <c r="F163" i="21" s="1"/>
  <c r="F195" i="14"/>
  <c r="U317" i="8"/>
  <c r="K354" i="24"/>
  <c r="L230" i="24"/>
  <c r="R201" i="8"/>
  <c r="F119" i="21" s="1"/>
  <c r="K363" i="24"/>
  <c r="U278" i="8"/>
  <c r="F94" i="14"/>
  <c r="R171" i="8"/>
  <c r="F102" i="14"/>
  <c r="F124" i="14"/>
  <c r="R221" i="8"/>
  <c r="U221" i="8" s="1"/>
  <c r="F64" i="14"/>
  <c r="F74" i="14"/>
  <c r="R114" i="8"/>
  <c r="F151" i="14"/>
  <c r="F165" i="14"/>
  <c r="R268" i="8"/>
  <c r="F165" i="21" s="1"/>
  <c r="F59" i="14"/>
  <c r="R95" i="8"/>
  <c r="F161" i="14"/>
  <c r="U263" i="8"/>
  <c r="F146" i="14"/>
  <c r="F160" i="14"/>
  <c r="R262" i="8"/>
  <c r="U204" i="8"/>
  <c r="F121" i="21"/>
  <c r="F46" i="14"/>
  <c r="R82" i="8"/>
  <c r="F53" i="14"/>
  <c r="L400" i="24"/>
  <c r="N225" i="24"/>
  <c r="N400" i="24" s="1"/>
  <c r="R161" i="8"/>
  <c r="F96" i="21" s="1"/>
  <c r="U312" i="8"/>
  <c r="U134" i="8"/>
  <c r="R155" i="8"/>
  <c r="U116" i="8"/>
  <c r="U223" i="8"/>
  <c r="F136" i="21"/>
  <c r="F87" i="14"/>
  <c r="F95" i="14"/>
  <c r="F61" i="14"/>
  <c r="R97" i="8"/>
  <c r="F200" i="14"/>
  <c r="U325" i="8"/>
  <c r="K377" i="24"/>
  <c r="F57" i="14"/>
  <c r="U101" i="8"/>
  <c r="F65" i="14"/>
  <c r="F52" i="14"/>
  <c r="R81" i="8"/>
  <c r="R125" i="8"/>
  <c r="U125" i="8" s="1"/>
  <c r="F122" i="14"/>
  <c r="R205" i="8"/>
  <c r="R228" i="8"/>
  <c r="F140" i="14"/>
  <c r="U40" i="8"/>
  <c r="F30" i="21"/>
  <c r="R12" i="8"/>
  <c r="F11" i="21" s="1"/>
  <c r="K331" i="24"/>
  <c r="U214" i="8"/>
  <c r="R26" i="8"/>
  <c r="L401" i="24"/>
  <c r="N142" i="24"/>
  <c r="N401" i="24" s="1"/>
  <c r="N237" i="24"/>
  <c r="N396" i="24" s="1"/>
  <c r="L396" i="24"/>
  <c r="R311" i="8"/>
  <c r="F190" i="14"/>
  <c r="F90" i="14"/>
  <c r="F98" i="14"/>
  <c r="R166" i="8"/>
  <c r="F98" i="21" s="1"/>
  <c r="U58" i="8"/>
  <c r="F40" i="21"/>
  <c r="R32" i="8"/>
  <c r="U32" i="8" s="1"/>
  <c r="U308" i="8"/>
  <c r="U27" i="8"/>
  <c r="U289" i="8"/>
  <c r="U104" i="8"/>
  <c r="K360" i="24"/>
  <c r="F154" i="14"/>
  <c r="R274" i="8"/>
  <c r="U274" i="8" s="1"/>
  <c r="R323" i="8"/>
  <c r="U323" i="8" s="1"/>
  <c r="K394" i="24"/>
  <c r="L233" i="24"/>
  <c r="K345" i="24"/>
  <c r="L128" i="24"/>
  <c r="F138" i="14"/>
  <c r="F152" i="14"/>
  <c r="R248" i="8"/>
  <c r="F152" i="21" s="1"/>
  <c r="U275" i="8"/>
  <c r="F168" i="21"/>
  <c r="U245" i="8"/>
  <c r="F149" i="21"/>
  <c r="F5" i="14"/>
  <c r="U6" i="8"/>
  <c r="F153" i="14"/>
  <c r="U249" i="8"/>
  <c r="R288" i="8"/>
  <c r="F178" i="14"/>
  <c r="K374" i="24"/>
  <c r="U18" i="8"/>
  <c r="F15" i="21"/>
  <c r="F32" i="14"/>
  <c r="U43" i="8"/>
  <c r="F132" i="14"/>
  <c r="F135" i="21"/>
  <c r="U222" i="8"/>
  <c r="F123" i="14"/>
  <c r="F134" i="14"/>
  <c r="R220" i="8"/>
  <c r="F134" i="21" s="1"/>
  <c r="F78" i="14"/>
  <c r="U119" i="8"/>
  <c r="F131" i="14"/>
  <c r="U215" i="8"/>
  <c r="K369" i="24"/>
  <c r="F108" i="14"/>
  <c r="F118" i="14"/>
  <c r="R199" i="8"/>
  <c r="K347" i="24"/>
  <c r="L248" i="24"/>
  <c r="F177" i="14"/>
  <c r="R287" i="8"/>
  <c r="R299" i="8"/>
  <c r="F182" i="21" s="1"/>
  <c r="K370" i="24"/>
  <c r="F88" i="14"/>
  <c r="F96" i="14"/>
  <c r="R84" i="8"/>
  <c r="U191" i="8"/>
  <c r="U164" i="8"/>
  <c r="U281" i="8"/>
  <c r="U74" i="8"/>
  <c r="U9" i="8"/>
  <c r="U280" i="8"/>
  <c r="U316" i="8"/>
  <c r="N367" i="24"/>
  <c r="U123" i="8" l="1"/>
  <c r="U100" i="8"/>
  <c r="U70" i="8"/>
  <c r="F202" i="21"/>
  <c r="U273" i="8"/>
  <c r="U303" i="8"/>
  <c r="U75" i="8"/>
  <c r="F35" i="21"/>
  <c r="U50" i="8"/>
  <c r="N184" i="24"/>
  <c r="N350" i="24" s="1"/>
  <c r="L350" i="24"/>
  <c r="U187" i="8"/>
  <c r="F111" i="21"/>
  <c r="U61" i="8"/>
  <c r="F41" i="21"/>
  <c r="U189" i="8"/>
  <c r="F113" i="21"/>
  <c r="U103" i="8"/>
  <c r="F67" i="21"/>
  <c r="L383" i="24"/>
  <c r="N266" i="24"/>
  <c r="N383" i="24" s="1"/>
  <c r="F101" i="21"/>
  <c r="U170" i="8"/>
  <c r="U44" i="8"/>
  <c r="F33" i="21"/>
  <c r="F164" i="21"/>
  <c r="U266" i="8"/>
  <c r="U264" i="8"/>
  <c r="F162" i="21"/>
  <c r="N295" i="24"/>
  <c r="N343" i="24" s="1"/>
  <c r="L343" i="24"/>
  <c r="N48" i="24"/>
  <c r="N399" i="24" s="1"/>
  <c r="L399" i="24"/>
  <c r="U182" i="8"/>
  <c r="F108" i="21"/>
  <c r="F176" i="21"/>
  <c r="U286" i="8"/>
  <c r="F12" i="21"/>
  <c r="U13" i="8"/>
  <c r="L390" i="24"/>
  <c r="N165" i="24"/>
  <c r="N390" i="24" s="1"/>
  <c r="U224" i="8"/>
  <c r="U161" i="8"/>
  <c r="F94" i="21"/>
  <c r="U158" i="8"/>
  <c r="U218" i="8"/>
  <c r="U246" i="8"/>
  <c r="G359" i="24"/>
  <c r="Y359" i="24"/>
  <c r="Z359" i="24"/>
  <c r="U225" i="8"/>
  <c r="X359" i="24"/>
  <c r="R359" i="24"/>
  <c r="N359" i="24"/>
  <c r="U248" i="8"/>
  <c r="U166" i="8"/>
  <c r="T359" i="24"/>
  <c r="J359" i="24"/>
  <c r="U327" i="8"/>
  <c r="L359" i="24"/>
  <c r="U319" i="8"/>
  <c r="U126" i="8"/>
  <c r="S359" i="24"/>
  <c r="U228" i="8"/>
  <c r="F140" i="21"/>
  <c r="R365" i="24"/>
  <c r="L365" i="24"/>
  <c r="J365" i="24"/>
  <c r="T365" i="24"/>
  <c r="M365" i="24"/>
  <c r="Z365" i="24"/>
  <c r="Y365" i="24"/>
  <c r="G365" i="24"/>
  <c r="X365" i="24"/>
  <c r="S365" i="24"/>
  <c r="U184" i="8"/>
  <c r="F110" i="21"/>
  <c r="L394" i="24"/>
  <c r="N233" i="24"/>
  <c r="N394" i="24" s="1"/>
  <c r="U81" i="8"/>
  <c r="F52" i="21"/>
  <c r="F146" i="21"/>
  <c r="F160" i="21"/>
  <c r="U262" i="8"/>
  <c r="Z366" i="24"/>
  <c r="Y366" i="24"/>
  <c r="G366" i="24"/>
  <c r="X366" i="24"/>
  <c r="J366" i="24"/>
  <c r="R366" i="24"/>
  <c r="L366" i="24"/>
  <c r="S366" i="24"/>
  <c r="T366" i="24"/>
  <c r="M366" i="24"/>
  <c r="T372" i="24"/>
  <c r="Y372" i="24"/>
  <c r="G372" i="24"/>
  <c r="X372" i="24"/>
  <c r="R372" i="24"/>
  <c r="S372" i="24"/>
  <c r="L372" i="24"/>
  <c r="J372" i="24"/>
  <c r="Z372" i="24"/>
  <c r="M372" i="24"/>
  <c r="N373" i="24"/>
  <c r="R373" i="24"/>
  <c r="L373" i="24"/>
  <c r="J373" i="24"/>
  <c r="Z373" i="24"/>
  <c r="X373" i="24"/>
  <c r="T373" i="24"/>
  <c r="Y373" i="24"/>
  <c r="G373" i="24"/>
  <c r="M373" i="24"/>
  <c r="S373" i="24"/>
  <c r="U253" i="8"/>
  <c r="U211" i="8"/>
  <c r="F128" i="21"/>
  <c r="U307" i="8"/>
  <c r="F187" i="21"/>
  <c r="L386" i="24"/>
  <c r="N56" i="24"/>
  <c r="N386" i="24" s="1"/>
  <c r="U141" i="8"/>
  <c r="U282" i="8"/>
  <c r="N364" i="24"/>
  <c r="Z364" i="24"/>
  <c r="R364" i="24"/>
  <c r="M364" i="24"/>
  <c r="Y364" i="24"/>
  <c r="L364" i="24"/>
  <c r="G364" i="24"/>
  <c r="X364" i="24"/>
  <c r="T364" i="24"/>
  <c r="J364" i="24"/>
  <c r="S364" i="24"/>
  <c r="N251" i="24"/>
  <c r="N352" i="24" s="1"/>
  <c r="L352" i="24"/>
  <c r="L397" i="24"/>
  <c r="N226" i="24"/>
  <c r="N397" i="24" s="1"/>
  <c r="N378" i="24"/>
  <c r="R378" i="24"/>
  <c r="L378" i="24"/>
  <c r="M378" i="24"/>
  <c r="Z378" i="24"/>
  <c r="G378" i="24"/>
  <c r="Y378" i="24"/>
  <c r="T378" i="24"/>
  <c r="S378" i="24"/>
  <c r="J378" i="24"/>
  <c r="X378" i="24"/>
  <c r="U197" i="8"/>
  <c r="F117" i="21"/>
  <c r="U305" i="8"/>
  <c r="F22" i="21"/>
  <c r="U26" i="8"/>
  <c r="U205" i="8"/>
  <c r="F122" i="21"/>
  <c r="U82" i="8"/>
  <c r="F53" i="21"/>
  <c r="U268" i="8"/>
  <c r="M363" i="24"/>
  <c r="L363" i="24"/>
  <c r="J363" i="24"/>
  <c r="Z363" i="24"/>
  <c r="R363" i="24"/>
  <c r="T363" i="24"/>
  <c r="S363" i="24"/>
  <c r="X363" i="24"/>
  <c r="G363" i="24"/>
  <c r="Y363" i="24"/>
  <c r="L348" i="24"/>
  <c r="N44" i="24"/>
  <c r="N348" i="24" s="1"/>
  <c r="U299" i="8"/>
  <c r="N336" i="24"/>
  <c r="Z367" i="24"/>
  <c r="G367" i="24"/>
  <c r="Y367" i="24"/>
  <c r="S367" i="24"/>
  <c r="R367" i="24"/>
  <c r="M367" i="24"/>
  <c r="L367" i="24"/>
  <c r="X367" i="24"/>
  <c r="T367" i="24"/>
  <c r="J367" i="24"/>
  <c r="U302" i="8"/>
  <c r="N370" i="24"/>
  <c r="S370" i="24"/>
  <c r="L370" i="24"/>
  <c r="R370" i="24"/>
  <c r="Z370" i="24"/>
  <c r="M370" i="24"/>
  <c r="T370" i="24"/>
  <c r="X370" i="24"/>
  <c r="G370" i="24"/>
  <c r="Y370" i="24"/>
  <c r="J370" i="24"/>
  <c r="U199" i="8"/>
  <c r="F118" i="21"/>
  <c r="U155" i="8"/>
  <c r="F93" i="21"/>
  <c r="U171" i="8"/>
  <c r="F102" i="21"/>
  <c r="L354" i="24"/>
  <c r="N230" i="24"/>
  <c r="N354" i="24" s="1"/>
  <c r="N349" i="24"/>
  <c r="N388" i="24"/>
  <c r="U12" i="8"/>
  <c r="F55" i="21"/>
  <c r="U84" i="8"/>
  <c r="F177" i="21"/>
  <c r="U287" i="8"/>
  <c r="U220" i="8"/>
  <c r="S374" i="24"/>
  <c r="L374" i="24"/>
  <c r="M374" i="24"/>
  <c r="T374" i="24"/>
  <c r="X374" i="24"/>
  <c r="N374" i="24"/>
  <c r="Z374" i="24"/>
  <c r="G374" i="24"/>
  <c r="Y374" i="24"/>
  <c r="J374" i="24"/>
  <c r="R374" i="24"/>
  <c r="U311" i="8"/>
  <c r="F190" i="21"/>
  <c r="L340" i="24"/>
  <c r="N85" i="24"/>
  <c r="N340" i="24" s="1"/>
  <c r="L368" i="24"/>
  <c r="G368" i="24"/>
  <c r="T368" i="24"/>
  <c r="J368" i="24"/>
  <c r="Z368" i="24"/>
  <c r="S368" i="24"/>
  <c r="X368" i="24"/>
  <c r="M368" i="24"/>
  <c r="Y368" i="24"/>
  <c r="R368" i="24"/>
  <c r="U241" i="8"/>
  <c r="L347" i="24"/>
  <c r="N248" i="24"/>
  <c r="N347" i="24" s="1"/>
  <c r="Z369" i="24"/>
  <c r="J369" i="24"/>
  <c r="X369" i="24"/>
  <c r="M369" i="24"/>
  <c r="G369" i="24"/>
  <c r="Y369" i="24"/>
  <c r="L369" i="24"/>
  <c r="S369" i="24"/>
  <c r="T369" i="24"/>
  <c r="R369" i="24"/>
  <c r="L345" i="24"/>
  <c r="N128" i="24"/>
  <c r="N345" i="24" s="1"/>
  <c r="J360" i="24"/>
  <c r="L360" i="24"/>
  <c r="M360" i="24"/>
  <c r="T360" i="24"/>
  <c r="G360" i="24"/>
  <c r="Y360" i="24"/>
  <c r="Z360" i="24"/>
  <c r="R360" i="24"/>
  <c r="S360" i="24"/>
  <c r="X360" i="24"/>
  <c r="F61" i="21"/>
  <c r="U97" i="8"/>
  <c r="U34" i="8"/>
  <c r="F26" i="21"/>
  <c r="L395" i="24"/>
  <c r="N187" i="24"/>
  <c r="N395" i="24" s="1"/>
  <c r="U254" i="8"/>
  <c r="F156" i="21"/>
  <c r="N375" i="24"/>
  <c r="S375" i="24"/>
  <c r="Z375" i="24"/>
  <c r="J375" i="24"/>
  <c r="T375" i="24"/>
  <c r="M375" i="24"/>
  <c r="Y375" i="24"/>
  <c r="G375" i="24"/>
  <c r="X375" i="24"/>
  <c r="L375" i="24"/>
  <c r="R375" i="24"/>
  <c r="N371" i="24"/>
  <c r="Y371" i="24"/>
  <c r="L371" i="24"/>
  <c r="G371" i="24"/>
  <c r="X371" i="24"/>
  <c r="T371" i="24"/>
  <c r="J371" i="24"/>
  <c r="Z371" i="24"/>
  <c r="R371" i="24"/>
  <c r="S371" i="24"/>
  <c r="M371" i="24"/>
  <c r="L341" i="24"/>
  <c r="N293" i="24"/>
  <c r="N341" i="24" s="1"/>
  <c r="U213" i="8"/>
  <c r="F129" i="21"/>
  <c r="L353" i="24"/>
  <c r="N103" i="24"/>
  <c r="N353" i="24" s="1"/>
  <c r="U64" i="8"/>
  <c r="U109" i="8"/>
  <c r="F71" i="21"/>
  <c r="L335" i="24"/>
  <c r="N54" i="24"/>
  <c r="N335" i="24" s="1"/>
  <c r="U313" i="8"/>
  <c r="U168" i="8"/>
  <c r="F51" i="21"/>
  <c r="F59" i="21"/>
  <c r="U95" i="8"/>
  <c r="N8" i="24"/>
  <c r="L331" i="24"/>
  <c r="N331" i="24" s="1"/>
  <c r="F178" i="21"/>
  <c r="U288" i="8"/>
  <c r="N377" i="24"/>
  <c r="T377" i="24"/>
  <c r="R377" i="24"/>
  <c r="J377" i="24"/>
  <c r="M377" i="24"/>
  <c r="X377" i="24"/>
  <c r="L377" i="24"/>
  <c r="G377" i="24"/>
  <c r="Y377" i="24"/>
  <c r="Z377" i="24"/>
  <c r="S377" i="24"/>
  <c r="U114" i="8"/>
  <c r="F74" i="21"/>
  <c r="N362" i="24"/>
  <c r="T362" i="24"/>
  <c r="S362" i="24"/>
  <c r="X362" i="24"/>
  <c r="M362" i="24"/>
  <c r="G362" i="24"/>
  <c r="Y362" i="24"/>
  <c r="L362" i="24"/>
  <c r="J362" i="24"/>
  <c r="Z362" i="24"/>
  <c r="R362" i="24"/>
  <c r="U177" i="8"/>
  <c r="N376" i="24"/>
  <c r="Z376" i="24"/>
  <c r="S376" i="24"/>
  <c r="X376" i="24"/>
  <c r="M376" i="24"/>
  <c r="G376" i="24"/>
  <c r="Y376" i="24"/>
  <c r="L376" i="24"/>
  <c r="J376" i="24"/>
  <c r="T376" i="24"/>
  <c r="R376" i="24"/>
  <c r="N385" i="24"/>
  <c r="N346" i="24"/>
  <c r="L393" i="24"/>
  <c r="N36" i="24"/>
  <c r="N393" i="24" s="1"/>
  <c r="L389" i="24"/>
  <c r="N167" i="24"/>
  <c r="N389" i="24" s="1"/>
  <c r="U201" i="8"/>
  <c r="U265" i="8"/>
  <c r="N308" i="24"/>
  <c r="N387" i="24" s="1"/>
  <c r="L387" i="24"/>
  <c r="N361" i="24"/>
  <c r="Z361" i="24"/>
  <c r="G361" i="24"/>
  <c r="Y361" i="24"/>
  <c r="R361" i="24"/>
  <c r="S361" i="24"/>
  <c r="X361" i="24"/>
  <c r="L361" i="24"/>
  <c r="M361" i="24"/>
  <c r="T361" i="24"/>
  <c r="J361" i="24"/>
  <c r="N366" i="24" l="1"/>
  <c r="N360" i="24"/>
  <c r="N365" i="24"/>
  <c r="N372" i="24"/>
  <c r="N433" i="24"/>
  <c r="K433" i="24" s="1"/>
  <c r="N363" i="24"/>
  <c r="N369" i="24"/>
  <c r="N422" i="24"/>
  <c r="N414" i="24"/>
  <c r="N431" i="24"/>
  <c r="N411" i="24"/>
  <c r="N437" i="24"/>
  <c r="N439" i="24"/>
  <c r="N438" i="24"/>
  <c r="N423" i="24"/>
  <c r="N413" i="24"/>
  <c r="N441" i="24"/>
  <c r="N448" i="24"/>
  <c r="N445" i="24"/>
  <c r="N410" i="24"/>
  <c r="N434" i="24"/>
  <c r="N424" i="24"/>
  <c r="N442" i="24"/>
  <c r="N415" i="24"/>
  <c r="N435" i="24"/>
  <c r="N425" i="24"/>
  <c r="N412" i="24"/>
  <c r="N443" i="24"/>
  <c r="N440" i="24"/>
  <c r="N421" i="24"/>
  <c r="N449" i="24"/>
  <c r="N447" i="24"/>
  <c r="N430" i="24"/>
  <c r="N417" i="24"/>
  <c r="N436" i="24"/>
  <c r="N409" i="24"/>
  <c r="N407" i="24"/>
  <c r="N446" i="24"/>
  <c r="N416" i="24"/>
  <c r="N419" i="24"/>
  <c r="N408" i="24"/>
  <c r="N432" i="24"/>
  <c r="N426" i="24"/>
  <c r="N444" i="24"/>
  <c r="N368" i="24"/>
  <c r="N418" i="24"/>
  <c r="N420" i="24"/>
  <c r="Z433" i="24" l="1"/>
  <c r="J433" i="24"/>
  <c r="R433" i="24"/>
  <c r="Y433" i="24"/>
  <c r="T433" i="24"/>
  <c r="G433" i="24"/>
  <c r="L433" i="24"/>
  <c r="X433" i="24"/>
  <c r="S433" i="24"/>
  <c r="M433" i="24"/>
  <c r="M446" i="24"/>
  <c r="K446" i="24"/>
  <c r="R446" i="24"/>
  <c r="S446" i="24"/>
  <c r="Z446" i="24"/>
  <c r="X446" i="24"/>
  <c r="G446" i="24"/>
  <c r="Y446" i="24"/>
  <c r="L446" i="24"/>
  <c r="J446" i="24"/>
  <c r="T446" i="24"/>
  <c r="K447" i="24"/>
  <c r="L447" i="24"/>
  <c r="M447" i="24"/>
  <c r="S447" i="24"/>
  <c r="T447" i="24"/>
  <c r="Y447" i="24"/>
  <c r="G447" i="24"/>
  <c r="X447" i="24"/>
  <c r="Z447" i="24"/>
  <c r="R447" i="24"/>
  <c r="J447" i="24"/>
  <c r="K425" i="24"/>
  <c r="R425" i="24"/>
  <c r="L425" i="24"/>
  <c r="Z425" i="24"/>
  <c r="Y425" i="24"/>
  <c r="M425" i="24"/>
  <c r="T425" i="24"/>
  <c r="G425" i="24"/>
  <c r="J425" i="24"/>
  <c r="X425" i="24"/>
  <c r="S425" i="24"/>
  <c r="Z410" i="24"/>
  <c r="K410" i="24"/>
  <c r="Y410" i="24"/>
  <c r="G410" i="24"/>
  <c r="L410" i="24"/>
  <c r="J410" i="24"/>
  <c r="M410" i="24"/>
  <c r="X410" i="24"/>
  <c r="S410" i="24"/>
  <c r="T410" i="24"/>
  <c r="R410" i="24"/>
  <c r="K438" i="24"/>
  <c r="M438" i="24"/>
  <c r="G438" i="24"/>
  <c r="X438" i="24"/>
  <c r="Y438" i="24"/>
  <c r="J438" i="24"/>
  <c r="R438" i="24"/>
  <c r="L438" i="24"/>
  <c r="Z438" i="24"/>
  <c r="S438" i="24"/>
  <c r="T438" i="24"/>
  <c r="Z422" i="24"/>
  <c r="L422" i="24"/>
  <c r="G422" i="24"/>
  <c r="K422" i="24"/>
  <c r="S422" i="24"/>
  <c r="T422" i="24"/>
  <c r="M422" i="24"/>
  <c r="X422" i="24"/>
  <c r="Y422" i="24"/>
  <c r="J422" i="24"/>
  <c r="R422" i="24"/>
  <c r="M426" i="24"/>
  <c r="X426" i="24"/>
  <c r="Y426" i="24"/>
  <c r="T426" i="24"/>
  <c r="L426" i="24"/>
  <c r="K426" i="24"/>
  <c r="S426" i="24"/>
  <c r="Z426" i="24"/>
  <c r="G426" i="24"/>
  <c r="J426" i="24"/>
  <c r="R426" i="24"/>
  <c r="T407" i="24"/>
  <c r="M407" i="24"/>
  <c r="L407" i="24"/>
  <c r="Y407" i="24"/>
  <c r="K407" i="24"/>
  <c r="J407" i="24"/>
  <c r="Z407" i="24"/>
  <c r="S407" i="24"/>
  <c r="R407" i="24"/>
  <c r="G407" i="24"/>
  <c r="X407" i="24"/>
  <c r="X449" i="24"/>
  <c r="S449" i="24"/>
  <c r="T449" i="24"/>
  <c r="M449" i="24"/>
  <c r="J449" i="24"/>
  <c r="K449" i="24"/>
  <c r="Z449" i="24"/>
  <c r="R449" i="24"/>
  <c r="G449" i="24"/>
  <c r="Y449" i="24"/>
  <c r="L449" i="24"/>
  <c r="M435" i="24"/>
  <c r="S435" i="24"/>
  <c r="Z435" i="24"/>
  <c r="L435" i="24"/>
  <c r="T435" i="24"/>
  <c r="R435" i="24"/>
  <c r="Y435" i="24"/>
  <c r="G435" i="24"/>
  <c r="X435" i="24"/>
  <c r="K435" i="24"/>
  <c r="J435" i="24"/>
  <c r="S445" i="24"/>
  <c r="T445" i="24"/>
  <c r="J445" i="24"/>
  <c r="K445" i="24"/>
  <c r="M445" i="24"/>
  <c r="X445" i="24"/>
  <c r="R445" i="24"/>
  <c r="G445" i="24"/>
  <c r="L445" i="24"/>
  <c r="Y445" i="24"/>
  <c r="Z445" i="24"/>
  <c r="J439" i="24"/>
  <c r="M439" i="24"/>
  <c r="L439" i="24"/>
  <c r="X439" i="24"/>
  <c r="Y439" i="24"/>
  <c r="T439" i="24"/>
  <c r="G439" i="24"/>
  <c r="K439" i="24"/>
  <c r="S439" i="24"/>
  <c r="R439" i="24"/>
  <c r="Z439" i="24"/>
  <c r="Z432" i="24"/>
  <c r="R432" i="24"/>
  <c r="L432" i="24"/>
  <c r="K432" i="24"/>
  <c r="T432" i="24"/>
  <c r="G432" i="24"/>
  <c r="X432" i="24"/>
  <c r="J432" i="24"/>
  <c r="M432" i="24"/>
  <c r="S432" i="24"/>
  <c r="Y432" i="24"/>
  <c r="S409" i="24"/>
  <c r="Y409" i="24"/>
  <c r="K409" i="24"/>
  <c r="R409" i="24"/>
  <c r="Z409" i="24"/>
  <c r="X409" i="24"/>
  <c r="T409" i="24"/>
  <c r="L409" i="24"/>
  <c r="J409" i="24"/>
  <c r="G409" i="24"/>
  <c r="M409" i="24"/>
  <c r="G421" i="24"/>
  <c r="L421" i="24"/>
  <c r="S421" i="24"/>
  <c r="T421" i="24"/>
  <c r="J421" i="24"/>
  <c r="Y421" i="24"/>
  <c r="M421" i="24"/>
  <c r="Z421" i="24"/>
  <c r="X421" i="24"/>
  <c r="R421" i="24"/>
  <c r="K421" i="24"/>
  <c r="G415" i="24"/>
  <c r="M415" i="24"/>
  <c r="T415" i="24"/>
  <c r="X415" i="24"/>
  <c r="Y415" i="24"/>
  <c r="J415" i="24"/>
  <c r="L415" i="24"/>
  <c r="Z415" i="24"/>
  <c r="R415" i="24"/>
  <c r="K415" i="24"/>
  <c r="S415" i="24"/>
  <c r="K448" i="24"/>
  <c r="M448" i="24"/>
  <c r="L448" i="24"/>
  <c r="X448" i="24"/>
  <c r="G448" i="24"/>
  <c r="Z448" i="24"/>
  <c r="Y448" i="24"/>
  <c r="T448" i="24"/>
  <c r="R448" i="24"/>
  <c r="S448" i="24"/>
  <c r="J448" i="24"/>
  <c r="Y437" i="24"/>
  <c r="X437" i="24"/>
  <c r="J437" i="24"/>
  <c r="M437" i="24"/>
  <c r="T437" i="24"/>
  <c r="Z437" i="24"/>
  <c r="G437" i="24"/>
  <c r="K437" i="24"/>
  <c r="L437" i="24"/>
  <c r="R437" i="24"/>
  <c r="S437" i="24"/>
  <c r="M420" i="24"/>
  <c r="S420" i="24"/>
  <c r="R420" i="24"/>
  <c r="K420" i="24"/>
  <c r="J420" i="24"/>
  <c r="Z420" i="24"/>
  <c r="G420" i="24"/>
  <c r="T420" i="24"/>
  <c r="X420" i="24"/>
  <c r="L420" i="24"/>
  <c r="Y420" i="24"/>
  <c r="X436" i="24"/>
  <c r="G436" i="24"/>
  <c r="R436" i="24"/>
  <c r="Z436" i="24"/>
  <c r="M436" i="24"/>
  <c r="S436" i="24"/>
  <c r="K436" i="24"/>
  <c r="T436" i="24"/>
  <c r="L436" i="24"/>
  <c r="J436" i="24"/>
  <c r="Y436" i="24"/>
  <c r="K440" i="24"/>
  <c r="Y440" i="24"/>
  <c r="M440" i="24"/>
  <c r="R440" i="24"/>
  <c r="G440" i="24"/>
  <c r="S440" i="24"/>
  <c r="L440" i="24"/>
  <c r="J440" i="24"/>
  <c r="X440" i="24"/>
  <c r="T440" i="24"/>
  <c r="Z440" i="24"/>
  <c r="K442" i="24"/>
  <c r="T442" i="24"/>
  <c r="L442" i="24"/>
  <c r="J442" i="24"/>
  <c r="X442" i="24"/>
  <c r="Y442" i="24"/>
  <c r="Z442" i="24"/>
  <c r="M442" i="24"/>
  <c r="S442" i="24"/>
  <c r="R442" i="24"/>
  <c r="G442" i="24"/>
  <c r="M441" i="24"/>
  <c r="S441" i="24"/>
  <c r="J441" i="24"/>
  <c r="L441" i="24"/>
  <c r="Y441" i="24"/>
  <c r="G441" i="24"/>
  <c r="X441" i="24"/>
  <c r="R441" i="24"/>
  <c r="K441" i="24"/>
  <c r="Z441" i="24"/>
  <c r="T441" i="24"/>
  <c r="M411" i="24"/>
  <c r="T411" i="24"/>
  <c r="G411" i="24"/>
  <c r="Z411" i="24"/>
  <c r="R411" i="24"/>
  <c r="X411" i="24"/>
  <c r="Y411" i="24"/>
  <c r="S411" i="24"/>
  <c r="J411" i="24"/>
  <c r="K411" i="24"/>
  <c r="L411" i="24"/>
  <c r="K418" i="24"/>
  <c r="M418" i="24"/>
  <c r="G418" i="24"/>
  <c r="L418" i="24"/>
  <c r="Y418" i="24"/>
  <c r="Z418" i="24"/>
  <c r="S418" i="24"/>
  <c r="J418" i="24"/>
  <c r="R418" i="24"/>
  <c r="X418" i="24"/>
  <c r="T418" i="24"/>
  <c r="Z417" i="24"/>
  <c r="K417" i="24"/>
  <c r="Y417" i="24"/>
  <c r="G417" i="24"/>
  <c r="R417" i="24"/>
  <c r="S417" i="24"/>
  <c r="X417" i="24"/>
  <c r="J417" i="24"/>
  <c r="L417" i="24"/>
  <c r="T417" i="24"/>
  <c r="M417" i="24"/>
  <c r="Z443" i="24"/>
  <c r="X443" i="24"/>
  <c r="J443" i="24"/>
  <c r="Y443" i="24"/>
  <c r="G443" i="24"/>
  <c r="S443" i="24"/>
  <c r="K443" i="24"/>
  <c r="L443" i="24"/>
  <c r="R443" i="24"/>
  <c r="T443" i="24"/>
  <c r="M443" i="24"/>
  <c r="G424" i="24"/>
  <c r="Z424" i="24"/>
  <c r="T424" i="24"/>
  <c r="L424" i="24"/>
  <c r="M424" i="24"/>
  <c r="Y424" i="24"/>
  <c r="R424" i="24"/>
  <c r="K424" i="24"/>
  <c r="J424" i="24"/>
  <c r="X424" i="24"/>
  <c r="S424" i="24"/>
  <c r="Y413" i="24"/>
  <c r="Z413" i="24"/>
  <c r="G413" i="24"/>
  <c r="T413" i="24"/>
  <c r="X413" i="24"/>
  <c r="M413" i="24"/>
  <c r="S413" i="24"/>
  <c r="K413" i="24"/>
  <c r="L413" i="24"/>
  <c r="R413" i="24"/>
  <c r="J413" i="24"/>
  <c r="K431" i="24"/>
  <c r="Z431" i="24"/>
  <c r="L431" i="24"/>
  <c r="T431" i="24"/>
  <c r="R431" i="24"/>
  <c r="M431" i="24"/>
  <c r="G431" i="24"/>
  <c r="S431" i="24"/>
  <c r="J431" i="24"/>
  <c r="Y431" i="24"/>
  <c r="X431" i="24"/>
  <c r="T444" i="24"/>
  <c r="J444" i="24"/>
  <c r="G444" i="24"/>
  <c r="S444" i="24"/>
  <c r="M444" i="24"/>
  <c r="Y444" i="24"/>
  <c r="K444" i="24"/>
  <c r="R444" i="24"/>
  <c r="L444" i="24"/>
  <c r="Z444" i="24"/>
  <c r="X444" i="24"/>
  <c r="S408" i="24"/>
  <c r="G408" i="24"/>
  <c r="T408" i="24"/>
  <c r="K408" i="24"/>
  <c r="M408" i="24"/>
  <c r="Y408" i="24"/>
  <c r="Z408" i="24"/>
  <c r="J408" i="24"/>
  <c r="X408" i="24"/>
  <c r="L408" i="24"/>
  <c r="R408" i="24"/>
  <c r="X419" i="24"/>
  <c r="T419" i="24"/>
  <c r="K419" i="24"/>
  <c r="R419" i="24"/>
  <c r="J419" i="24"/>
  <c r="L419" i="24"/>
  <c r="M419" i="24"/>
  <c r="S419" i="24"/>
  <c r="Y419" i="24"/>
  <c r="Z419" i="24"/>
  <c r="G419" i="24"/>
  <c r="G416" i="24"/>
  <c r="K416" i="24"/>
  <c r="S416" i="24"/>
  <c r="J416" i="24"/>
  <c r="M416" i="24"/>
  <c r="L416" i="24"/>
  <c r="Y416" i="24"/>
  <c r="X416" i="24"/>
  <c r="R416" i="24"/>
  <c r="Z416" i="24"/>
  <c r="T416" i="24"/>
  <c r="R430" i="24"/>
  <c r="L430" i="24"/>
  <c r="K430" i="24"/>
  <c r="Y430" i="24"/>
  <c r="Z430" i="24"/>
  <c r="G430" i="24"/>
  <c r="T430" i="24"/>
  <c r="M430" i="24"/>
  <c r="J430" i="24"/>
  <c r="X430" i="24"/>
  <c r="S430" i="24"/>
  <c r="L412" i="24"/>
  <c r="T412" i="24"/>
  <c r="K412" i="24"/>
  <c r="X412" i="24"/>
  <c r="Z412" i="24"/>
  <c r="S412" i="24"/>
  <c r="M412" i="24"/>
  <c r="R412" i="24"/>
  <c r="Y412" i="24"/>
  <c r="J412" i="24"/>
  <c r="G412" i="24"/>
  <c r="M434" i="24"/>
  <c r="K434" i="24"/>
  <c r="L434" i="24"/>
  <c r="S434" i="24"/>
  <c r="R434" i="24"/>
  <c r="Z434" i="24"/>
  <c r="Y434" i="24"/>
  <c r="X434" i="24"/>
  <c r="G434" i="24"/>
  <c r="J434" i="24"/>
  <c r="T434" i="24"/>
  <c r="R423" i="24"/>
  <c r="Y423" i="24"/>
  <c r="G423" i="24"/>
  <c r="M423" i="24"/>
  <c r="S423" i="24"/>
  <c r="L423" i="24"/>
  <c r="J423" i="24"/>
  <c r="T423" i="24"/>
  <c r="X423" i="24"/>
  <c r="Z423" i="24"/>
  <c r="K423" i="24"/>
  <c r="X414" i="24"/>
  <c r="R414" i="24"/>
  <c r="S414" i="24"/>
  <c r="Z414" i="24"/>
  <c r="T414" i="24"/>
  <c r="J414" i="24"/>
  <c r="M414" i="24"/>
  <c r="Y414" i="24"/>
  <c r="G414" i="24"/>
  <c r="L414" i="24"/>
  <c r="K414" i="24"/>
</calcChain>
</file>

<file path=xl/sharedStrings.xml><?xml version="1.0" encoding="utf-8"?>
<sst xmlns="http://schemas.openxmlformats.org/spreadsheetml/2006/main" count="8466" uniqueCount="1362">
  <si>
    <t>Enrollment</t>
  </si>
  <si>
    <t>Non-</t>
  </si>
  <si>
    <t>Net</t>
  </si>
  <si>
    <t>Ave #</t>
  </si>
  <si>
    <t xml:space="preserve">Route </t>
  </si>
  <si>
    <t>Route</t>
  </si>
  <si>
    <t>Operating</t>
  </si>
  <si>
    <t xml:space="preserve">Students </t>
  </si>
  <si>
    <t>Per Pupil</t>
  </si>
  <si>
    <t>Dist. #</t>
  </si>
  <si>
    <t>District Name</t>
  </si>
  <si>
    <t>Miles</t>
  </si>
  <si>
    <t>Cost</t>
  </si>
  <si>
    <t>Transported</t>
  </si>
  <si>
    <t>Enrolled</t>
  </si>
  <si>
    <t>Per Mile</t>
  </si>
  <si>
    <t>(Route)</t>
  </si>
  <si>
    <t>AGWSR</t>
  </si>
  <si>
    <t>Adair-Casey</t>
  </si>
  <si>
    <t>Adel DeSoto Minburn</t>
  </si>
  <si>
    <t>Akron Westfield</t>
  </si>
  <si>
    <t>Albert City-Truesdale</t>
  </si>
  <si>
    <t>Albia</t>
  </si>
  <si>
    <t>Alburnett</t>
  </si>
  <si>
    <t>Alden</t>
  </si>
  <si>
    <t>Algona</t>
  </si>
  <si>
    <t>Allamakee</t>
  </si>
  <si>
    <t>Alta</t>
  </si>
  <si>
    <t>Ames</t>
  </si>
  <si>
    <t>Anamosa</t>
  </si>
  <si>
    <t>Andrew</t>
  </si>
  <si>
    <t>Ankeny</t>
  </si>
  <si>
    <t>Aplington-Parkersburg</t>
  </si>
  <si>
    <t>Ar-We-Va</t>
  </si>
  <si>
    <t>Atlantic</t>
  </si>
  <si>
    <t>Audubon</t>
  </si>
  <si>
    <t>Aurelia</t>
  </si>
  <si>
    <t>Ballard</t>
  </si>
  <si>
    <t>Battle Creek-Ida Grove</t>
  </si>
  <si>
    <t>Baxter</t>
  </si>
  <si>
    <t>BCLUW</t>
  </si>
  <si>
    <t>Bedford</t>
  </si>
  <si>
    <t>Belle Plaine</t>
  </si>
  <si>
    <t>Bellevue</t>
  </si>
  <si>
    <t>Belmond-Klemme</t>
  </si>
  <si>
    <t>Bennett</t>
  </si>
  <si>
    <t>Benton</t>
  </si>
  <si>
    <t>Bettendorf</t>
  </si>
  <si>
    <t>Bondurant-Farrar</t>
  </si>
  <si>
    <t>Boone</t>
  </si>
  <si>
    <t>Boyden-Hull</t>
  </si>
  <si>
    <t>West Hancock</t>
  </si>
  <si>
    <t>Brooklyn-Guernsey-Malcom</t>
  </si>
  <si>
    <t>North Iowa</t>
  </si>
  <si>
    <t>Burlington</t>
  </si>
  <si>
    <t>CAL</t>
  </si>
  <si>
    <t>Calamus-Wheatland</t>
  </si>
  <si>
    <t>Camanche</t>
  </si>
  <si>
    <t>Cardinal</t>
  </si>
  <si>
    <t>Carlisle</t>
  </si>
  <si>
    <t>Carroll</t>
  </si>
  <si>
    <t>Cedar Falls</t>
  </si>
  <si>
    <t>Cedar Rapids</t>
  </si>
  <si>
    <t>Center Point-Urbana</t>
  </si>
  <si>
    <t>Centerville</t>
  </si>
  <si>
    <t>Central Lee</t>
  </si>
  <si>
    <t>Central</t>
  </si>
  <si>
    <t>Central City</t>
  </si>
  <si>
    <t>Central Decatur</t>
  </si>
  <si>
    <t>Central Lyon</t>
  </si>
  <si>
    <t>Chariton</t>
  </si>
  <si>
    <t>Charles City</t>
  </si>
  <si>
    <t>Charter Oak-Ute</t>
  </si>
  <si>
    <t>Cherokee</t>
  </si>
  <si>
    <t>Clarinda</t>
  </si>
  <si>
    <t>Clarke</t>
  </si>
  <si>
    <t>Clarksville</t>
  </si>
  <si>
    <t>Clay Central-Everly</t>
  </si>
  <si>
    <t>Clear Creek Amana</t>
  </si>
  <si>
    <t>Clear Lake</t>
  </si>
  <si>
    <t>Clinton</t>
  </si>
  <si>
    <t>Colfax-Mingo</t>
  </si>
  <si>
    <t>College</t>
  </si>
  <si>
    <t>Collins-Maxwell</t>
  </si>
  <si>
    <t>Columbus</t>
  </si>
  <si>
    <t>Coon Rapids-Bayard</t>
  </si>
  <si>
    <t>Corning</t>
  </si>
  <si>
    <t>Council Bluffs</t>
  </si>
  <si>
    <t>Creston</t>
  </si>
  <si>
    <t>Dallas Center-Grimes</t>
  </si>
  <si>
    <t>Danville</t>
  </si>
  <si>
    <t>Davenport</t>
  </si>
  <si>
    <t>Davis County</t>
  </si>
  <si>
    <t>Decorah Community</t>
  </si>
  <si>
    <t>Delwood</t>
  </si>
  <si>
    <t>Denison</t>
  </si>
  <si>
    <t>Denver</t>
  </si>
  <si>
    <t>Des Moines Independent</t>
  </si>
  <si>
    <t>Diagonal</t>
  </si>
  <si>
    <t>Dike-New Hartford</t>
  </si>
  <si>
    <t>Dubuque</t>
  </si>
  <si>
    <t>Dunkerton</t>
  </si>
  <si>
    <t>Boyer Valley</t>
  </si>
  <si>
    <t>Durant</t>
  </si>
  <si>
    <t>Eagle Grove</t>
  </si>
  <si>
    <t>Earlham</t>
  </si>
  <si>
    <t>East Buchanan</t>
  </si>
  <si>
    <t>East Marshall</t>
  </si>
  <si>
    <t>East Union</t>
  </si>
  <si>
    <t>Eastern Allamakee</t>
  </si>
  <si>
    <t>River Valley</t>
  </si>
  <si>
    <t>Edgewood-Colesburg</t>
  </si>
  <si>
    <t>Eldora-New Providence</t>
  </si>
  <si>
    <t>Emmetsburg</t>
  </si>
  <si>
    <t>English Valleys</t>
  </si>
  <si>
    <t>Essex</t>
  </si>
  <si>
    <t>Estherville Lincoln</t>
  </si>
  <si>
    <t>Fairfield</t>
  </si>
  <si>
    <t>Forest City</t>
  </si>
  <si>
    <t>Fort Dodge</t>
  </si>
  <si>
    <t>Fort Madison</t>
  </si>
  <si>
    <t>Fremont-Mills</t>
  </si>
  <si>
    <t>Galva-Holstein</t>
  </si>
  <si>
    <t>George-Little Rock</t>
  </si>
  <si>
    <t>Gilbert</t>
  </si>
  <si>
    <t>Gilmore City-Bradgate</t>
  </si>
  <si>
    <t>Gladbrook-Reinbeck</t>
  </si>
  <si>
    <t>Glenwood</t>
  </si>
  <si>
    <t>Glidden-Ralston</t>
  </si>
  <si>
    <t>Graettinger-Terril</t>
  </si>
  <si>
    <t>Nodaway Valley</t>
  </si>
  <si>
    <t>GMG</t>
  </si>
  <si>
    <t>Grinnell-Newburg</t>
  </si>
  <si>
    <t>Griswold</t>
  </si>
  <si>
    <t>Grundy Center</t>
  </si>
  <si>
    <t>Guthrie Center</t>
  </si>
  <si>
    <t>Clayton Ridge</t>
  </si>
  <si>
    <t>H-L-V</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</si>
  <si>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</si>
  <si>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</si>
  <si>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</si>
  <si>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</si>
  <si>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</si>
  <si>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</si>
  <si>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</si>
  <si>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</si>
  <si>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</si>
  <si>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</si>
  <si>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</si>
  <si>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</si>
  <si>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</si>
  <si>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</si>
  <si>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</si>
  <si>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</si>
  <si>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</si>
  <si>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</si>
  <si>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Janesville Consolidated</t>
  </si>
  <si>
    <t>Jesup</t>
  </si>
  <si>
    <t>Johnston</t>
  </si>
  <si>
    <t>Keokuk</t>
  </si>
  <si>
    <t>Keota</t>
  </si>
  <si>
    <t>Kingsley-Pierson</t>
  </si>
  <si>
    <t>Knoxville</t>
  </si>
  <si>
    <t>Lake Mills</t>
  </si>
  <si>
    <t>Lamoni</t>
  </si>
  <si>
    <t>Laurens-Marathon</t>
  </si>
  <si>
    <t>Lawton-Bronson</t>
  </si>
  <si>
    <t>Le Mars</t>
  </si>
  <si>
    <t>Lenox</t>
  </si>
  <si>
    <t>Lewis Central</t>
  </si>
  <si>
    <t>North Cedar</t>
  </si>
  <si>
    <t>Linn-Mar</t>
  </si>
  <si>
    <t>Lisbon</t>
  </si>
  <si>
    <t>Logan-Magnolia</t>
  </si>
  <si>
    <t>Lone Tree</t>
  </si>
  <si>
    <t>Louisa-Muscatine</t>
  </si>
  <si>
    <t>LuVerne</t>
  </si>
  <si>
    <t>Lynnville-Sully</t>
  </si>
  <si>
    <t>Madrid</t>
  </si>
  <si>
    <t>Manson Northwest Webster</t>
  </si>
  <si>
    <t>Maquoketa</t>
  </si>
  <si>
    <t>Maquoketa Valley</t>
  </si>
  <si>
    <t>Marcus-Meriden-Cleghorn</t>
  </si>
  <si>
    <t>Marion Independent</t>
  </si>
  <si>
    <t>Marshalltown</t>
  </si>
  <si>
    <t>Martensdale-St Marys</t>
  </si>
  <si>
    <t>Mason City</t>
  </si>
  <si>
    <t>MOC-Floyd Valley</t>
  </si>
  <si>
    <t>Mediapolis</t>
  </si>
  <si>
    <t>Melcher-Dallas</t>
  </si>
  <si>
    <t>Midland</t>
  </si>
  <si>
    <t>Mid-Prairie</t>
  </si>
  <si>
    <t>Missouri Valley</t>
  </si>
  <si>
    <t>MFL MarMac</t>
  </si>
  <si>
    <t>Montezuma</t>
  </si>
  <si>
    <t>Monticello</t>
  </si>
  <si>
    <t>Moravia</t>
  </si>
  <si>
    <t>Mormon Trail</t>
  </si>
  <si>
    <t>Morning Sun</t>
  </si>
  <si>
    <t>Moulton-Udell</t>
  </si>
  <si>
    <t>Mount Ayr</t>
  </si>
  <si>
    <t>Mount Pleasant</t>
  </si>
  <si>
    <t>Mount Vernon</t>
  </si>
  <si>
    <t>Murray</t>
  </si>
  <si>
    <t>Muscatine</t>
  </si>
  <si>
    <t>Nashua-Plainfield</t>
  </si>
  <si>
    <t>Nevada</t>
  </si>
  <si>
    <t>Newell-Fonda</t>
  </si>
  <si>
    <t>New Hampton</t>
  </si>
  <si>
    <t>New London</t>
  </si>
  <si>
    <t>Newton</t>
  </si>
  <si>
    <t>Northeast</t>
  </si>
  <si>
    <t>North Fayette</t>
  </si>
  <si>
    <t>Northeast Hamilton</t>
  </si>
  <si>
    <t>North Mahaska</t>
  </si>
  <si>
    <t>North Linn</t>
  </si>
  <si>
    <t>North Kossuth</t>
  </si>
  <si>
    <t>North Polk</t>
  </si>
  <si>
    <t>North Scott</t>
  </si>
  <si>
    <t>North Tama County</t>
  </si>
  <si>
    <t>North Winneshiek</t>
  </si>
  <si>
    <t>Northwood-Kensett</t>
  </si>
  <si>
    <t>Norwalk</t>
  </si>
  <si>
    <t>Odebolt-Arthur</t>
  </si>
  <si>
    <t>Oelwein</t>
  </si>
  <si>
    <t>Ogden</t>
  </si>
  <si>
    <t>Okoboji</t>
  </si>
  <si>
    <t>Olin Consolidated</t>
  </si>
  <si>
    <t>Orient-Macksburg</t>
  </si>
  <si>
    <t>Osage</t>
  </si>
  <si>
    <t>Oskaloosa</t>
  </si>
  <si>
    <t>Ottumwa</t>
  </si>
  <si>
    <t>Panorama</t>
  </si>
  <si>
    <t>Paton-Churdan</t>
  </si>
  <si>
    <t>PCM</t>
  </si>
  <si>
    <t>Pekin</t>
  </si>
  <si>
    <t>Pella</t>
  </si>
  <si>
    <t>Perry</t>
  </si>
  <si>
    <t>Pleasant Valley</t>
  </si>
  <si>
    <t>Pleasantville</t>
  </si>
  <si>
    <t>Pocahontas Area</t>
  </si>
  <si>
    <t>Postville</t>
  </si>
  <si>
    <t>Prairie Valley</t>
  </si>
  <si>
    <t>Red Oak</t>
  </si>
  <si>
    <t>Remsen-Union</t>
  </si>
  <si>
    <t>Riceville</t>
  </si>
  <si>
    <t>Riverside</t>
  </si>
  <si>
    <t>Rock Valley</t>
  </si>
  <si>
    <t>Roland-Story</t>
  </si>
  <si>
    <t>Ruthven-Ayrshire</t>
  </si>
  <si>
    <t>St Ansgar</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</si>
  <si>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</si>
  <si>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</si>
  <si>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</si>
  <si>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</si>
  <si>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</si>
  <si>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</si>
  <si>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</si>
  <si>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</si>
  <si>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</si>
  <si>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</si>
  <si>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</si>
  <si>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</si>
  <si>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</si>
  <si>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</si>
  <si>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Southeast Warren</t>
  </si>
  <si>
    <t>South Hamilton</t>
  </si>
  <si>
    <t>Southeast Webster Grand</t>
  </si>
  <si>
    <t>South Page</t>
  </si>
  <si>
    <t>South Tama County</t>
  </si>
  <si>
    <t>South O'Brien</t>
  </si>
  <si>
    <t>South Winneshiek</t>
  </si>
  <si>
    <t>Southeast Polk</t>
  </si>
  <si>
    <t>Spencer</t>
  </si>
  <si>
    <t>Spirit Lake</t>
  </si>
  <si>
    <t>Springville</t>
  </si>
  <si>
    <t>Stanton</t>
  </si>
  <si>
    <t>Starmont</t>
  </si>
  <si>
    <t>Storm Lake</t>
  </si>
  <si>
    <t>Stratford</t>
  </si>
  <si>
    <t>West Central Valley</t>
  </si>
  <si>
    <t>Tipton</t>
  </si>
  <si>
    <t>Treynor</t>
  </si>
  <si>
    <t>Tri-Center</t>
  </si>
  <si>
    <t>Tri-County</t>
  </si>
  <si>
    <t>Tripoli</t>
  </si>
  <si>
    <t>Turkey Valley</t>
  </si>
  <si>
    <t>Twin Cedars</t>
  </si>
  <si>
    <t>Twin Rivers</t>
  </si>
  <si>
    <t>Underwood</t>
  </si>
  <si>
    <t>Union</t>
  </si>
  <si>
    <t>United</t>
  </si>
  <si>
    <t>Urbandale</t>
  </si>
  <si>
    <t>Valley</t>
  </si>
  <si>
    <t>Van Buren</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</si>
  <si>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</si>
  <si>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</si>
  <si>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</si>
  <si>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</si>
  <si>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</si>
  <si>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</si>
  <si>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</si>
  <si>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</si>
  <si>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</si>
  <si>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</si>
  <si>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</si>
  <si>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</si>
  <si>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</si>
  <si>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</si>
  <si>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 Ind</t>
  </si>
  <si>
    <t>West Central</t>
  </si>
  <si>
    <t>West Delaware County</t>
  </si>
  <si>
    <t>West Des Moines</t>
  </si>
  <si>
    <t>Western Dubuque</t>
  </si>
  <si>
    <t>West Harrison</t>
  </si>
  <si>
    <t>West Liberty</t>
  </si>
  <si>
    <t>West Lyon</t>
  </si>
  <si>
    <t>West Marshall</t>
  </si>
  <si>
    <t>West Monona</t>
  </si>
  <si>
    <t>West Sioux</t>
  </si>
  <si>
    <t>Westwood</t>
  </si>
  <si>
    <t>Whiting</t>
  </si>
  <si>
    <t>Williamsburg</t>
  </si>
  <si>
    <t>Wilton</t>
  </si>
  <si>
    <t>Winfield-Mt Union</t>
  </si>
  <si>
    <t>Winterset</t>
  </si>
  <si>
    <t>Woodbine</t>
  </si>
  <si>
    <t>Woodbury Central</t>
  </si>
  <si>
    <t>Woodward-Granger</t>
  </si>
  <si>
    <t>North Butler</t>
  </si>
  <si>
    <t>IKM-Manning</t>
  </si>
  <si>
    <t>East Mills</t>
  </si>
  <si>
    <t>Central Springs</t>
  </si>
  <si>
    <t>East Sac County</t>
  </si>
  <si>
    <t>(cert less</t>
  </si>
  <si>
    <t>share time)</t>
  </si>
  <si>
    <t>Easton Valley</t>
  </si>
  <si>
    <t>Maple Valley-Anthon Oto</t>
  </si>
  <si>
    <t>Approx.</t>
  </si>
  <si>
    <t>Dist. Sq.</t>
  </si>
  <si>
    <t>South Central Calhoun</t>
  </si>
  <si>
    <t>Sumner-Fredericksburg</t>
  </si>
  <si>
    <t>Greene County</t>
  </si>
  <si>
    <t>North Union</t>
  </si>
  <si>
    <t>Clarion-Goldfield-Dows</t>
  </si>
  <si>
    <t>7110</t>
  </si>
  <si>
    <t>7098</t>
  </si>
  <si>
    <t>7092</t>
  </si>
  <si>
    <t>7056</t>
  </si>
  <si>
    <t>7047</t>
  </si>
  <si>
    <t>7038</t>
  </si>
  <si>
    <t>7029</t>
  </si>
  <si>
    <t>7002</t>
  </si>
  <si>
    <t>6992</t>
  </si>
  <si>
    <t>6990</t>
  </si>
  <si>
    <t>6987</t>
  </si>
  <si>
    <t>6985</t>
  </si>
  <si>
    <t>6983</t>
  </si>
  <si>
    <t>6975</t>
  </si>
  <si>
    <t>6969</t>
  </si>
  <si>
    <t>6961</t>
  </si>
  <si>
    <t>6957</t>
  </si>
  <si>
    <t>6950</t>
  </si>
  <si>
    <t>6943</t>
  </si>
  <si>
    <t>6937</t>
  </si>
  <si>
    <t>6930</t>
  </si>
  <si>
    <t>6921</t>
  </si>
  <si>
    <t>6867</t>
  </si>
  <si>
    <t>6854</t>
  </si>
  <si>
    <t>6840</t>
  </si>
  <si>
    <t>6822</t>
  </si>
  <si>
    <t>6795</t>
  </si>
  <si>
    <t>6768</t>
  </si>
  <si>
    <t>6762</t>
  </si>
  <si>
    <t>6759</t>
  </si>
  <si>
    <t>6741</t>
  </si>
  <si>
    <t>6700</t>
  </si>
  <si>
    <t>6660</t>
  </si>
  <si>
    <t>6651</t>
  </si>
  <si>
    <t>6615</t>
  </si>
  <si>
    <t>6592</t>
  </si>
  <si>
    <t>6591</t>
  </si>
  <si>
    <t>6579</t>
  </si>
  <si>
    <t>6561</t>
  </si>
  <si>
    <t>6536</t>
  </si>
  <si>
    <t>6534</t>
  </si>
  <si>
    <t>6516</t>
  </si>
  <si>
    <t>6512</t>
  </si>
  <si>
    <t>6509</t>
  </si>
  <si>
    <t>6471</t>
  </si>
  <si>
    <t>6462</t>
  </si>
  <si>
    <t>6460</t>
  </si>
  <si>
    <t>6453</t>
  </si>
  <si>
    <t>6408</t>
  </si>
  <si>
    <t>6273</t>
  </si>
  <si>
    <t>6264</t>
  </si>
  <si>
    <t>6246</t>
  </si>
  <si>
    <t>6219</t>
  </si>
  <si>
    <t>6175</t>
  </si>
  <si>
    <t>6165</t>
  </si>
  <si>
    <t>6138</t>
  </si>
  <si>
    <t>6120</t>
  </si>
  <si>
    <t>6102</t>
  </si>
  <si>
    <t>6101</t>
  </si>
  <si>
    <t>6100</t>
  </si>
  <si>
    <t>6099</t>
  </si>
  <si>
    <t>6098</t>
  </si>
  <si>
    <t>6097</t>
  </si>
  <si>
    <t>6096</t>
  </si>
  <si>
    <t>6095</t>
  </si>
  <si>
    <t>6094</t>
  </si>
  <si>
    <t>6093</t>
  </si>
  <si>
    <t>6091</t>
  </si>
  <si>
    <t>6039</t>
  </si>
  <si>
    <t>6035</t>
  </si>
  <si>
    <t>6030</t>
  </si>
  <si>
    <t>6012</t>
  </si>
  <si>
    <t>6003</t>
  </si>
  <si>
    <t>5994</t>
  </si>
  <si>
    <t>5976</t>
  </si>
  <si>
    <t>5949</t>
  </si>
  <si>
    <t>5922</t>
  </si>
  <si>
    <t>5895</t>
  </si>
  <si>
    <t>5877</t>
  </si>
  <si>
    <t>5832</t>
  </si>
  <si>
    <t>5823</t>
  </si>
  <si>
    <t>5805</t>
  </si>
  <si>
    <t>5751</t>
  </si>
  <si>
    <t>5724</t>
  </si>
  <si>
    <t>5697</t>
  </si>
  <si>
    <t>5643</t>
  </si>
  <si>
    <t>5607</t>
  </si>
  <si>
    <t>5510</t>
  </si>
  <si>
    <t>5508</t>
  </si>
  <si>
    <t>5486</t>
  </si>
  <si>
    <t>5463</t>
  </si>
  <si>
    <t>5325</t>
  </si>
  <si>
    <t>5310</t>
  </si>
  <si>
    <t>5283</t>
  </si>
  <si>
    <t>5256</t>
  </si>
  <si>
    <t>5250</t>
  </si>
  <si>
    <t>5184</t>
  </si>
  <si>
    <t>5166</t>
  </si>
  <si>
    <t>5163</t>
  </si>
  <si>
    <t>5160</t>
  </si>
  <si>
    <t>5139</t>
  </si>
  <si>
    <t>5121</t>
  </si>
  <si>
    <t>5049</t>
  </si>
  <si>
    <t>5013</t>
  </si>
  <si>
    <t>4995</t>
  </si>
  <si>
    <t>4978</t>
  </si>
  <si>
    <t>4905</t>
  </si>
  <si>
    <t>4890</t>
  </si>
  <si>
    <t>4878</t>
  </si>
  <si>
    <t>4869</t>
  </si>
  <si>
    <t>4860</t>
  </si>
  <si>
    <t>4797</t>
  </si>
  <si>
    <t>4788</t>
  </si>
  <si>
    <t>4787</t>
  </si>
  <si>
    <t>4785</t>
  </si>
  <si>
    <t>4784</t>
  </si>
  <si>
    <t>4779</t>
  </si>
  <si>
    <t>4778</t>
  </si>
  <si>
    <t>4777</t>
  </si>
  <si>
    <t>4776</t>
  </si>
  <si>
    <t>4775</t>
  </si>
  <si>
    <t>4774</t>
  </si>
  <si>
    <t>4773</t>
  </si>
  <si>
    <t>4772</t>
  </si>
  <si>
    <t>4725</t>
  </si>
  <si>
    <t>4689</t>
  </si>
  <si>
    <t>4662</t>
  </si>
  <si>
    <t>4644</t>
  </si>
  <si>
    <t>4617</t>
  </si>
  <si>
    <t>4599</t>
  </si>
  <si>
    <t>4581</t>
  </si>
  <si>
    <t>4572</t>
  </si>
  <si>
    <t>4554</t>
  </si>
  <si>
    <t>4536</t>
  </si>
  <si>
    <t>4527</t>
  </si>
  <si>
    <t>4518</t>
  </si>
  <si>
    <t>4509</t>
  </si>
  <si>
    <t>4505</t>
  </si>
  <si>
    <t>4491</t>
  </si>
  <si>
    <t>4446</t>
  </si>
  <si>
    <t>4437</t>
  </si>
  <si>
    <t>4419</t>
  </si>
  <si>
    <t>4356</t>
  </si>
  <si>
    <t>4271</t>
  </si>
  <si>
    <t>4269</t>
  </si>
  <si>
    <t>4212</t>
  </si>
  <si>
    <t>4203</t>
  </si>
  <si>
    <t>4149</t>
  </si>
  <si>
    <t>4131</t>
  </si>
  <si>
    <t>4122</t>
  </si>
  <si>
    <t>4104</t>
  </si>
  <si>
    <t>4086</t>
  </si>
  <si>
    <t>4068</t>
  </si>
  <si>
    <t>4043</t>
  </si>
  <si>
    <t>4041</t>
  </si>
  <si>
    <t>4033</t>
  </si>
  <si>
    <t>4023</t>
  </si>
  <si>
    <t>3978</t>
  </si>
  <si>
    <t>3942</t>
  </si>
  <si>
    <t>3906</t>
  </si>
  <si>
    <t>3897</t>
  </si>
  <si>
    <t>3841</t>
  </si>
  <si>
    <t>3816</t>
  </si>
  <si>
    <t>3798</t>
  </si>
  <si>
    <t>3744</t>
  </si>
  <si>
    <t>3715</t>
  </si>
  <si>
    <t>3691</t>
  </si>
  <si>
    <t>3645</t>
  </si>
  <si>
    <t>3609</t>
  </si>
  <si>
    <t>3600</t>
  </si>
  <si>
    <t>3555</t>
  </si>
  <si>
    <t>3537</t>
  </si>
  <si>
    <t>3465</t>
  </si>
  <si>
    <t>3420</t>
  </si>
  <si>
    <t>3375</t>
  </si>
  <si>
    <t>3348</t>
  </si>
  <si>
    <t>3330</t>
  </si>
  <si>
    <t>3312</t>
  </si>
  <si>
    <t>3231</t>
  </si>
  <si>
    <t>3204</t>
  </si>
  <si>
    <t>3195</t>
  </si>
  <si>
    <t>3186</t>
  </si>
  <si>
    <t>3168</t>
  </si>
  <si>
    <t>3154</t>
  </si>
  <si>
    <t>3150</t>
  </si>
  <si>
    <t>3141</t>
  </si>
  <si>
    <t>3119</t>
  </si>
  <si>
    <t>3114</t>
  </si>
  <si>
    <t>3105</t>
  </si>
  <si>
    <t>3060</t>
  </si>
  <si>
    <t>3042</t>
  </si>
  <si>
    <t>3033</t>
  </si>
  <si>
    <t>3029</t>
  </si>
  <si>
    <t>2988</t>
  </si>
  <si>
    <t>2977</t>
  </si>
  <si>
    <t>2862</t>
  </si>
  <si>
    <t>2846</t>
  </si>
  <si>
    <t>2834</t>
  </si>
  <si>
    <t>2826</t>
  </si>
  <si>
    <t>2781</t>
  </si>
  <si>
    <t>2772</t>
  </si>
  <si>
    <t>2766</t>
  </si>
  <si>
    <t>2763</t>
  </si>
  <si>
    <t>2754</t>
  </si>
  <si>
    <t>2727</t>
  </si>
  <si>
    <t>2718</t>
  </si>
  <si>
    <t>2709</t>
  </si>
  <si>
    <t>2682</t>
  </si>
  <si>
    <t>2673</t>
  </si>
  <si>
    <t>2556</t>
  </si>
  <si>
    <t>2520</t>
  </si>
  <si>
    <t>2511</t>
  </si>
  <si>
    <t>2502</t>
  </si>
  <si>
    <t>2493</t>
  </si>
  <si>
    <t>2466</t>
  </si>
  <si>
    <t>2457</t>
  </si>
  <si>
    <t>Garner-Hayfield-Ventura</t>
  </si>
  <si>
    <t>2403</t>
  </si>
  <si>
    <t>2376</t>
  </si>
  <si>
    <t>2369</t>
  </si>
  <si>
    <t>2322</t>
  </si>
  <si>
    <t>2313</t>
  </si>
  <si>
    <t>2295</t>
  </si>
  <si>
    <t>2169</t>
  </si>
  <si>
    <t>Exira-Elk Horn-</t>
  </si>
  <si>
    <t>2151</t>
  </si>
  <si>
    <t>2124</t>
  </si>
  <si>
    <t>2113</t>
  </si>
  <si>
    <t>2097</t>
  </si>
  <si>
    <t>2088</t>
  </si>
  <si>
    <t>2007</t>
  </si>
  <si>
    <t>1989</t>
  </si>
  <si>
    <t>1975</t>
  </si>
  <si>
    <t>1972</t>
  </si>
  <si>
    <t>1970</t>
  </si>
  <si>
    <t>1968</t>
  </si>
  <si>
    <t>1965</t>
  </si>
  <si>
    <t>1963</t>
  </si>
  <si>
    <t>1953</t>
  </si>
  <si>
    <t>1944</t>
  </si>
  <si>
    <t>1926</t>
  </si>
  <si>
    <t>1917</t>
  </si>
  <si>
    <t>1908</t>
  </si>
  <si>
    <t>1863</t>
  </si>
  <si>
    <t>1791</t>
  </si>
  <si>
    <t>1782</t>
  </si>
  <si>
    <t>1737</t>
  </si>
  <si>
    <t>1719</t>
  </si>
  <si>
    <t>1701</t>
  </si>
  <si>
    <t>1675</t>
  </si>
  <si>
    <t>1638</t>
  </si>
  <si>
    <t>1619</t>
  </si>
  <si>
    <t>1611</t>
  </si>
  <si>
    <t>1602</t>
  </si>
  <si>
    <t>1576</t>
  </si>
  <si>
    <t>1503</t>
  </si>
  <si>
    <t>1476</t>
  </si>
  <si>
    <t>1431</t>
  </si>
  <si>
    <t>1413</t>
  </si>
  <si>
    <t>1368</t>
  </si>
  <si>
    <t>Colo-NESCO</t>
  </si>
  <si>
    <t>1359</t>
  </si>
  <si>
    <t>1350</t>
  </si>
  <si>
    <t>1337</t>
  </si>
  <si>
    <t>1332</t>
  </si>
  <si>
    <t>1278</t>
  </si>
  <si>
    <t>1233</t>
  </si>
  <si>
    <t>1221</t>
  </si>
  <si>
    <t>1218</t>
  </si>
  <si>
    <t>1215</t>
  </si>
  <si>
    <t>1211</t>
  </si>
  <si>
    <t>1206</t>
  </si>
  <si>
    <t>1197</t>
  </si>
  <si>
    <t>1152</t>
  </si>
  <si>
    <t>1134</t>
  </si>
  <si>
    <t>1116</t>
  </si>
  <si>
    <t>1107</t>
  </si>
  <si>
    <t>1095</t>
  </si>
  <si>
    <t>1093</t>
  </si>
  <si>
    <t>1089</t>
  </si>
  <si>
    <t>Central DeWitt</t>
  </si>
  <si>
    <t>1082</t>
  </si>
  <si>
    <t>1080</t>
  </si>
  <si>
    <t>1079</t>
  </si>
  <si>
    <t>1071</t>
  </si>
  <si>
    <t>1062</t>
  </si>
  <si>
    <t>1053</t>
  </si>
  <si>
    <t>1044</t>
  </si>
  <si>
    <t>0999</t>
  </si>
  <si>
    <t>0981</t>
  </si>
  <si>
    <t>0977</t>
  </si>
  <si>
    <t>0936</t>
  </si>
  <si>
    <t>0918</t>
  </si>
  <si>
    <t>0916</t>
  </si>
  <si>
    <t>CAM</t>
  </si>
  <si>
    <t>0914</t>
  </si>
  <si>
    <t>0882</t>
  </si>
  <si>
    <t>0873</t>
  </si>
  <si>
    <t>0846</t>
  </si>
  <si>
    <t>0819</t>
  </si>
  <si>
    <t>0747</t>
  </si>
  <si>
    <t>0729</t>
  </si>
  <si>
    <t>0720</t>
  </si>
  <si>
    <t>Eddyville-Blakesburg-</t>
  </si>
  <si>
    <t>0657</t>
  </si>
  <si>
    <t>0621</t>
  </si>
  <si>
    <t>0609</t>
  </si>
  <si>
    <t>0603</t>
  </si>
  <si>
    <t>0594</t>
  </si>
  <si>
    <t>0585</t>
  </si>
  <si>
    <t>0576</t>
  </si>
  <si>
    <t>0549</t>
  </si>
  <si>
    <t>0540</t>
  </si>
  <si>
    <t>0513</t>
  </si>
  <si>
    <t>0504</t>
  </si>
  <si>
    <t>0472</t>
  </si>
  <si>
    <t>0441</t>
  </si>
  <si>
    <t>0423</t>
  </si>
  <si>
    <t>0414</t>
  </si>
  <si>
    <t>0387</t>
  </si>
  <si>
    <t>0355</t>
  </si>
  <si>
    <t>0333</t>
  </si>
  <si>
    <t>0279</t>
  </si>
  <si>
    <t>0261</t>
  </si>
  <si>
    <t>0243</t>
  </si>
  <si>
    <t>0234</t>
  </si>
  <si>
    <t>0225</t>
  </si>
  <si>
    <t>0171</t>
  </si>
  <si>
    <t>0153</t>
  </si>
  <si>
    <t>0135</t>
  </si>
  <si>
    <t>0126</t>
  </si>
  <si>
    <t>0108</t>
  </si>
  <si>
    <t>0099</t>
  </si>
  <si>
    <t>0081</t>
  </si>
  <si>
    <t>0072</t>
  </si>
  <si>
    <t>0063</t>
  </si>
  <si>
    <t>0027</t>
  </si>
  <si>
    <t>0018</t>
  </si>
  <si>
    <t>0009</t>
  </si>
  <si>
    <t>NAME</t>
  </si>
  <si>
    <t>Total</t>
  </si>
  <si>
    <t>11</t>
  </si>
  <si>
    <t>ADAIR-CASEY</t>
  </si>
  <si>
    <t>ADEL-DESOTO-MINBURN</t>
  </si>
  <si>
    <t>07</t>
  </si>
  <si>
    <t>13</t>
  </si>
  <si>
    <t>AHSTW</t>
  </si>
  <si>
    <t>12</t>
  </si>
  <si>
    <t>AKRON-WESTFIELD</t>
  </si>
  <si>
    <t>05</t>
  </si>
  <si>
    <t>ALBERT CITY-TRUESDALE</t>
  </si>
  <si>
    <t>15</t>
  </si>
  <si>
    <t>ALBIA</t>
  </si>
  <si>
    <t>10</t>
  </si>
  <si>
    <t>ALBURNETT</t>
  </si>
  <si>
    <t>ALDEN</t>
  </si>
  <si>
    <t>6417</t>
  </si>
  <si>
    <t>ALGONA</t>
  </si>
  <si>
    <t>01</t>
  </si>
  <si>
    <t>ALLAMAKEE</t>
  </si>
  <si>
    <t>AMES</t>
  </si>
  <si>
    <t>ANAMOSA</t>
  </si>
  <si>
    <t>09</t>
  </si>
  <si>
    <t>ANDREW</t>
  </si>
  <si>
    <t>ANKENY</t>
  </si>
  <si>
    <t>APLINGTON-PARKERSBURG</t>
  </si>
  <si>
    <t>AR-WE-VA</t>
  </si>
  <si>
    <t>ATLANTIC</t>
  </si>
  <si>
    <t>AUDUBON</t>
  </si>
  <si>
    <t>BALLARD</t>
  </si>
  <si>
    <t>BAXTER</t>
  </si>
  <si>
    <t>BEDFORD</t>
  </si>
  <si>
    <t>BELLE PLAINE</t>
  </si>
  <si>
    <t>BELLEVUE</t>
  </si>
  <si>
    <t>BELMOND-KLEMME</t>
  </si>
  <si>
    <t>BENNETT</t>
  </si>
  <si>
    <t>BENTON</t>
  </si>
  <si>
    <t>BETTENDORF</t>
  </si>
  <si>
    <t>BONDURANT-FARRAR</t>
  </si>
  <si>
    <t>BOONE</t>
  </si>
  <si>
    <t>BOYDEN-HULL</t>
  </si>
  <si>
    <t>BOYER VALLEY</t>
  </si>
  <si>
    <t>BROOKLYN-GUERNSEY-MALCOM</t>
  </si>
  <si>
    <t>BURLINGTON</t>
  </si>
  <si>
    <t>CAMANCHE</t>
  </si>
  <si>
    <t>CARDINAL</t>
  </si>
  <si>
    <t>CARLISLE</t>
  </si>
  <si>
    <t>CARROLL</t>
  </si>
  <si>
    <t>CEDAR FALLS</t>
  </si>
  <si>
    <t>CEDAR RAPIDS</t>
  </si>
  <si>
    <t>CENTER POINT-URBANA</t>
  </si>
  <si>
    <t>CENTERVILLE</t>
  </si>
  <si>
    <t>CENTRAL CITY</t>
  </si>
  <si>
    <t>CENTRAL CLAYTON</t>
  </si>
  <si>
    <t>CENTRAL DE WITT</t>
  </si>
  <si>
    <t>CENTRAL DECATUR</t>
  </si>
  <si>
    <t>CENTRAL LEE</t>
  </si>
  <si>
    <t>CENTRAL LYON</t>
  </si>
  <si>
    <t>CENTRAL SPRINGS</t>
  </si>
  <si>
    <t>CHARITON</t>
  </si>
  <si>
    <t>CHARLES CITY</t>
  </si>
  <si>
    <t>CHARTER OAK-UTE</t>
  </si>
  <si>
    <t>CHEROKEE</t>
  </si>
  <si>
    <t>CLARINDA</t>
  </si>
  <si>
    <t>1854</t>
  </si>
  <si>
    <t>CLARION-GOLDFIELD-DOWS</t>
  </si>
  <si>
    <t>CLARKE</t>
  </si>
  <si>
    <t>CLARKSVILLE</t>
  </si>
  <si>
    <t>CLAY CENTRAL-EVERLY</t>
  </si>
  <si>
    <t>CLAYTON RIDGE</t>
  </si>
  <si>
    <t>0216</t>
  </si>
  <si>
    <t>CLEAR LAKE</t>
  </si>
  <si>
    <t>CLINTON</t>
  </si>
  <si>
    <t>COLFAX-MINGO</t>
  </si>
  <si>
    <t>COLLINS-MAXWELL</t>
  </si>
  <si>
    <t>COLO-NESCO</t>
  </si>
  <si>
    <t>COLUMBUS</t>
  </si>
  <si>
    <t>COON RAPIDS-BAYARD</t>
  </si>
  <si>
    <t>CORNING</t>
  </si>
  <si>
    <t>COUNCIL BLUFFS</t>
  </si>
  <si>
    <t>5328</t>
  </si>
  <si>
    <t>CRESTON</t>
  </si>
  <si>
    <t>DALLAS CENTER-GRIMES</t>
  </si>
  <si>
    <t>DANVILLE</t>
  </si>
  <si>
    <t>DAVENPORT</t>
  </si>
  <si>
    <t>DAVIS COUNTY</t>
  </si>
  <si>
    <t>DECORAH</t>
  </si>
  <si>
    <t>DELWOOD</t>
  </si>
  <si>
    <t>DENISON</t>
  </si>
  <si>
    <t>DENVER</t>
  </si>
  <si>
    <t>DES MOINES</t>
  </si>
  <si>
    <t>DIAGONAL</t>
  </si>
  <si>
    <t>DUBUQUE</t>
  </si>
  <si>
    <t>DUNKERTON</t>
  </si>
  <si>
    <t>DURANT</t>
  </si>
  <si>
    <t>EAGLE GROVE</t>
  </si>
  <si>
    <t>EARLHAM</t>
  </si>
  <si>
    <t>EAST BUCHANAN</t>
  </si>
  <si>
    <t>3582</t>
  </si>
  <si>
    <t>EAST MARSHALL</t>
  </si>
  <si>
    <t>4751</t>
  </si>
  <si>
    <t>EAST MILLS</t>
  </si>
  <si>
    <t>EAST SAC COUNTY</t>
  </si>
  <si>
    <t>EAST UNION</t>
  </si>
  <si>
    <t>EASTERN ALLAMAKEE</t>
  </si>
  <si>
    <t>EASTON VALLEY</t>
  </si>
  <si>
    <t>EDDYVILLE-BLAKESBURG-FREMONT</t>
  </si>
  <si>
    <t>EDGEWOOD-COLESBURG</t>
  </si>
  <si>
    <t>ELDORA-NEW PROVIDENCE</t>
  </si>
  <si>
    <t>EMMETSBURG</t>
  </si>
  <si>
    <t>ESSEX</t>
  </si>
  <si>
    <t>ESTHERVILLE-LINCOLN CENTRAL</t>
  </si>
  <si>
    <t>EXIRA-ELK HORN-KIMBALLTON</t>
  </si>
  <si>
    <t>FAIRFIELD</t>
  </si>
  <si>
    <t>FOREST CITY</t>
  </si>
  <si>
    <t>FORT DODGE</t>
  </si>
  <si>
    <t>FORT MADISON</t>
  </si>
  <si>
    <t>FREMONT-MILLS</t>
  </si>
  <si>
    <t>GALVA-HOLSTEIN</t>
  </si>
  <si>
    <t>GARNER-HAYFIELD-VENTURA</t>
  </si>
  <si>
    <t>GEORGE-LITTLE ROCK</t>
  </si>
  <si>
    <t>GILBERT</t>
  </si>
  <si>
    <t>GILMORE CITY-BRADGATE</t>
  </si>
  <si>
    <t>GLADBROOK-REINBECK</t>
  </si>
  <si>
    <t>GLENWOOD</t>
  </si>
  <si>
    <t>GLIDDEN-RALSTON</t>
  </si>
  <si>
    <t>GRAETTINGER-TERRIL</t>
  </si>
  <si>
    <t>GREENE COUNTY</t>
  </si>
  <si>
    <t>GRINNELL-NEWBURG</t>
  </si>
  <si>
    <t>GRISWOLD</t>
  </si>
  <si>
    <t>GRUNDY CENTER</t>
  </si>
  <si>
    <t>GUTHRIE CENTER</t>
  </si>
  <si>
    <t>HAMBURG</t>
  </si>
  <si>
    <t>HAMPTON-DUMONT</t>
  </si>
  <si>
    <t>HARLAN</t>
  </si>
  <si>
    <t>HARMONY</t>
  </si>
  <si>
    <t>HARRIS-LAKE PARK</t>
  </si>
  <si>
    <t>HARTLEY-MELVIN-SANBORN</t>
  </si>
  <si>
    <t>HIGHLAND</t>
  </si>
  <si>
    <t>HINTON</t>
  </si>
  <si>
    <t>HLV</t>
  </si>
  <si>
    <t>HOWARD-WINNESHIEK</t>
  </si>
  <si>
    <t>HUBBARD-RADCLIFFE</t>
  </si>
  <si>
    <t>HUDSON</t>
  </si>
  <si>
    <t>HUMBOLDT</t>
  </si>
  <si>
    <t>IKM-MANNING</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</si>
  <si>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</si>
  <si>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</si>
  <si>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</si>
  <si>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</si>
  <si>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</si>
  <si>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</si>
  <si>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</si>
  <si>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</si>
  <si>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</si>
  <si>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</si>
  <si>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</si>
  <si>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</si>
  <si>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</si>
  <si>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</si>
  <si>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</si>
  <si>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</si>
  <si>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</si>
  <si>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</si>
  <si>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</si>
  <si>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</si>
  <si>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</si>
  <si>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</si>
  <si>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</si>
  <si>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</si>
  <si>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</si>
  <si>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LU VERNE</t>
  </si>
  <si>
    <t>LYNNVILLE-SULLY</t>
  </si>
  <si>
    <t>MADRID</t>
  </si>
  <si>
    <t>MANSON-NORTHWEST WEBSTER</t>
  </si>
  <si>
    <t>0270</t>
  </si>
  <si>
    <t>MAPLE VALLEY-ANTHON OTO</t>
  </si>
  <si>
    <t>MAQUOKETA</t>
  </si>
  <si>
    <t>MAQUOKETA VALLEY</t>
  </si>
  <si>
    <t>MARCUS-MERIDEN CLEGHORN</t>
  </si>
  <si>
    <t>MARION</t>
  </si>
  <si>
    <t>MARSHALLTOWN</t>
  </si>
  <si>
    <t>MARTENSDALE-ST MARYS</t>
  </si>
  <si>
    <t>MASON CITY</t>
  </si>
  <si>
    <t>MEDIAPOLIS</t>
  </si>
  <si>
    <t>MELCHER-DALLAS</t>
  </si>
  <si>
    <t>MFL MAR MAC</t>
  </si>
  <si>
    <t>MIDLAND</t>
  </si>
  <si>
    <t>MID-PRAIRIE</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</si>
  <si>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</si>
  <si>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</si>
  <si>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</si>
  <si>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</si>
  <si>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</si>
  <si>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</si>
  <si>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</si>
  <si>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</si>
  <si>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</si>
  <si>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</si>
  <si>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</si>
  <si>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</si>
  <si>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</si>
  <si>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</si>
  <si>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</si>
  <si>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</si>
  <si>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</si>
  <si>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</si>
  <si>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</si>
  <si>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2664</t>
  </si>
  <si>
    <t>NORTH BUTLER</t>
  </si>
  <si>
    <t>NORTH CEDAR</t>
  </si>
  <si>
    <t>NORTH IOWA</t>
  </si>
  <si>
    <t>NORTH KOSSUTH</t>
  </si>
  <si>
    <t>NORTH LINN</t>
  </si>
  <si>
    <t>NORTH MAHASKA</t>
  </si>
  <si>
    <t>NORTH POLK</t>
  </si>
  <si>
    <t>NORTH SCOTT</t>
  </si>
  <si>
    <t>NORTH TAMA</t>
  </si>
  <si>
    <t>NORTH UNION</t>
  </si>
  <si>
    <t>NORTH WINNESHIEK</t>
  </si>
  <si>
    <t>NORTHEAST</t>
  </si>
  <si>
    <t>NORTHEAST HAMILTON</t>
  </si>
  <si>
    <t>NORTHWOOD-KENSETT</t>
  </si>
  <si>
    <t>NORWALK</t>
  </si>
  <si>
    <t>OELWEIN</t>
  </si>
  <si>
    <t>OGDEN</t>
  </si>
  <si>
    <t>OKOBOJI</t>
  </si>
  <si>
    <t>OLIN</t>
  </si>
  <si>
    <t>ORIENT-MACKSBURG</t>
  </si>
  <si>
    <t>OSAGE</t>
  </si>
  <si>
    <t>OSKALOOSA</t>
  </si>
  <si>
    <t>OTTUMWA</t>
  </si>
  <si>
    <t>PANORAMA</t>
  </si>
  <si>
    <t>PATON-CHURDAN</t>
  </si>
  <si>
    <t>5319</t>
  </si>
  <si>
    <t>PEKIN</t>
  </si>
  <si>
    <t>PELLA</t>
  </si>
  <si>
    <t>PERRY</t>
  </si>
  <si>
    <t>PLEASANT VALLEY</t>
  </si>
  <si>
    <t>PLEASANTVILLE</t>
  </si>
  <si>
    <t>POCAHONTAS AREA</t>
  </si>
  <si>
    <t>POSTVILLE</t>
  </si>
  <si>
    <t>5323</t>
  </si>
  <si>
    <t>PRAIRIE VALLEY</t>
  </si>
  <si>
    <t>RED OAK</t>
  </si>
  <si>
    <t>REMSEN-UNION</t>
  </si>
  <si>
    <t>RICEVILLE</t>
  </si>
  <si>
    <t>RIVER VALLEY</t>
  </si>
  <si>
    <t>4824</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</si>
  <si>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</si>
  <si>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</si>
  <si>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</si>
  <si>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</si>
  <si>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</si>
  <si>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</si>
  <si>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</si>
  <si>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</si>
  <si>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</si>
  <si>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</si>
  <si>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</si>
  <si>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</si>
  <si>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</si>
  <si>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</si>
  <si>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</si>
  <si>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</si>
  <si>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6048</t>
  </si>
  <si>
    <t>SIOUX CENTRAL</t>
  </si>
  <si>
    <t>SIOUX CITY</t>
  </si>
  <si>
    <t>SOLON</t>
  </si>
  <si>
    <t>SOUTH CENTRAL CALHOUN</t>
  </si>
  <si>
    <t>SOUTH HAMILTON</t>
  </si>
  <si>
    <t>5157</t>
  </si>
  <si>
    <t>SOUTH O'BRIEN</t>
  </si>
  <si>
    <t>SOUTH PAGE</t>
  </si>
  <si>
    <t>SOUTH TAMA</t>
  </si>
  <si>
    <t>SOUTH WINNESHIEK</t>
  </si>
  <si>
    <t>SOUTHEAST POLK</t>
  </si>
  <si>
    <t>SOUTHEAST WARREN</t>
  </si>
  <si>
    <t>SOUTHEAST WEBSTER-GRAND</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</si>
  <si>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</si>
  <si>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</si>
  <si>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</si>
  <si>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</si>
  <si>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</si>
  <si>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</si>
  <si>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</si>
  <si>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</si>
  <si>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</si>
  <si>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</si>
  <si>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</si>
  <si>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</si>
  <si>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</si>
  <si>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</si>
  <si>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</si>
  <si>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</si>
  <si>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</si>
  <si>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</si>
  <si>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1935</t>
  </si>
  <si>
    <t>UNION</t>
  </si>
  <si>
    <t>UNITED</t>
  </si>
  <si>
    <t>URBANDALE</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</si>
  <si>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</si>
  <si>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</si>
  <si>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</si>
  <si>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</si>
  <si>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</si>
  <si>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</si>
  <si>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</si>
  <si>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</si>
  <si>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</si>
  <si>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</si>
  <si>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</si>
  <si>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</si>
  <si>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</si>
  <si>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</si>
  <si>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</si>
  <si>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</si>
  <si>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</si>
  <si>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</si>
  <si>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</si>
  <si>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</si>
  <si>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</si>
  <si>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</si>
  <si>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</si>
  <si>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</si>
  <si>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</si>
  <si>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</si>
  <si>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</si>
  <si>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</si>
  <si>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</si>
  <si>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</si>
  <si>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</si>
  <si>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</si>
  <si>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</si>
  <si>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</si>
  <si>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WOODBINE</t>
  </si>
  <si>
    <t>WOODBURY CENTRAL</t>
  </si>
  <si>
    <t>WOODWARD-GRANGER</t>
  </si>
  <si>
    <t>FiscalYear</t>
  </si>
  <si>
    <t>AEA</t>
  </si>
  <si>
    <t>Dist</t>
  </si>
  <si>
    <t>DistSub1</t>
  </si>
  <si>
    <t>DistSub2</t>
  </si>
  <si>
    <t>DistrictNumber</t>
  </si>
  <si>
    <t>CertifiedEnrollmentLessNonpublicSharedTime</t>
  </si>
  <si>
    <t>NetOperatingCosts</t>
  </si>
  <si>
    <t>Cost Per Pupil Enrolled</t>
  </si>
  <si>
    <t>Amount Available</t>
  </si>
  <si>
    <t>New Amount Per Pupil</t>
  </si>
  <si>
    <t>Amount Per Pupil To Buy Down To</t>
  </si>
  <si>
    <t>Check</t>
  </si>
  <si>
    <t>Total Payment</t>
  </si>
  <si>
    <t>Payment 1-9</t>
  </si>
  <si>
    <t>Final Payment</t>
  </si>
  <si>
    <t>SF 455 appropriates $11.2 million to the Department of Management to provide additional funding for school districts with a transportation cost per pupil that exceeds the statewide adjusted transportation cost per pupil.</t>
  </si>
  <si>
    <t>The payment must be paid at the same time and same manner as regular state aid. I will send a separate excel file that has the transportation equity payment each of the 10 months, along with the regular state aid files. We have two options on our end of how we could get the money to DE to make the payment.</t>
  </si>
  <si>
    <t>1. Transfer the money directly from the appropriation to DE into the same account that regular state aid comes out of.</t>
  </si>
  <si>
    <t>2. Set up a Fund within the Department of Management for the appropriation, then transfer the money to the account for regular state aid out of the newly created fund.</t>
  </si>
  <si>
    <t>We are leaning towards option one because setting up a fund seems like an unneeded and extra step. If DE prefers us to set up a fund and then transfer out of the fund we are of course fine with that option.</t>
  </si>
  <si>
    <t>I agree that Option 1 is the way to go.  Thanks!</t>
  </si>
  <si>
    <t>From Brad Albers</t>
  </si>
  <si>
    <t>September
Payment</t>
  </si>
  <si>
    <t>October
Payment</t>
  </si>
  <si>
    <t>November
Payment</t>
  </si>
  <si>
    <t>December
Payment</t>
  </si>
  <si>
    <t>January
Payment</t>
  </si>
  <si>
    <t>February
Payment</t>
  </si>
  <si>
    <t>March
Payment</t>
  </si>
  <si>
    <t>April
Payment</t>
  </si>
  <si>
    <t>May
Payment</t>
  </si>
  <si>
    <t>June
Payment</t>
  </si>
  <si>
    <t>00090000</t>
  </si>
  <si>
    <t>00180000</t>
  </si>
  <si>
    <t>00630000</t>
  </si>
  <si>
    <t>00720000</t>
  </si>
  <si>
    <t>00990000</t>
  </si>
  <si>
    <t>01080000</t>
  </si>
  <si>
    <t>01350000</t>
  </si>
  <si>
    <t>01710000</t>
  </si>
  <si>
    <t>02250000</t>
  </si>
  <si>
    <t>02430000</t>
  </si>
  <si>
    <t>03330000</t>
  </si>
  <si>
    <t>03550000</t>
  </si>
  <si>
    <t>04410000</t>
  </si>
  <si>
    <t>05400000</t>
  </si>
  <si>
    <t>05760000</t>
  </si>
  <si>
    <t>06030000</t>
  </si>
  <si>
    <t>06090000</t>
  </si>
  <si>
    <t>06570000</t>
  </si>
  <si>
    <t>09140000</t>
  </si>
  <si>
    <t>09180000</t>
  </si>
  <si>
    <t>09770000</t>
  </si>
  <si>
    <t>10790000</t>
  </si>
  <si>
    <t>10800000</t>
  </si>
  <si>
    <t>10930000</t>
  </si>
  <si>
    <t>11340000</t>
  </si>
  <si>
    <t>12060000</t>
  </si>
  <si>
    <t>12110000</t>
  </si>
  <si>
    <t>12180000</t>
  </si>
  <si>
    <t>14130000</t>
  </si>
  <si>
    <t>14310000</t>
  </si>
  <si>
    <t>16020000</t>
  </si>
  <si>
    <t>16190000</t>
  </si>
  <si>
    <t>16380000</t>
  </si>
  <si>
    <t>16750000</t>
  </si>
  <si>
    <t>17820000</t>
  </si>
  <si>
    <t>19170000</t>
  </si>
  <si>
    <t>19650000</t>
  </si>
  <si>
    <t>19680000</t>
  </si>
  <si>
    <t>19700000</t>
  </si>
  <si>
    <t>19720000</t>
  </si>
  <si>
    <t>19750000</t>
  </si>
  <si>
    <t>19890000</t>
  </si>
  <si>
    <t>20880000</t>
  </si>
  <si>
    <t>20970000</t>
  </si>
  <si>
    <t>21510000</t>
  </si>
  <si>
    <t>23760000</t>
  </si>
  <si>
    <t>24030000</t>
  </si>
  <si>
    <t>24570000</t>
  </si>
  <si>
    <t>24930000</t>
  </si>
  <si>
    <t>25020000</t>
  </si>
  <si>
    <t>25560000</t>
  </si>
  <si>
    <t>26730000</t>
  </si>
  <si>
    <t>26820000</t>
  </si>
  <si>
    <t>27180000</t>
  </si>
  <si>
    <t>27540000</t>
  </si>
  <si>
    <t>27630000</t>
  </si>
  <si>
    <t>28460000</t>
  </si>
  <si>
    <t>29770000</t>
  </si>
  <si>
    <t>29880000</t>
  </si>
  <si>
    <t>30290000</t>
  </si>
  <si>
    <t>30330000</t>
  </si>
  <si>
    <t>31190000</t>
  </si>
  <si>
    <t>31680000</t>
  </si>
  <si>
    <t>31950000</t>
  </si>
  <si>
    <t>33300000</t>
  </si>
  <si>
    <t>34200000</t>
  </si>
  <si>
    <t>34650000</t>
  </si>
  <si>
    <t>35550000</t>
  </si>
  <si>
    <t>37980000</t>
  </si>
  <si>
    <t>38410000</t>
  </si>
  <si>
    <t>38970000</t>
  </si>
  <si>
    <t>39780000</t>
  </si>
  <si>
    <t>40230000</t>
  </si>
  <si>
    <t>40330000</t>
  </si>
  <si>
    <t>40680000</t>
  </si>
  <si>
    <t>41220000</t>
  </si>
  <si>
    <t>42030000</t>
  </si>
  <si>
    <t>42690000</t>
  </si>
  <si>
    <t>42710000</t>
  </si>
  <si>
    <t>44190000</t>
  </si>
  <si>
    <t>44910000</t>
  </si>
  <si>
    <t>45050000</t>
  </si>
  <si>
    <t>45180000</t>
  </si>
  <si>
    <t>45270000</t>
  </si>
  <si>
    <t>46440000</t>
  </si>
  <si>
    <t>47720000</t>
  </si>
  <si>
    <t>47730000</t>
  </si>
  <si>
    <t>47740000</t>
  </si>
  <si>
    <t>47760000</t>
  </si>
  <si>
    <t>47780000</t>
  </si>
  <si>
    <t>47850000</t>
  </si>
  <si>
    <t>47880000</t>
  </si>
  <si>
    <t>48600000</t>
  </si>
  <si>
    <t>49050000</t>
  </si>
  <si>
    <t>51210000</t>
  </si>
  <si>
    <t>51390000</t>
  </si>
  <si>
    <t>51630000</t>
  </si>
  <si>
    <t>53250000</t>
  </si>
  <si>
    <t>55100000</t>
  </si>
  <si>
    <t>56970000</t>
  </si>
  <si>
    <t>57240000</t>
  </si>
  <si>
    <t>57510000</t>
  </si>
  <si>
    <t>58050000</t>
  </si>
  <si>
    <t>58230000</t>
  </si>
  <si>
    <t>58320000</t>
  </si>
  <si>
    <t>58950000</t>
  </si>
  <si>
    <t>59220000</t>
  </si>
  <si>
    <t>60030000</t>
  </si>
  <si>
    <t>60350000</t>
  </si>
  <si>
    <t>60910000</t>
  </si>
  <si>
    <t>60940000</t>
  </si>
  <si>
    <t>60950000</t>
  </si>
  <si>
    <t>60960000</t>
  </si>
  <si>
    <t>60980000</t>
  </si>
  <si>
    <t>62460000</t>
  </si>
  <si>
    <t>64530000</t>
  </si>
  <si>
    <t>64600000</t>
  </si>
  <si>
    <t>64620000</t>
  </si>
  <si>
    <t>65090000</t>
  </si>
  <si>
    <t>65120000</t>
  </si>
  <si>
    <t>65340000</t>
  </si>
  <si>
    <t>65610000</t>
  </si>
  <si>
    <t>65920000</t>
  </si>
  <si>
    <t>66510000</t>
  </si>
  <si>
    <t>67410000</t>
  </si>
  <si>
    <t>68540000</t>
  </si>
  <si>
    <t>69210000</t>
  </si>
  <si>
    <t>69610000</t>
  </si>
  <si>
    <t>69690000</t>
  </si>
  <si>
    <t>69830000</t>
  </si>
  <si>
    <t>69850000</t>
  </si>
  <si>
    <t>69920000</t>
  </si>
  <si>
    <t>70980000</t>
  </si>
  <si>
    <t xml:space="preserve">Nonpublic </t>
  </si>
  <si>
    <t xml:space="preserve">Transportation </t>
  </si>
  <si>
    <t>Adjusted Net</t>
  </si>
  <si>
    <t>Adj Ave Cost</t>
  </si>
  <si>
    <t>Cost (ATR)</t>
  </si>
  <si>
    <t>Reflected in ATR</t>
  </si>
  <si>
    <t>Rudd-Rockford-Marble Rock</t>
  </si>
  <si>
    <t>West Fork</t>
  </si>
  <si>
    <t>Totals &amp; Averages:</t>
  </si>
  <si>
    <t>1. Several districts reported a larger number of students riding the buses than are enrolled in the school.  This is accounted for due to transportation of open-enrolled students,  additional students enrolling</t>
  </si>
  <si>
    <t xml:space="preserve"> after the official count date, and non-public students.</t>
  </si>
  <si>
    <t>2. Enrollment for this report is the district certified enrollment minus shared time enrollment. This aligns to Iowa Code section 257.16C, subrule 2, paragraph "b."</t>
  </si>
  <si>
    <t xml:space="preserve">3. Beginning with the 2017-2018 reporting period, nonpublic transportation reimbursement revenues are reflected in the calculation of Net Operating Costs. This aligns to Iowa Code section 257.16C, subrule 2, </t>
  </si>
  <si>
    <t>paragraph "d."</t>
  </si>
  <si>
    <t>4. Some public school expenditures pertaining to transportation of nonpublic school students were not automatically pulled into the Annual Transportation Report. These expeditures were verified</t>
  </si>
  <si>
    <t xml:space="preserve"> through the districts' Certified Annual Report (CAR) submission and added to this report, and are reflected in the Adjusted Net Operating Cost column.</t>
  </si>
  <si>
    <t>No Reorgs</t>
  </si>
  <si>
    <t>Label</t>
  </si>
  <si>
    <t/>
  </si>
  <si>
    <t>Adel-Desoto-Minburn</t>
  </si>
  <si>
    <t>Akron-Westfield</t>
  </si>
  <si>
    <t>Alta-Aurelia</t>
  </si>
  <si>
    <t>Central Clayton</t>
  </si>
  <si>
    <t>Central De Witt</t>
  </si>
  <si>
    <t>Clear Creek-Amana</t>
  </si>
  <si>
    <t>College Community</t>
  </si>
  <si>
    <t>Colo-Nesco</t>
  </si>
  <si>
    <t>Decorah</t>
  </si>
  <si>
    <t>Des Moines</t>
  </si>
  <si>
    <t>Eddyville-Blakesburg-Fremont</t>
  </si>
  <si>
    <t>Estherville-Lincoln Central</t>
  </si>
  <si>
    <t>Exira-Elk Horn-Kimballton</t>
  </si>
  <si>
    <t>Janesville</t>
  </si>
  <si>
    <t>Lu Verne</t>
  </si>
  <si>
    <t>Manson-Northwest Webster</t>
  </si>
  <si>
    <t>Marcus-Meriden Cleghorn</t>
  </si>
  <si>
    <t>Marion</t>
  </si>
  <si>
    <t>MFL Mar Mac</t>
  </si>
  <si>
    <t>Moc-Floyd Valley</t>
  </si>
  <si>
    <t>North Fayette Valley</t>
  </si>
  <si>
    <t>North Tama</t>
  </si>
  <si>
    <t>Odebolt Arthur Battle Creek Ida Grove</t>
  </si>
  <si>
    <t>Olin</t>
  </si>
  <si>
    <t>South Tama</t>
  </si>
  <si>
    <t>Southeast Webster-Grand</t>
  </si>
  <si>
    <t>Van Buren County</t>
  </si>
  <si>
    <t>West Burlington</t>
  </si>
  <si>
    <t>West Delaware Co</t>
  </si>
  <si>
    <t>Western Dubuque Co</t>
  </si>
  <si>
    <t>01260000</t>
  </si>
  <si>
    <t>04140000</t>
  </si>
  <si>
    <t>04720000</t>
  </si>
  <si>
    <t>05130000</t>
  </si>
  <si>
    <t>05490000</t>
  </si>
  <si>
    <t>05850000</t>
  </si>
  <si>
    <t>09160000</t>
  </si>
  <si>
    <t>09810000</t>
  </si>
  <si>
    <t>09990000</t>
  </si>
  <si>
    <t>11070000</t>
  </si>
  <si>
    <t>13370000</t>
  </si>
  <si>
    <t>13590000</t>
  </si>
  <si>
    <t>17010000</t>
  </si>
  <si>
    <t>19630000</t>
  </si>
  <si>
    <t>22950000</t>
  </si>
  <si>
    <t>23690000</t>
  </si>
  <si>
    <t>36450000</t>
  </si>
  <si>
    <t>39060000</t>
  </si>
  <si>
    <t>40430000</t>
  </si>
  <si>
    <t>45720000</t>
  </si>
  <si>
    <t>45990000</t>
  </si>
  <si>
    <t>46620000</t>
  </si>
  <si>
    <t>01530000</t>
  </si>
  <si>
    <t>08730000</t>
  </si>
  <si>
    <t>47770000</t>
  </si>
  <si>
    <t>47790000</t>
  </si>
  <si>
    <t>48780000</t>
  </si>
  <si>
    <t>49950000</t>
  </si>
  <si>
    <t>52830000</t>
  </si>
  <si>
    <t>55080000</t>
  </si>
  <si>
    <t>59760000</t>
  </si>
  <si>
    <t>59940000</t>
  </si>
  <si>
    <t>60990000</t>
  </si>
  <si>
    <t>60970000</t>
  </si>
  <si>
    <t>61000000</t>
  </si>
  <si>
    <t>62730000</t>
  </si>
  <si>
    <t>65160000</t>
  </si>
  <si>
    <t>65360000</t>
  </si>
  <si>
    <t>67950000</t>
  </si>
  <si>
    <t>68670000</t>
  </si>
  <si>
    <t>69300000</t>
  </si>
  <si>
    <t>62640000</t>
  </si>
  <si>
    <t>69500000</t>
  </si>
  <si>
    <t>08190000</t>
  </si>
  <si>
    <t>69900000</t>
  </si>
  <si>
    <t>70560000</t>
  </si>
  <si>
    <t>71100000</t>
  </si>
  <si>
    <t># Payments</t>
  </si>
  <si>
    <t>Statewide</t>
  </si>
  <si>
    <t>DE Numbers</t>
  </si>
  <si>
    <t>Paste in from Final Payment tab, Filter non-zero, Then Paste in DE numbers to the Payment 1 to 9 and Final Payment Tab</t>
  </si>
  <si>
    <t>Nonpublic
Reimbursement</t>
  </si>
  <si>
    <t>District</t>
  </si>
  <si>
    <t>NetOperatingCostsRemovingReimbursement</t>
  </si>
  <si>
    <t>A-H-S-T</t>
  </si>
  <si>
    <t>Eddyville-Blakesburg</t>
  </si>
  <si>
    <t xml:space="preserve">CAM </t>
  </si>
  <si>
    <t>Central Clinton</t>
  </si>
  <si>
    <t>Garner-Hayfield</t>
  </si>
  <si>
    <t>Rudd-Rockford-Marble Rk</t>
  </si>
  <si>
    <t>West Fork CSD</t>
  </si>
  <si>
    <t>2018-2019 Annual Transportation Data for Iowa Public Schools</t>
  </si>
  <si>
    <t xml:space="preserve">Expenditures Not </t>
  </si>
  <si>
    <t xml:space="preserve">Colo-NESCO </t>
  </si>
  <si>
    <t xml:space="preserve">Danville </t>
  </si>
  <si>
    <t xml:space="preserve">Highland </t>
  </si>
  <si>
    <t xml:space="preserve">South O'Brien </t>
  </si>
  <si>
    <r>
      <rPr>
        <b/>
        <sz val="10"/>
        <color indexed="8"/>
        <rFont val="Calibri"/>
        <family val="2"/>
      </rPr>
      <t>NOTES:</t>
    </r>
    <r>
      <rPr>
        <sz val="10"/>
        <color theme="1"/>
        <rFont val="Calibri"/>
        <family val="2"/>
        <scheme val="minor"/>
      </rPr>
      <t xml:space="preserve"> </t>
    </r>
  </si>
  <si>
    <t>6750</t>
  </si>
  <si>
    <t>ALTA-AURELIA</t>
  </si>
  <si>
    <t>CALAMUS-WHEATLAND</t>
  </si>
  <si>
    <t>CLEAR CREEK-AMANA</t>
  </si>
  <si>
    <t>COLLEGE COMMUNITY</t>
  </si>
  <si>
    <t>DIKE-NEW HARTFORD</t>
  </si>
  <si>
    <t>ENGLISH VALLEYS</t>
  </si>
  <si>
    <t>7083</t>
  </si>
  <si>
    <t>7934</t>
  </si>
  <si>
    <t>7935</t>
  </si>
  <si>
    <t>NODAWAY VALLEY</t>
  </si>
  <si>
    <t>NORTH FAYETTE VALLEY</t>
  </si>
  <si>
    <t>ODEBOLT ARTHER BATTLE CREEK IDA GROVE</t>
  </si>
  <si>
    <t>7936</t>
  </si>
  <si>
    <t>7937</t>
  </si>
  <si>
    <t>VAN BUREN</t>
  </si>
  <si>
    <t>Reorgs FY 2021</t>
  </si>
  <si>
    <t>00270000</t>
  </si>
  <si>
    <t>00810000</t>
  </si>
  <si>
    <t>02790000</t>
  </si>
  <si>
    <t>07470000</t>
  </si>
  <si>
    <t>10530000</t>
  </si>
  <si>
    <t>12210000</t>
  </si>
  <si>
    <t>13680000</t>
  </si>
  <si>
    <t>19260000</t>
  </si>
  <si>
    <t>20070000</t>
  </si>
  <si>
    <t>21690000</t>
  </si>
  <si>
    <t>32310000</t>
  </si>
  <si>
    <t>43560000</t>
  </si>
  <si>
    <t>44460000</t>
  </si>
  <si>
    <t>36910000</t>
  </si>
  <si>
    <t>49780000</t>
  </si>
  <si>
    <t>50130000</t>
  </si>
  <si>
    <t>51600000</t>
  </si>
  <si>
    <t>54860000</t>
  </si>
  <si>
    <t>61750000</t>
  </si>
  <si>
    <t>69430000</t>
  </si>
  <si>
    <t>69870000</t>
  </si>
  <si>
    <t>70290000</t>
  </si>
  <si>
    <t>PaymentAmount</t>
  </si>
  <si>
    <t>=Transportation Data Year</t>
  </si>
  <si>
    <t>=Payment Year</t>
  </si>
  <si>
    <t>Department of Management Transportation Payment Comparision Data</t>
  </si>
  <si>
    <t>=Fiscal Year of Payment</t>
  </si>
  <si>
    <t>Equity
Dollars To Average</t>
  </si>
  <si>
    <t>Additional Dollars Available</t>
  </si>
  <si>
    <t>pp</t>
  </si>
  <si>
    <t>New Average</t>
  </si>
  <si>
    <t>New Average Per pupil After brought down to Average</t>
  </si>
  <si>
    <t>Base Payment</t>
  </si>
  <si>
    <t>Costs - Transportation Equity Payment</t>
  </si>
  <si>
    <t>Highest Percent Change in Costs Minus Equity Payment</t>
  </si>
  <si>
    <t>Lowest Percent Change in Costs Minus Equity Payment</t>
  </si>
  <si>
    <t>Dollars Left because some districts costs were fully accounted for</t>
  </si>
  <si>
    <t>Per Pupil Amount</t>
  </si>
  <si>
    <t>Extra Base payment From Districts capped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</si>
</sst>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0.00"/>
    <numFmt numFmtId="165" formatCode="#,##0.0"/>
    <numFmt numFmtId="166" formatCode="0000"/>
    <numFmt numFmtId="167" formatCode="_(* #,##0.0_);_(* \(#,##0.0\);_(* &quot;-&quot;??_);_(@_)"/>
    <numFmt numFmtId="168" formatCode="_(* #,##0_);_(* \(#,##0\);_(* &quot;-&quot;??_);_(@_)"/>
  </numFmts>
  <fonts count="16" x14ac:knownFonts="1">
    <font>
      <sz val="11"/>
      <color theme="1"/>
      <name val="Calibri"/>
      <family val="2"/>
      <scheme val="minor"/>
    </font>
    <font>
      <sz val="10"/>
      <color indexed="8"/>
      <name val="Arial"/>
      <family val="2"/>
    </font>
    <font>
      <sz val="16"/>
      <name val="Arial"/>
      <family val="2"/>
    </font>
    <font>
      <sz val="10"/>
      <color indexed="8"/>
      <name val="Arial"/>
      <family val="2"/>
    </font>
    <font>
      <sz val="11"/>
      <color theme="1"/>
      <name val="Calibri"/>
      <family val="2"/>
      <scheme val="minor"/>
    </font>
    <font>
      <sz val="10"/>
      <color theme="1"/>
      <name val="Arial"/>
      <family val="2"/>
    </font>
    <font>
      <b/>
      <sz val="11"/>
      <color theme="1"/>
      <name val="Calibri"/>
      <family val="2"/>
      <scheme val="minor"/>
    </font>
    <font>
      <b/>
      <sz val="16"/>
      <name val="Calibri"/>
      <family val="2"/>
      <scheme val="minor"/>
    </font>
    <font>
      <b/>
      <sz val="10"/>
      <name val="Calibri"/>
      <family val="2"/>
      <scheme val="minor"/>
    </font>
    <font>
      <sz val="10"/>
      <name val="Calibri"/>
      <family val="2"/>
      <scheme val="minor"/>
    </font>
    <font>
      <b/>
      <i/>
      <sz val="11"/>
      <name val="Calibri"/>
      <family val="2"/>
      <scheme val="minor"/>
    </font>
    <font>
      <sz val="10"/>
      <color theme="1"/>
      <name val="Calibri"/>
      <family val="2"/>
      <scheme val="minor"/>
    </font>
    <font>
      <b/>
      <sz val="10"/>
      <color theme="1"/>
      <name val="Arial"/>
      <family val="2"/>
    </font>
    <font>
      <b/>
      <sz val="10"/>
      <color indexed="8"/>
      <name val="Calibri"/>
      <family val="2"/>
    </font>
    <font>
      <b/>
      <sz val="14"/>
      <color theme="1"/>
      <name val="Calibri"/>
      <family val="2"/>
      <scheme val="minor"/>
    </font>
    <font>
      <sz val="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s>
  <cellStyleXfs count="7">
    <xf numFmtId="0" fontId="0" fillId="0" borderId="0"/>
    <xf numFmtId="0" fontId="1" fillId="0" borderId="0"/>
    <xf numFmtId="0" fontId="5" fillId="0" borderId="0"/>
    <xf numFmtId="0" fontId="3" fillId="0" borderId="0"/>
    <xf numFmtId="0" fontId="1" fillId="0" borderId="0"/>
    <xf numFmtId="43" fontId="4" fillId="0" borderId="0" applyFont="0" applyFill="0" applyBorder="0" applyAlignment="0" applyProtection="0"/>
    <xf numFmtId="9" fontId="4" fillId="0" borderId="0" applyFont="0" applyFill="0" applyBorder="0" applyAlignment="0" applyProtection="0"/>
  </cellStyleXfs>
  <cellXfs count="95">
    <xf numFmtId="0" fontId="0" fillId="0" borderId="0" xfId="0"/>
    <xf numFmtId="0" fontId="2" fillId="0" borderId="3" xfId="1" quotePrefix="1" applyNumberFormat="1" applyFont="1" applyBorder="1"/>
    <xf numFmtId="0" fontId="2" fillId="0" borderId="4" xfId="1" quotePrefix="1" applyNumberFormat="1" applyFont="1" applyBorder="1"/>
    <xf numFmtId="164" fontId="2" fillId="0" borderId="3" xfId="1" quotePrefix="1" applyNumberFormat="1" applyFont="1" applyBorder="1"/>
    <xf numFmtId="3" fontId="2" fillId="0" borderId="3" xfId="1" quotePrefix="1" applyNumberFormat="1" applyFont="1" applyBorder="1"/>
    <xf numFmtId="3" fontId="0" fillId="0" borderId="0" xfId="0" applyNumberFormat="1"/>
    <xf numFmtId="165" fontId="0" fillId="0" borderId="0" xfId="0" applyNumberFormat="1"/>
    <xf numFmtId="0" fontId="0" fillId="0" borderId="0" xfId="0" applyAlignment="1">
      <alignment wrapText="1"/>
    </xf>
    <xf numFmtId="4" fontId="0" fillId="0" borderId="0" xfId="0" applyNumberFormat="1"/>
    <xf numFmtId="2" fontId="0" fillId="0" borderId="0" xfId="0" applyNumberFormat="1"/>
    <xf numFmtId="3" fontId="6" fillId="0" borderId="0" xfId="0" applyNumberFormat="1" applyFont="1" applyAlignment="1">
      <alignment horizontal="center" wrapText="1"/>
    </xf>
    <xf numFmtId="0" fontId="7" fillId="0" borderId="2" xfId="1" quotePrefix="1" applyNumberFormat="1" applyFont="1" applyBorder="1"/>
    <xf numFmtId="0" fontId="2" fillId="0" borderId="3" xfId="1" quotePrefix="1" applyNumberFormat="1" applyFont="1" applyBorder="1" applyAlignment="1">
      <alignment wrapText="1"/>
    </xf>
    <xf numFmtId="0" fontId="8" fillId="0" borderId="5" xfId="1" quotePrefix="1" applyNumberFormat="1" applyFont="1" applyBorder="1"/>
    <xf numFmtId="0" fontId="9" fillId="0" borderId="6" xfId="1" quotePrefix="1" applyNumberFormat="1" applyFont="1" applyBorder="1" applyAlignment="1">
      <alignment wrapText="1"/>
    </xf>
    <xf numFmtId="0" fontId="9" fillId="0" borderId="7" xfId="1" quotePrefix="1" applyNumberFormat="1" applyFont="1" applyBorder="1"/>
    <xf numFmtId="3" fontId="9" fillId="0" borderId="7" xfId="1" quotePrefix="1" applyNumberFormat="1" applyFont="1" applyBorder="1"/>
    <xf numFmtId="164" fontId="9" fillId="0" borderId="7" xfId="1" quotePrefix="1" applyNumberFormat="1" applyFont="1" applyBorder="1"/>
    <xf numFmtId="164" fontId="8" fillId="0" borderId="7" xfId="1" quotePrefix="1" applyNumberFormat="1" applyFont="1" applyBorder="1" applyAlignment="1">
      <alignment horizontal="center"/>
    </xf>
    <xf numFmtId="0" fontId="9" fillId="0" borderId="15" xfId="1" applyFont="1" applyBorder="1" applyAlignment="1">
      <alignment wrapText="1"/>
    </xf>
    <xf numFmtId="0" fontId="8" fillId="0" borderId="9" xfId="1" applyFont="1" applyBorder="1" applyAlignment="1">
      <alignment horizontal="center"/>
    </xf>
    <xf numFmtId="3" fontId="8" fillId="0" borderId="9" xfId="1" applyNumberFormat="1" applyFont="1" applyBorder="1" applyAlignment="1">
      <alignment horizontal="center"/>
    </xf>
    <xf numFmtId="164" fontId="8" fillId="0" borderId="9" xfId="1" applyNumberFormat="1" applyFont="1" applyBorder="1" applyAlignment="1">
      <alignment horizontal="center"/>
    </xf>
    <xf numFmtId="0" fontId="9" fillId="0" borderId="10" xfId="1" applyFont="1" applyBorder="1"/>
    <xf numFmtId="0" fontId="9" fillId="0" borderId="8" xfId="1" applyFont="1" applyBorder="1" applyAlignment="1">
      <alignment wrapText="1"/>
    </xf>
    <xf numFmtId="0" fontId="11" fillId="0" borderId="0" xfId="0" applyFont="1"/>
    <xf numFmtId="0" fontId="6" fillId="0" borderId="0" xfId="0" applyFont="1"/>
    <xf numFmtId="0" fontId="6" fillId="0" borderId="0" xfId="0" applyFont="1" applyAlignment="1">
      <alignment wrapText="1"/>
    </xf>
    <xf numFmtId="0" fontId="0" fillId="0" borderId="1" xfId="0" applyBorder="1"/>
    <xf numFmtId="165" fontId="0" fillId="0" borderId="1" xfId="0" applyNumberFormat="1" applyBorder="1"/>
    <xf numFmtId="4" fontId="0" fillId="0" borderId="1" xfId="0" applyNumberFormat="1" applyBorder="1"/>
    <xf numFmtId="2" fontId="0" fillId="0" borderId="1" xfId="0" applyNumberFormat="1" applyBorder="1"/>
    <xf numFmtId="3" fontId="0" fillId="0" borderId="1" xfId="0" applyNumberFormat="1" applyBorder="1"/>
    <xf numFmtId="0" fontId="0" fillId="2" borderId="0" xfId="0" applyFill="1"/>
    <xf numFmtId="4" fontId="0" fillId="0" borderId="0" xfId="0" applyNumberFormat="1" applyAlignment="1">
      <alignment wrapText="1"/>
    </xf>
    <xf numFmtId="0" fontId="0" fillId="0" borderId="0" xfId="0" applyAlignment="1">
      <alignment horizontal="right"/>
    </xf>
    <xf numFmtId="3" fontId="6" fillId="0" borderId="17" xfId="0" applyNumberFormat="1" applyFont="1" applyBorder="1"/>
    <xf numFmtId="4" fontId="6" fillId="0" borderId="17" xfId="0" applyNumberFormat="1" applyFont="1" applyBorder="1"/>
    <xf numFmtId="0" fontId="0" fillId="0" borderId="13" xfId="0" applyFill="1" applyBorder="1" applyAlignment="1">
      <alignment horizontal="right"/>
    </xf>
    <xf numFmtId="0" fontId="0" fillId="3" borderId="0" xfId="0" applyFill="1"/>
    <xf numFmtId="0" fontId="6" fillId="0" borderId="0" xfId="0" applyFont="1" applyAlignment="1">
      <alignment horizontal="right"/>
    </xf>
    <xf numFmtId="3" fontId="6" fillId="0" borderId="0" xfId="0" applyNumberFormat="1" applyFont="1"/>
    <xf numFmtId="0" fontId="6" fillId="3" borderId="0" xfId="0" applyFont="1" applyFill="1"/>
    <xf numFmtId="3" fontId="6" fillId="0" borderId="0" xfId="0" applyNumberFormat="1" applyFont="1" applyBorder="1"/>
    <xf numFmtId="3" fontId="6" fillId="0" borderId="18" xfId="0" applyNumberFormat="1" applyFont="1" applyBorder="1"/>
    <xf numFmtId="3" fontId="0" fillId="3" borderId="1" xfId="0" applyNumberFormat="1" applyFill="1" applyBorder="1"/>
    <xf numFmtId="0" fontId="0" fillId="3" borderId="1" xfId="0" applyFill="1" applyBorder="1"/>
    <xf numFmtId="0" fontId="6" fillId="0" borderId="0" xfId="0" applyFont="1" applyFill="1"/>
    <xf numFmtId="0" fontId="0" fillId="0" borderId="0" xfId="0" applyFill="1"/>
    <xf numFmtId="14" fontId="10" fillId="0" borderId="14" xfId="1" applyNumberFormat="1" applyFont="1" applyBorder="1"/>
    <xf numFmtId="0" fontId="8" fillId="0" borderId="5" xfId="1" applyFont="1" applyBorder="1" applyAlignment="1">
      <alignment horizontal="center"/>
    </xf>
    <xf numFmtId="0" fontId="8" fillId="0" borderId="7" xfId="1" applyFont="1" applyBorder="1" applyAlignment="1">
      <alignment horizontal="center" wrapText="1"/>
    </xf>
    <xf numFmtId="166" fontId="0" fillId="0" borderId="1" xfId="0" applyNumberFormat="1" applyBorder="1"/>
    <xf numFmtId="167" fontId="0" fillId="0" borderId="1" xfId="5" applyNumberFormat="1" applyFont="1" applyBorder="1"/>
    <xf numFmtId="168" fontId="0" fillId="0" borderId="1" xfId="5" applyNumberFormat="1" applyFont="1" applyBorder="1"/>
    <xf numFmtId="164" fontId="0" fillId="0" borderId="1" xfId="5" applyNumberFormat="1" applyFont="1" applyBorder="1"/>
    <xf numFmtId="164" fontId="0" fillId="0" borderId="1" xfId="0" applyNumberFormat="1" applyBorder="1"/>
    <xf numFmtId="166" fontId="0" fillId="0" borderId="12" xfId="0" applyNumberFormat="1" applyBorder="1"/>
    <xf numFmtId="0" fontId="0" fillId="0" borderId="11" xfId="0" applyBorder="1"/>
    <xf numFmtId="167" fontId="0" fillId="0" borderId="11" xfId="5" applyNumberFormat="1" applyFont="1" applyBorder="1"/>
    <xf numFmtId="168" fontId="0" fillId="0" borderId="11" xfId="5" applyNumberFormat="1" applyFont="1" applyBorder="1"/>
    <xf numFmtId="164" fontId="0" fillId="0" borderId="11" xfId="5" applyNumberFormat="1" applyFont="1" applyBorder="1"/>
    <xf numFmtId="164" fontId="0" fillId="0" borderId="11" xfId="0" applyNumberFormat="1" applyBorder="1"/>
    <xf numFmtId="0" fontId="12" fillId="0" borderId="16" xfId="0" applyFont="1" applyBorder="1"/>
    <xf numFmtId="167" fontId="0" fillId="0" borderId="16" xfId="0" applyNumberFormat="1" applyFont="1" applyBorder="1"/>
    <xf numFmtId="168" fontId="0" fillId="0" borderId="16" xfId="0" applyNumberFormat="1" applyFont="1" applyBorder="1"/>
    <xf numFmtId="164" fontId="0" fillId="0" borderId="16" xfId="0" applyNumberFormat="1" applyFont="1" applyBorder="1"/>
    <xf numFmtId="164" fontId="0" fillId="0" borderId="16" xfId="5" applyNumberFormat="1" applyFont="1" applyBorder="1"/>
    <xf numFmtId="164" fontId="5" fillId="0" borderId="16" xfId="5" applyNumberFormat="1" applyFont="1" applyBorder="1"/>
    <xf numFmtId="168" fontId="5" fillId="0" borderId="16" xfId="5" applyNumberFormat="1" applyFont="1" applyBorder="1"/>
    <xf numFmtId="9" fontId="0" fillId="0" borderId="1" xfId="6" applyFont="1" applyBorder="1"/>
    <xf numFmtId="9" fontId="0" fillId="0" borderId="0" xfId="6" applyFont="1" applyBorder="1"/>
    <xf numFmtId="3" fontId="0" fillId="0" borderId="0" xfId="0" applyNumberFormat="1" applyFill="1"/>
    <xf numFmtId="0" fontId="6" fillId="0" borderId="1" xfId="0" applyFont="1" applyBorder="1"/>
    <xf numFmtId="3" fontId="6" fillId="0" borderId="1" xfId="0" applyNumberFormat="1" applyFont="1" applyBorder="1" applyAlignment="1">
      <alignment horizontal="center" wrapText="1"/>
    </xf>
    <xf numFmtId="0" fontId="6" fillId="3" borderId="1" xfId="0" applyFont="1" applyFill="1" applyBorder="1" applyAlignment="1">
      <alignment horizontal="center" wrapText="1"/>
    </xf>
    <xf numFmtId="3" fontId="6" fillId="0" borderId="0" xfId="0" applyNumberFormat="1" applyFont="1" applyFill="1"/>
    <xf numFmtId="3" fontId="14" fillId="0" borderId="0" xfId="0" applyNumberFormat="1" applyFont="1" applyFill="1"/>
    <xf numFmtId="0" fontId="14" fillId="0" borderId="0" xfId="0" applyFont="1" applyFill="1"/>
    <xf numFmtId="3" fontId="6" fillId="0" borderId="19" xfId="0" applyNumberFormat="1" applyFont="1" applyBorder="1"/>
    <xf numFmtId="3" fontId="6" fillId="0" borderId="0" xfId="0" applyNumberFormat="1" applyFont="1" applyFill="1" applyBorder="1"/>
    <xf numFmtId="0" fontId="15" fillId="0" borderId="0" xfId="0" quotePrefix="1" applyFont="1"/>
    <xf numFmtId="0" fontId="0" fillId="4" borderId="0" xfId="0" applyFill="1"/>
    <xf numFmtId="0" fontId="0" fillId="4" borderId="0" xfId="0" quotePrefix="1" applyFill="1"/>
    <xf numFmtId="0" fontId="6" fillId="4" borderId="1" xfId="0" applyFont="1" applyFill="1" applyBorder="1" applyAlignment="1">
      <alignment wrapText="1"/>
    </xf>
    <xf numFmtId="165" fontId="0" fillId="4" borderId="1" xfId="0" applyNumberFormat="1" applyFill="1" applyBorder="1"/>
    <xf numFmtId="3" fontId="0" fillId="4" borderId="1" xfId="0" applyNumberFormat="1" applyFill="1" applyBorder="1"/>
    <xf numFmtId="165" fontId="6" fillId="4" borderId="18" xfId="0" applyNumberFormat="1" applyFont="1" applyFill="1" applyBorder="1"/>
    <xf numFmtId="3" fontId="6" fillId="4" borderId="18" xfId="0" applyNumberFormat="1" applyFont="1" applyFill="1" applyBorder="1"/>
    <xf numFmtId="0" fontId="0" fillId="4" borderId="1" xfId="0" applyFill="1" applyBorder="1"/>
    <xf numFmtId="0" fontId="14" fillId="4" borderId="0" xfId="0" applyFont="1" applyFill="1"/>
    <xf numFmtId="0" fontId="14" fillId="4" borderId="0" xfId="0" quotePrefix="1" applyFont="1" applyFill="1"/>
    <xf numFmtId="0" fontId="6" fillId="4" borderId="0" xfId="0" applyFont="1" applyFill="1"/>
    <xf numFmtId="0" fontId="6" fillId="4" borderId="0" xfId="0" applyFont="1" applyFill="1" applyAlignment="1">
      <alignment horizontal="right"/>
    </xf>
    <xf numFmtId="9" fontId="0" fillId="3" borderId="1" xfId="6" applyFont="1" applyFill="1" applyBorder="1"/>
  </cellXfs>
  <cellStyles count="7">
    <cellStyle name="Comma" xfId="5" builtinId="3"/>
    <cellStyle name="Normal" xfId="0" builtinId="0"/>
    <cellStyle name="Normal 2" xfId="1"/>
    <cellStyle name="Normal 3" xfId="2"/>
    <cellStyle name="Normal 4" xfId="3"/>
    <cellStyle name="Normal 4 2" xfId="4"/>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876300</xdr:colOff>
      <xdr:row>341</xdr:row>
      <xdr:rowOff>38100</xdr:rowOff>
    </xdr:from>
    <xdr:to>
      <xdr:col>12</xdr:col>
      <xdr:colOff>1066111</xdr:colOff>
      <xdr:row>352</xdr:row>
      <xdr:rowOff>123552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848725" y="66027300"/>
          <a:ext cx="5514286" cy="21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6"/>
  <sheetViews>
    <sheetView workbookViewId="0">
      <pane xSplit="2" ySplit="5" topLeftCell="C319" activePane="bottomRight" state="frozen"/>
      <selection pane="topRight" activeCell="C1" sqref="C1"/>
      <selection pane="bottomLeft" activeCell="A6" sqref="A6"/>
      <selection pane="bottomRight" activeCell="O1" sqref="O1:O1048576"/>
    </sheetView>
  </sheetViews>
  <sheetFormatPr defaultRowHeight="14.4" x14ac:dyDescent="0.55000000000000004"/>
  <cols>
    <col min="2" max="2" width="25.68359375" customWidth="1"/>
    <col min="3" max="3" width="10.578125" bestFit="1" customWidth="1"/>
    <col min="4" max="4" width="11.578125" customWidth="1"/>
    <col min="5" max="5" width="11.578125" bestFit="1" customWidth="1"/>
    <col min="6" max="6" width="16.15625" customWidth="1"/>
    <col min="7" max="7" width="15" customWidth="1"/>
    <col min="8" max="8" width="15.83984375" customWidth="1"/>
    <col min="9" max="12" width="11.26171875" customWidth="1"/>
  </cols>
  <sheetData>
    <row r="1" spans="1:13" ht="20.7" thickBot="1" x14ac:dyDescent="0.8">
      <c r="A1" s="11" t="s">
        <v>1299</v>
      </c>
      <c r="B1" s="12"/>
      <c r="C1" s="1"/>
      <c r="D1" s="4"/>
      <c r="E1" s="4"/>
      <c r="F1" s="3"/>
      <c r="G1" s="3"/>
      <c r="H1" s="3"/>
      <c r="I1" s="1"/>
      <c r="J1" s="3"/>
      <c r="K1" s="1"/>
      <c r="L1" s="3"/>
      <c r="M1" s="2"/>
    </row>
    <row r="2" spans="1:13" ht="15" customHeight="1" x14ac:dyDescent="0.55000000000000004">
      <c r="A2" s="13"/>
      <c r="B2" s="14"/>
      <c r="C2" s="15"/>
      <c r="D2" s="16"/>
      <c r="E2" s="16"/>
      <c r="F2" s="17"/>
      <c r="G2" s="18" t="s">
        <v>1189</v>
      </c>
      <c r="H2" s="17"/>
      <c r="I2" s="15"/>
      <c r="J2" s="17"/>
      <c r="K2" s="15"/>
      <c r="L2" s="17"/>
      <c r="M2" s="15"/>
    </row>
    <row r="3" spans="1:13" ht="15" customHeight="1" x14ac:dyDescent="0.55000000000000004">
      <c r="A3" s="49">
        <v>43837</v>
      </c>
      <c r="B3" s="19"/>
      <c r="C3" s="20" t="s">
        <v>0</v>
      </c>
      <c r="D3" s="21"/>
      <c r="E3" s="21" t="s">
        <v>1</v>
      </c>
      <c r="F3" s="22" t="s">
        <v>2</v>
      </c>
      <c r="G3" s="22" t="s">
        <v>1190</v>
      </c>
      <c r="H3" s="22" t="s">
        <v>1191</v>
      </c>
      <c r="I3" s="20" t="s">
        <v>3</v>
      </c>
      <c r="J3" s="22" t="s">
        <v>1192</v>
      </c>
      <c r="K3" s="20" t="s">
        <v>1192</v>
      </c>
      <c r="L3" s="22" t="s">
        <v>1192</v>
      </c>
      <c r="M3" s="20" t="s">
        <v>338</v>
      </c>
    </row>
    <row r="4" spans="1:13" ht="15" customHeight="1" thickBot="1" x14ac:dyDescent="0.6">
      <c r="A4" s="23"/>
      <c r="B4" s="24"/>
      <c r="C4" s="20" t="s">
        <v>334</v>
      </c>
      <c r="D4" s="21" t="s">
        <v>4</v>
      </c>
      <c r="E4" s="21" t="s">
        <v>5</v>
      </c>
      <c r="F4" s="22" t="s">
        <v>6</v>
      </c>
      <c r="G4" s="22" t="s">
        <v>1300</v>
      </c>
      <c r="H4" s="22" t="s">
        <v>6</v>
      </c>
      <c r="I4" s="20" t="s">
        <v>7</v>
      </c>
      <c r="J4" s="22" t="s">
        <v>8</v>
      </c>
      <c r="K4" s="20" t="s">
        <v>8</v>
      </c>
      <c r="L4" s="22" t="s">
        <v>15</v>
      </c>
      <c r="M4" s="20" t="s">
        <v>339</v>
      </c>
    </row>
    <row r="5" spans="1:13" ht="15" customHeight="1" x14ac:dyDescent="0.55000000000000004">
      <c r="A5" s="50" t="s">
        <v>9</v>
      </c>
      <c r="B5" s="51" t="s">
        <v>10</v>
      </c>
      <c r="C5" s="20" t="s">
        <v>335</v>
      </c>
      <c r="D5" s="21" t="s">
        <v>11</v>
      </c>
      <c r="E5" s="21" t="s">
        <v>11</v>
      </c>
      <c r="F5" s="22" t="s">
        <v>1193</v>
      </c>
      <c r="G5" s="22" t="s">
        <v>1194</v>
      </c>
      <c r="H5" s="22" t="s">
        <v>12</v>
      </c>
      <c r="I5" s="20" t="s">
        <v>13</v>
      </c>
      <c r="J5" s="22" t="s">
        <v>13</v>
      </c>
      <c r="K5" s="20" t="s">
        <v>14</v>
      </c>
      <c r="L5" s="22" t="s">
        <v>16</v>
      </c>
      <c r="M5" s="20" t="s">
        <v>11</v>
      </c>
    </row>
    <row r="6" spans="1:13" ht="15" customHeight="1" x14ac:dyDescent="0.55000000000000004">
      <c r="A6" s="52" t="s">
        <v>683</v>
      </c>
      <c r="B6" s="28" t="s">
        <v>17</v>
      </c>
      <c r="C6" s="53">
        <v>646.40000000000009</v>
      </c>
      <c r="D6" s="54">
        <v>115780</v>
      </c>
      <c r="E6" s="54">
        <v>28485</v>
      </c>
      <c r="F6" s="55">
        <v>401341.31</v>
      </c>
      <c r="G6" s="55">
        <v>5246.63</v>
      </c>
      <c r="H6" s="56">
        <f>F6+G6</f>
        <v>406587.94</v>
      </c>
      <c r="I6" s="53">
        <v>240</v>
      </c>
      <c r="J6" s="55">
        <f>ROUND((H6/I6),2)</f>
        <v>1694.12</v>
      </c>
      <c r="K6" s="55">
        <f>H6/C6</f>
        <v>629.00362004950489</v>
      </c>
      <c r="L6" s="56">
        <f>ROUND((H6/D6),2)</f>
        <v>3.51</v>
      </c>
      <c r="M6" s="54">
        <v>266</v>
      </c>
    </row>
    <row r="7" spans="1:13" ht="15" customHeight="1" x14ac:dyDescent="0.55000000000000004">
      <c r="A7" s="52" t="s">
        <v>682</v>
      </c>
      <c r="B7" s="28" t="s">
        <v>18</v>
      </c>
      <c r="C7" s="53">
        <v>309</v>
      </c>
      <c r="D7" s="54">
        <v>56555</v>
      </c>
      <c r="E7" s="54">
        <v>5942</v>
      </c>
      <c r="F7" s="55">
        <v>296657.07</v>
      </c>
      <c r="G7" s="55"/>
      <c r="H7" s="56">
        <f t="shared" ref="H7:H70" si="0">F7+G7</f>
        <v>296657.07</v>
      </c>
      <c r="I7" s="53">
        <v>196.9</v>
      </c>
      <c r="J7" s="55">
        <f t="shared" ref="J7:J70" si="1">ROUND((H7/I7),2)</f>
        <v>1506.64</v>
      </c>
      <c r="K7" s="55">
        <f t="shared" ref="K7:K70" si="2">H7/C7</f>
        <v>960.05524271844661</v>
      </c>
      <c r="L7" s="56">
        <f t="shared" ref="L7:L70" si="3">ROUND((H7/D7),2)</f>
        <v>5.25</v>
      </c>
      <c r="M7" s="54">
        <v>159</v>
      </c>
    </row>
    <row r="8" spans="1:13" ht="15" customHeight="1" x14ac:dyDescent="0.55000000000000004">
      <c r="A8" s="52" t="s">
        <v>681</v>
      </c>
      <c r="B8" s="28" t="s">
        <v>19</v>
      </c>
      <c r="C8" s="53">
        <v>1797.8</v>
      </c>
      <c r="D8" s="54">
        <v>187891</v>
      </c>
      <c r="E8" s="54">
        <v>62720</v>
      </c>
      <c r="F8" s="55">
        <v>692433.04</v>
      </c>
      <c r="G8" s="55">
        <v>9569.43</v>
      </c>
      <c r="H8" s="56">
        <f t="shared" si="0"/>
        <v>702002.47000000009</v>
      </c>
      <c r="I8" s="53">
        <v>1128</v>
      </c>
      <c r="J8" s="55">
        <f t="shared" si="1"/>
        <v>622.34</v>
      </c>
      <c r="K8" s="55">
        <f t="shared" si="2"/>
        <v>390.47862387362335</v>
      </c>
      <c r="L8" s="56">
        <f t="shared" si="3"/>
        <v>3.74</v>
      </c>
      <c r="M8" s="54">
        <v>144</v>
      </c>
    </row>
    <row r="9" spans="1:13" ht="15" customHeight="1" x14ac:dyDescent="0.55000000000000004">
      <c r="A9" s="52" t="s">
        <v>680</v>
      </c>
      <c r="B9" s="28" t="s">
        <v>20</v>
      </c>
      <c r="C9" s="53">
        <v>563.29999999999995</v>
      </c>
      <c r="D9" s="54">
        <v>85967</v>
      </c>
      <c r="E9" s="54">
        <v>11457</v>
      </c>
      <c r="F9" s="55">
        <v>344238.34</v>
      </c>
      <c r="G9" s="55">
        <v>5067.0200000000004</v>
      </c>
      <c r="H9" s="56">
        <f t="shared" si="0"/>
        <v>349305.36000000004</v>
      </c>
      <c r="I9" s="53">
        <v>235</v>
      </c>
      <c r="J9" s="55">
        <f t="shared" si="1"/>
        <v>1486.41</v>
      </c>
      <c r="K9" s="55">
        <f t="shared" si="2"/>
        <v>620.10537901651003</v>
      </c>
      <c r="L9" s="56">
        <f t="shared" si="3"/>
        <v>4.0599999999999996</v>
      </c>
      <c r="M9" s="54">
        <v>217</v>
      </c>
    </row>
    <row r="10" spans="1:13" ht="15" customHeight="1" x14ac:dyDescent="0.55000000000000004">
      <c r="A10" s="52" t="s">
        <v>679</v>
      </c>
      <c r="B10" s="28" t="s">
        <v>21</v>
      </c>
      <c r="C10" s="53">
        <v>202.2</v>
      </c>
      <c r="D10" s="54">
        <v>60019</v>
      </c>
      <c r="E10" s="54">
        <v>1276</v>
      </c>
      <c r="F10" s="55">
        <v>183696.74</v>
      </c>
      <c r="G10" s="55">
        <v>468.73</v>
      </c>
      <c r="H10" s="56">
        <f t="shared" si="0"/>
        <v>184165.47</v>
      </c>
      <c r="I10" s="53">
        <v>47</v>
      </c>
      <c r="J10" s="55">
        <f t="shared" si="1"/>
        <v>3918.41</v>
      </c>
      <c r="K10" s="55">
        <f t="shared" si="2"/>
        <v>910.8084569732938</v>
      </c>
      <c r="L10" s="56">
        <f t="shared" si="3"/>
        <v>3.07</v>
      </c>
      <c r="M10" s="54">
        <v>116</v>
      </c>
    </row>
    <row r="11" spans="1:13" ht="15" customHeight="1" x14ac:dyDescent="0.55000000000000004">
      <c r="A11" s="52" t="s">
        <v>678</v>
      </c>
      <c r="B11" s="28" t="s">
        <v>22</v>
      </c>
      <c r="C11" s="53">
        <v>1163.4000000000001</v>
      </c>
      <c r="D11" s="54">
        <v>128726</v>
      </c>
      <c r="E11" s="54">
        <v>40085</v>
      </c>
      <c r="F11" s="55">
        <v>433834.76</v>
      </c>
      <c r="G11" s="55"/>
      <c r="H11" s="56">
        <f t="shared" si="0"/>
        <v>433834.76</v>
      </c>
      <c r="I11" s="53">
        <v>541</v>
      </c>
      <c r="J11" s="55">
        <f t="shared" si="1"/>
        <v>801.91</v>
      </c>
      <c r="K11" s="55">
        <f t="shared" si="2"/>
        <v>372.90249269382844</v>
      </c>
      <c r="L11" s="56">
        <f t="shared" si="3"/>
        <v>3.37</v>
      </c>
      <c r="M11" s="54">
        <v>304</v>
      </c>
    </row>
    <row r="12" spans="1:13" ht="15" customHeight="1" x14ac:dyDescent="0.55000000000000004">
      <c r="A12" s="52" t="s">
        <v>677</v>
      </c>
      <c r="B12" s="28" t="s">
        <v>23</v>
      </c>
      <c r="C12" s="53">
        <v>514.20000000000005</v>
      </c>
      <c r="D12" s="54">
        <v>66263</v>
      </c>
      <c r="E12" s="54">
        <v>21689</v>
      </c>
      <c r="F12" s="55">
        <v>318889.5</v>
      </c>
      <c r="G12" s="55">
        <v>5589.78</v>
      </c>
      <c r="H12" s="56">
        <f t="shared" si="0"/>
        <v>324479.28000000003</v>
      </c>
      <c r="I12" s="53">
        <v>415</v>
      </c>
      <c r="J12" s="55">
        <f t="shared" si="1"/>
        <v>781.88</v>
      </c>
      <c r="K12" s="55">
        <f t="shared" si="2"/>
        <v>631.03710618436401</v>
      </c>
      <c r="L12" s="56">
        <f t="shared" si="3"/>
        <v>4.9000000000000004</v>
      </c>
      <c r="M12" s="54">
        <v>65</v>
      </c>
    </row>
    <row r="13" spans="1:13" ht="15" customHeight="1" x14ac:dyDescent="0.55000000000000004">
      <c r="A13" s="52" t="s">
        <v>676</v>
      </c>
      <c r="B13" s="28" t="s">
        <v>24</v>
      </c>
      <c r="C13" s="53">
        <v>274.2</v>
      </c>
      <c r="D13" s="54">
        <v>52380</v>
      </c>
      <c r="E13" s="54">
        <v>6606</v>
      </c>
      <c r="F13" s="55">
        <v>139211.82999999999</v>
      </c>
      <c r="G13" s="55"/>
      <c r="H13" s="56">
        <f t="shared" si="0"/>
        <v>139211.82999999999</v>
      </c>
      <c r="I13" s="53">
        <v>120</v>
      </c>
      <c r="J13" s="55">
        <f t="shared" si="1"/>
        <v>1160.0999999999999</v>
      </c>
      <c r="K13" s="55">
        <f t="shared" si="2"/>
        <v>507.70178701677605</v>
      </c>
      <c r="L13" s="56">
        <f t="shared" si="3"/>
        <v>2.66</v>
      </c>
      <c r="M13" s="54">
        <v>105</v>
      </c>
    </row>
    <row r="14" spans="1:13" ht="15" customHeight="1" x14ac:dyDescent="0.55000000000000004">
      <c r="A14" s="52" t="s">
        <v>675</v>
      </c>
      <c r="B14" s="28" t="s">
        <v>25</v>
      </c>
      <c r="C14" s="53">
        <v>1279.8</v>
      </c>
      <c r="D14" s="54">
        <v>210673</v>
      </c>
      <c r="E14" s="54">
        <v>56677</v>
      </c>
      <c r="F14" s="55">
        <v>492755.36</v>
      </c>
      <c r="G14" s="55">
        <v>90094.61</v>
      </c>
      <c r="H14" s="56">
        <f t="shared" si="0"/>
        <v>582849.97</v>
      </c>
      <c r="I14" s="53">
        <v>714</v>
      </c>
      <c r="J14" s="55">
        <f t="shared" si="1"/>
        <v>816.32</v>
      </c>
      <c r="K14" s="55">
        <f t="shared" si="2"/>
        <v>455.42269885919677</v>
      </c>
      <c r="L14" s="56">
        <f t="shared" si="3"/>
        <v>2.77</v>
      </c>
      <c r="M14" s="54">
        <v>391</v>
      </c>
    </row>
    <row r="15" spans="1:13" ht="15" customHeight="1" x14ac:dyDescent="0.55000000000000004">
      <c r="A15" s="52" t="s">
        <v>674</v>
      </c>
      <c r="B15" s="28" t="s">
        <v>26</v>
      </c>
      <c r="C15" s="53">
        <v>1092.3000000000002</v>
      </c>
      <c r="D15" s="54">
        <v>236999</v>
      </c>
      <c r="E15" s="54">
        <v>53876</v>
      </c>
      <c r="F15" s="55">
        <v>716625</v>
      </c>
      <c r="G15" s="55"/>
      <c r="H15" s="56">
        <f t="shared" si="0"/>
        <v>716625</v>
      </c>
      <c r="I15" s="53">
        <v>781.2</v>
      </c>
      <c r="J15" s="55">
        <f t="shared" si="1"/>
        <v>917.34</v>
      </c>
      <c r="K15" s="55">
        <f t="shared" si="2"/>
        <v>656.06976105465526</v>
      </c>
      <c r="L15" s="56">
        <f t="shared" si="3"/>
        <v>3.02</v>
      </c>
      <c r="M15" s="54">
        <v>417</v>
      </c>
    </row>
    <row r="16" spans="1:13" ht="15" customHeight="1" x14ac:dyDescent="0.55000000000000004">
      <c r="A16" s="52" t="s">
        <v>673</v>
      </c>
      <c r="B16" s="28" t="s">
        <v>329</v>
      </c>
      <c r="C16" s="53">
        <v>575.6</v>
      </c>
      <c r="D16" s="54">
        <v>110402</v>
      </c>
      <c r="E16" s="54">
        <v>15885</v>
      </c>
      <c r="F16" s="55">
        <v>476686.07</v>
      </c>
      <c r="G16" s="55">
        <v>468.73</v>
      </c>
      <c r="H16" s="56">
        <f t="shared" si="0"/>
        <v>477154.8</v>
      </c>
      <c r="I16" s="53">
        <v>361</v>
      </c>
      <c r="J16" s="55">
        <f t="shared" si="1"/>
        <v>1321.76</v>
      </c>
      <c r="K16" s="55">
        <f t="shared" si="2"/>
        <v>828.96942321056281</v>
      </c>
      <c r="L16" s="56">
        <f t="shared" si="3"/>
        <v>4.32</v>
      </c>
      <c r="M16" s="54">
        <v>211</v>
      </c>
    </row>
    <row r="17" spans="1:13" ht="15" customHeight="1" x14ac:dyDescent="0.55000000000000004">
      <c r="A17" s="52" t="s">
        <v>672</v>
      </c>
      <c r="B17" s="28" t="s">
        <v>1210</v>
      </c>
      <c r="C17" s="53">
        <v>812.9</v>
      </c>
      <c r="D17" s="54">
        <v>106753</v>
      </c>
      <c r="E17" s="54">
        <v>30645</v>
      </c>
      <c r="F17" s="55">
        <v>328958.38</v>
      </c>
      <c r="G17" s="55">
        <v>6400.16</v>
      </c>
      <c r="H17" s="56">
        <f t="shared" si="0"/>
        <v>335358.53999999998</v>
      </c>
      <c r="I17" s="53">
        <v>270.89999999999998</v>
      </c>
      <c r="J17" s="55">
        <f t="shared" si="1"/>
        <v>1237.94</v>
      </c>
      <c r="K17" s="55">
        <f t="shared" si="2"/>
        <v>412.54587280108251</v>
      </c>
      <c r="L17" s="56">
        <f t="shared" si="3"/>
        <v>3.14</v>
      </c>
      <c r="M17" s="54">
        <v>256</v>
      </c>
    </row>
    <row r="18" spans="1:13" ht="15" customHeight="1" x14ac:dyDescent="0.55000000000000004">
      <c r="A18" s="52" t="s">
        <v>671</v>
      </c>
      <c r="B18" s="28" t="s">
        <v>28</v>
      </c>
      <c r="C18" s="53">
        <v>4387.3999999999996</v>
      </c>
      <c r="D18" s="54">
        <v>267990</v>
      </c>
      <c r="E18" s="54">
        <v>73516</v>
      </c>
      <c r="F18" s="55">
        <v>2361988.46</v>
      </c>
      <c r="G18" s="55">
        <v>15358.99</v>
      </c>
      <c r="H18" s="56">
        <f t="shared" si="0"/>
        <v>2377347.4500000002</v>
      </c>
      <c r="I18" s="53">
        <v>2717.9</v>
      </c>
      <c r="J18" s="55">
        <f t="shared" si="1"/>
        <v>874.7</v>
      </c>
      <c r="K18" s="55">
        <f t="shared" si="2"/>
        <v>541.85792268769671</v>
      </c>
      <c r="L18" s="56">
        <f t="shared" si="3"/>
        <v>8.8699999999999992</v>
      </c>
      <c r="M18" s="54">
        <v>36</v>
      </c>
    </row>
    <row r="19" spans="1:13" ht="15" customHeight="1" x14ac:dyDescent="0.55000000000000004">
      <c r="A19" s="52" t="s">
        <v>670</v>
      </c>
      <c r="B19" s="28" t="s">
        <v>29</v>
      </c>
      <c r="C19" s="53">
        <v>1266.8</v>
      </c>
      <c r="D19" s="54">
        <v>87152</v>
      </c>
      <c r="E19" s="54">
        <v>58523</v>
      </c>
      <c r="F19" s="55">
        <v>418182.19</v>
      </c>
      <c r="G19" s="55">
        <v>1794.27</v>
      </c>
      <c r="H19" s="56">
        <f t="shared" si="0"/>
        <v>419976.46</v>
      </c>
      <c r="I19" s="53">
        <v>619.29999999999995</v>
      </c>
      <c r="J19" s="55">
        <f t="shared" si="1"/>
        <v>678.15</v>
      </c>
      <c r="K19" s="55">
        <f t="shared" si="2"/>
        <v>331.5254657404484</v>
      </c>
      <c r="L19" s="56">
        <f t="shared" si="3"/>
        <v>4.82</v>
      </c>
      <c r="M19" s="54">
        <v>134</v>
      </c>
    </row>
    <row r="20" spans="1:13" ht="15" customHeight="1" x14ac:dyDescent="0.55000000000000004">
      <c r="A20" s="52" t="s">
        <v>669</v>
      </c>
      <c r="B20" s="28" t="s">
        <v>30</v>
      </c>
      <c r="C20" s="53">
        <v>240.3</v>
      </c>
      <c r="D20" s="54">
        <v>62658</v>
      </c>
      <c r="E20" s="54">
        <v>20135</v>
      </c>
      <c r="F20" s="55">
        <v>147441.41</v>
      </c>
      <c r="G20" s="55">
        <v>6536.37</v>
      </c>
      <c r="H20" s="56">
        <f t="shared" si="0"/>
        <v>153977.78</v>
      </c>
      <c r="I20" s="53">
        <v>93</v>
      </c>
      <c r="J20" s="55">
        <f t="shared" si="1"/>
        <v>1655.68</v>
      </c>
      <c r="K20" s="55">
        <f t="shared" si="2"/>
        <v>640.77311693716183</v>
      </c>
      <c r="L20" s="56">
        <f t="shared" si="3"/>
        <v>2.46</v>
      </c>
      <c r="M20" s="54">
        <v>98</v>
      </c>
    </row>
    <row r="21" spans="1:13" ht="15" customHeight="1" x14ac:dyDescent="0.55000000000000004">
      <c r="A21" s="52" t="s">
        <v>668</v>
      </c>
      <c r="B21" s="28" t="s">
        <v>31</v>
      </c>
      <c r="C21" s="53">
        <v>11976.6</v>
      </c>
      <c r="D21" s="54">
        <v>843661</v>
      </c>
      <c r="E21" s="54">
        <v>419311</v>
      </c>
      <c r="F21" s="55">
        <v>3106315.01</v>
      </c>
      <c r="G21" s="55">
        <v>128764.2</v>
      </c>
      <c r="H21" s="56">
        <f t="shared" si="0"/>
        <v>3235079.21</v>
      </c>
      <c r="I21" s="53">
        <v>6590</v>
      </c>
      <c r="J21" s="55">
        <f t="shared" si="1"/>
        <v>490.91</v>
      </c>
      <c r="K21" s="55">
        <f t="shared" si="2"/>
        <v>270.11666165689763</v>
      </c>
      <c r="L21" s="56">
        <f t="shared" si="3"/>
        <v>3.83</v>
      </c>
      <c r="M21" s="54">
        <v>52</v>
      </c>
    </row>
    <row r="22" spans="1:13" ht="15" customHeight="1" x14ac:dyDescent="0.55000000000000004">
      <c r="A22" s="52" t="s">
        <v>667</v>
      </c>
      <c r="B22" s="28" t="s">
        <v>32</v>
      </c>
      <c r="C22" s="53">
        <v>803.3</v>
      </c>
      <c r="D22" s="54">
        <v>98745</v>
      </c>
      <c r="E22" s="54">
        <v>27333</v>
      </c>
      <c r="F22" s="55">
        <v>307699.84999999998</v>
      </c>
      <c r="G22" s="55">
        <v>10088.379999999999</v>
      </c>
      <c r="H22" s="56">
        <f t="shared" si="0"/>
        <v>317788.23</v>
      </c>
      <c r="I22" s="53">
        <v>510</v>
      </c>
      <c r="J22" s="55">
        <f t="shared" si="1"/>
        <v>623.11</v>
      </c>
      <c r="K22" s="55">
        <f t="shared" si="2"/>
        <v>395.60342337856343</v>
      </c>
      <c r="L22" s="56">
        <f t="shared" si="3"/>
        <v>3.22</v>
      </c>
      <c r="M22" s="54">
        <v>165</v>
      </c>
    </row>
    <row r="23" spans="1:13" ht="15" customHeight="1" x14ac:dyDescent="0.55000000000000004">
      <c r="A23" s="52" t="s">
        <v>666</v>
      </c>
      <c r="B23" s="28" t="s">
        <v>343</v>
      </c>
      <c r="C23" s="53">
        <v>410.3</v>
      </c>
      <c r="D23" s="54">
        <v>95478</v>
      </c>
      <c r="E23" s="54">
        <v>11475</v>
      </c>
      <c r="F23" s="55">
        <v>270775.21999999997</v>
      </c>
      <c r="G23" s="55"/>
      <c r="H23" s="56">
        <f t="shared" si="0"/>
        <v>270775.21999999997</v>
      </c>
      <c r="I23" s="53">
        <v>248.7</v>
      </c>
      <c r="J23" s="55">
        <f t="shared" si="1"/>
        <v>1088.76</v>
      </c>
      <c r="K23" s="55">
        <f t="shared" si="2"/>
        <v>659.94447964903725</v>
      </c>
      <c r="L23" s="56">
        <f t="shared" si="3"/>
        <v>2.84</v>
      </c>
      <c r="M23" s="54">
        <v>367</v>
      </c>
    </row>
    <row r="24" spans="1:13" ht="15" customHeight="1" x14ac:dyDescent="0.55000000000000004">
      <c r="A24" s="52" t="s">
        <v>665</v>
      </c>
      <c r="B24" s="28" t="s">
        <v>33</v>
      </c>
      <c r="C24" s="53">
        <v>278</v>
      </c>
      <c r="D24" s="54">
        <v>60154</v>
      </c>
      <c r="E24" s="54">
        <v>5729</v>
      </c>
      <c r="F24" s="55">
        <v>164254.66</v>
      </c>
      <c r="G24" s="55">
        <v>23467.01</v>
      </c>
      <c r="H24" s="56">
        <f t="shared" si="0"/>
        <v>187721.67</v>
      </c>
      <c r="I24" s="53">
        <v>150.9</v>
      </c>
      <c r="J24" s="55">
        <f t="shared" si="1"/>
        <v>1244.01</v>
      </c>
      <c r="K24" s="55">
        <f t="shared" si="2"/>
        <v>675.25780575539568</v>
      </c>
      <c r="L24" s="56">
        <f t="shared" si="3"/>
        <v>3.12</v>
      </c>
      <c r="M24" s="54">
        <v>164</v>
      </c>
    </row>
    <row r="25" spans="1:13" ht="15" customHeight="1" x14ac:dyDescent="0.55000000000000004">
      <c r="A25" s="52" t="s">
        <v>664</v>
      </c>
      <c r="B25" s="28" t="s">
        <v>34</v>
      </c>
      <c r="C25" s="53">
        <v>1328.8</v>
      </c>
      <c r="D25" s="54">
        <v>75839</v>
      </c>
      <c r="E25" s="54">
        <v>53710</v>
      </c>
      <c r="F25" s="55">
        <v>284789.26</v>
      </c>
      <c r="G25" s="55"/>
      <c r="H25" s="56">
        <f t="shared" si="0"/>
        <v>284789.26</v>
      </c>
      <c r="I25" s="53">
        <v>243</v>
      </c>
      <c r="J25" s="55">
        <f t="shared" si="1"/>
        <v>1171.97</v>
      </c>
      <c r="K25" s="55">
        <f t="shared" si="2"/>
        <v>214.32063515954246</v>
      </c>
      <c r="L25" s="56">
        <f t="shared" si="3"/>
        <v>3.76</v>
      </c>
      <c r="M25" s="54">
        <v>206</v>
      </c>
    </row>
    <row r="26" spans="1:13" ht="15" customHeight="1" x14ac:dyDescent="0.55000000000000004">
      <c r="A26" s="52" t="s">
        <v>663</v>
      </c>
      <c r="B26" s="28" t="s">
        <v>35</v>
      </c>
      <c r="C26" s="53">
        <v>498.9</v>
      </c>
      <c r="D26" s="54">
        <v>70483</v>
      </c>
      <c r="E26" s="54">
        <v>18097</v>
      </c>
      <c r="F26" s="55">
        <v>196221.27</v>
      </c>
      <c r="G26" s="55">
        <v>1298.1400000000001</v>
      </c>
      <c r="H26" s="56">
        <f t="shared" si="0"/>
        <v>197519.41</v>
      </c>
      <c r="I26" s="53">
        <v>212.9</v>
      </c>
      <c r="J26" s="55">
        <f t="shared" si="1"/>
        <v>927.76</v>
      </c>
      <c r="K26" s="55">
        <f t="shared" si="2"/>
        <v>395.90982160753663</v>
      </c>
      <c r="L26" s="56">
        <f t="shared" si="3"/>
        <v>2.8</v>
      </c>
      <c r="M26" s="54">
        <v>237</v>
      </c>
    </row>
    <row r="27" spans="1:13" ht="15" customHeight="1" x14ac:dyDescent="0.55000000000000004">
      <c r="A27" s="52" t="s">
        <v>661</v>
      </c>
      <c r="B27" s="28" t="s">
        <v>691</v>
      </c>
      <c r="C27" s="53">
        <v>784.6</v>
      </c>
      <c r="D27" s="54">
        <v>107833</v>
      </c>
      <c r="E27" s="54">
        <v>17806</v>
      </c>
      <c r="F27" s="55">
        <v>367115.26</v>
      </c>
      <c r="G27" s="55"/>
      <c r="H27" s="56">
        <f t="shared" si="0"/>
        <v>367115.26</v>
      </c>
      <c r="I27" s="53">
        <v>611</v>
      </c>
      <c r="J27" s="55">
        <f t="shared" si="1"/>
        <v>600.84</v>
      </c>
      <c r="K27" s="55">
        <f t="shared" si="2"/>
        <v>467.90117257201121</v>
      </c>
      <c r="L27" s="56">
        <f t="shared" si="3"/>
        <v>3.4</v>
      </c>
      <c r="M27" s="54">
        <v>277</v>
      </c>
    </row>
    <row r="28" spans="1:13" ht="15" customHeight="1" x14ac:dyDescent="0.55000000000000004">
      <c r="A28" s="52" t="s">
        <v>660</v>
      </c>
      <c r="B28" s="28" t="s">
        <v>37</v>
      </c>
      <c r="C28" s="53">
        <v>1622.3</v>
      </c>
      <c r="D28" s="54">
        <v>92560</v>
      </c>
      <c r="E28" s="54">
        <v>32861</v>
      </c>
      <c r="F28" s="55">
        <v>615636.77</v>
      </c>
      <c r="G28" s="55">
        <v>5391.17</v>
      </c>
      <c r="H28" s="56">
        <f t="shared" si="0"/>
        <v>621027.94000000006</v>
      </c>
      <c r="I28" s="53">
        <v>1280.9000000000001</v>
      </c>
      <c r="J28" s="55">
        <f t="shared" si="1"/>
        <v>484.84</v>
      </c>
      <c r="K28" s="55">
        <f t="shared" si="2"/>
        <v>382.80708870122669</v>
      </c>
      <c r="L28" s="56">
        <f t="shared" si="3"/>
        <v>6.71</v>
      </c>
      <c r="M28" s="54">
        <v>85</v>
      </c>
    </row>
    <row r="29" spans="1:13" ht="15" customHeight="1" x14ac:dyDescent="0.55000000000000004">
      <c r="A29" s="52" t="s">
        <v>658</v>
      </c>
      <c r="B29" s="28" t="s">
        <v>39</v>
      </c>
      <c r="C29" s="53">
        <v>309.10000000000002</v>
      </c>
      <c r="D29" s="54">
        <v>41650</v>
      </c>
      <c r="E29" s="54">
        <v>17442</v>
      </c>
      <c r="F29" s="55">
        <v>142263.53</v>
      </c>
      <c r="G29" s="55">
        <v>937.46</v>
      </c>
      <c r="H29" s="56">
        <f t="shared" si="0"/>
        <v>143200.99</v>
      </c>
      <c r="I29" s="53">
        <v>147</v>
      </c>
      <c r="J29" s="55">
        <f t="shared" si="1"/>
        <v>974.16</v>
      </c>
      <c r="K29" s="55">
        <f t="shared" si="2"/>
        <v>463.28369459721767</v>
      </c>
      <c r="L29" s="56">
        <f t="shared" si="3"/>
        <v>3.44</v>
      </c>
      <c r="M29" s="54">
        <v>69</v>
      </c>
    </row>
    <row r="30" spans="1:13" ht="15" customHeight="1" x14ac:dyDescent="0.55000000000000004">
      <c r="A30" s="52" t="s">
        <v>657</v>
      </c>
      <c r="B30" s="28" t="s">
        <v>40</v>
      </c>
      <c r="C30" s="53">
        <v>520.20000000000005</v>
      </c>
      <c r="D30" s="54">
        <v>98127</v>
      </c>
      <c r="E30" s="54">
        <v>38360</v>
      </c>
      <c r="F30" s="55">
        <v>314383.25</v>
      </c>
      <c r="G30" s="55">
        <v>468.73</v>
      </c>
      <c r="H30" s="56">
        <f t="shared" si="0"/>
        <v>314851.98</v>
      </c>
      <c r="I30" s="53">
        <v>447</v>
      </c>
      <c r="J30" s="55">
        <f t="shared" si="1"/>
        <v>704.37</v>
      </c>
      <c r="K30" s="55">
        <f t="shared" si="2"/>
        <v>605.25178777393296</v>
      </c>
      <c r="L30" s="56">
        <f t="shared" si="3"/>
        <v>3.21</v>
      </c>
      <c r="M30" s="54">
        <v>187</v>
      </c>
    </row>
    <row r="31" spans="1:13" ht="15" customHeight="1" x14ac:dyDescent="0.55000000000000004">
      <c r="A31" s="52" t="s">
        <v>656</v>
      </c>
      <c r="B31" s="28" t="s">
        <v>41</v>
      </c>
      <c r="C31" s="53">
        <v>473.6</v>
      </c>
      <c r="D31" s="54">
        <v>78863</v>
      </c>
      <c r="E31" s="54">
        <v>16580</v>
      </c>
      <c r="F31" s="55">
        <v>198330.28</v>
      </c>
      <c r="G31" s="55">
        <v>1766.87</v>
      </c>
      <c r="H31" s="56">
        <f t="shared" si="0"/>
        <v>200097.15</v>
      </c>
      <c r="I31" s="53">
        <v>149.5</v>
      </c>
      <c r="J31" s="55">
        <f t="shared" si="1"/>
        <v>1338.44</v>
      </c>
      <c r="K31" s="55">
        <f t="shared" si="2"/>
        <v>422.50242820945942</v>
      </c>
      <c r="L31" s="56">
        <f t="shared" si="3"/>
        <v>2.54</v>
      </c>
      <c r="M31" s="54">
        <v>305</v>
      </c>
    </row>
    <row r="32" spans="1:13" ht="15" customHeight="1" x14ac:dyDescent="0.55000000000000004">
      <c r="A32" s="52" t="s">
        <v>655</v>
      </c>
      <c r="B32" s="28" t="s">
        <v>42</v>
      </c>
      <c r="C32" s="53">
        <v>488.4</v>
      </c>
      <c r="D32" s="54">
        <v>48839</v>
      </c>
      <c r="E32" s="54">
        <v>20949</v>
      </c>
      <c r="F32" s="55">
        <v>220462.26</v>
      </c>
      <c r="G32" s="55">
        <v>2900.91</v>
      </c>
      <c r="H32" s="56">
        <f t="shared" si="0"/>
        <v>223363.17</v>
      </c>
      <c r="I32" s="53">
        <v>164</v>
      </c>
      <c r="J32" s="55">
        <f t="shared" si="1"/>
        <v>1361.97</v>
      </c>
      <c r="K32" s="55">
        <f t="shared" si="2"/>
        <v>457.33654791154794</v>
      </c>
      <c r="L32" s="56">
        <f t="shared" si="3"/>
        <v>4.57</v>
      </c>
      <c r="M32" s="54">
        <v>105</v>
      </c>
    </row>
    <row r="33" spans="1:13" ht="15" customHeight="1" x14ac:dyDescent="0.55000000000000004">
      <c r="A33" s="52" t="s">
        <v>654</v>
      </c>
      <c r="B33" s="28" t="s">
        <v>43</v>
      </c>
      <c r="C33" s="53">
        <v>591</v>
      </c>
      <c r="D33" s="54">
        <v>75680</v>
      </c>
      <c r="E33" s="54">
        <v>20059</v>
      </c>
      <c r="F33" s="55">
        <v>246842</v>
      </c>
      <c r="G33" s="55"/>
      <c r="H33" s="56">
        <f t="shared" si="0"/>
        <v>246842</v>
      </c>
      <c r="I33" s="53">
        <v>409.7</v>
      </c>
      <c r="J33" s="55">
        <f t="shared" si="1"/>
        <v>602.49</v>
      </c>
      <c r="K33" s="55">
        <f t="shared" si="2"/>
        <v>417.66835871404402</v>
      </c>
      <c r="L33" s="56">
        <f t="shared" si="3"/>
        <v>3.26</v>
      </c>
      <c r="M33" s="54">
        <v>127</v>
      </c>
    </row>
    <row r="34" spans="1:13" ht="15" customHeight="1" x14ac:dyDescent="0.55000000000000004">
      <c r="A34" s="52" t="s">
        <v>653</v>
      </c>
      <c r="B34" s="28" t="s">
        <v>44</v>
      </c>
      <c r="C34" s="53">
        <v>791.5</v>
      </c>
      <c r="D34" s="54">
        <v>50441</v>
      </c>
      <c r="E34" s="54">
        <v>31043</v>
      </c>
      <c r="F34" s="55">
        <v>210511.55</v>
      </c>
      <c r="G34" s="55"/>
      <c r="H34" s="56">
        <f t="shared" si="0"/>
        <v>210511.55</v>
      </c>
      <c r="I34" s="53">
        <v>265</v>
      </c>
      <c r="J34" s="55">
        <f t="shared" si="1"/>
        <v>794.38</v>
      </c>
      <c r="K34" s="55">
        <f t="shared" si="2"/>
        <v>265.96531901452937</v>
      </c>
      <c r="L34" s="56">
        <f t="shared" si="3"/>
        <v>4.17</v>
      </c>
      <c r="M34" s="54">
        <v>204</v>
      </c>
    </row>
    <row r="35" spans="1:13" ht="15" customHeight="1" x14ac:dyDescent="0.55000000000000004">
      <c r="A35" s="52" t="s">
        <v>652</v>
      </c>
      <c r="B35" s="28" t="s">
        <v>45</v>
      </c>
      <c r="C35" s="53">
        <v>207.3</v>
      </c>
      <c r="D35" s="54">
        <v>40162</v>
      </c>
      <c r="E35" s="54">
        <v>900</v>
      </c>
      <c r="F35" s="55">
        <v>127977.59</v>
      </c>
      <c r="G35" s="55"/>
      <c r="H35" s="56">
        <f t="shared" si="0"/>
        <v>127977.59</v>
      </c>
      <c r="I35" s="53">
        <v>84</v>
      </c>
      <c r="J35" s="55">
        <f t="shared" si="1"/>
        <v>1523.54</v>
      </c>
      <c r="K35" s="55">
        <f t="shared" si="2"/>
        <v>617.3545103714423</v>
      </c>
      <c r="L35" s="56">
        <f t="shared" si="3"/>
        <v>3.19</v>
      </c>
      <c r="M35" s="54">
        <v>76</v>
      </c>
    </row>
    <row r="36" spans="1:13" ht="15" customHeight="1" x14ac:dyDescent="0.55000000000000004">
      <c r="A36" s="52" t="s">
        <v>651</v>
      </c>
      <c r="B36" s="28" t="s">
        <v>46</v>
      </c>
      <c r="C36" s="53">
        <v>1502.1</v>
      </c>
      <c r="D36" s="54">
        <v>347897</v>
      </c>
      <c r="E36" s="54">
        <v>81483</v>
      </c>
      <c r="F36" s="55">
        <v>843854.04</v>
      </c>
      <c r="G36" s="55">
        <v>22663.67</v>
      </c>
      <c r="H36" s="56">
        <f t="shared" si="0"/>
        <v>866517.71000000008</v>
      </c>
      <c r="I36" s="53">
        <v>1477.8</v>
      </c>
      <c r="J36" s="55">
        <f t="shared" si="1"/>
        <v>586.36</v>
      </c>
      <c r="K36" s="55">
        <f t="shared" si="2"/>
        <v>576.87085413754085</v>
      </c>
      <c r="L36" s="56">
        <f t="shared" si="3"/>
        <v>2.4900000000000002</v>
      </c>
      <c r="M36" s="54">
        <v>331</v>
      </c>
    </row>
    <row r="37" spans="1:13" ht="15" customHeight="1" x14ac:dyDescent="0.55000000000000004">
      <c r="A37" s="52" t="s">
        <v>650</v>
      </c>
      <c r="B37" s="28" t="s">
        <v>47</v>
      </c>
      <c r="C37" s="53">
        <v>4185.3</v>
      </c>
      <c r="D37" s="54">
        <v>57059</v>
      </c>
      <c r="E37" s="54">
        <v>81772</v>
      </c>
      <c r="F37" s="55">
        <v>416812.23</v>
      </c>
      <c r="G37" s="55">
        <v>24736.240000000002</v>
      </c>
      <c r="H37" s="56">
        <f t="shared" si="0"/>
        <v>441548.47</v>
      </c>
      <c r="I37" s="53">
        <v>1217</v>
      </c>
      <c r="J37" s="55">
        <f t="shared" si="1"/>
        <v>362.82</v>
      </c>
      <c r="K37" s="55">
        <f t="shared" si="2"/>
        <v>105.49983752658112</v>
      </c>
      <c r="L37" s="56">
        <f t="shared" si="3"/>
        <v>7.74</v>
      </c>
      <c r="M37" s="54">
        <v>9</v>
      </c>
    </row>
    <row r="38" spans="1:13" ht="15" customHeight="1" x14ac:dyDescent="0.55000000000000004">
      <c r="A38" s="52" t="s">
        <v>649</v>
      </c>
      <c r="B38" s="28" t="s">
        <v>1218</v>
      </c>
      <c r="C38" s="53">
        <v>891.2</v>
      </c>
      <c r="D38" s="54">
        <v>196044</v>
      </c>
      <c r="E38" s="54">
        <v>23296</v>
      </c>
      <c r="F38" s="55">
        <v>692750.77</v>
      </c>
      <c r="G38" s="55">
        <v>5824.9</v>
      </c>
      <c r="H38" s="56">
        <f t="shared" si="0"/>
        <v>698575.67</v>
      </c>
      <c r="I38" s="53">
        <v>506</v>
      </c>
      <c r="J38" s="55">
        <f t="shared" si="1"/>
        <v>1380.58</v>
      </c>
      <c r="K38" s="55">
        <f t="shared" si="2"/>
        <v>783.85959380610416</v>
      </c>
      <c r="L38" s="56">
        <f t="shared" si="3"/>
        <v>3.56</v>
      </c>
      <c r="M38" s="54">
        <v>285</v>
      </c>
    </row>
    <row r="39" spans="1:13" ht="15" customHeight="1" x14ac:dyDescent="0.55000000000000004">
      <c r="A39" s="52" t="s">
        <v>647</v>
      </c>
      <c r="B39" s="28" t="s">
        <v>48</v>
      </c>
      <c r="C39" s="53">
        <v>2142.1999999999998</v>
      </c>
      <c r="D39" s="54">
        <v>81728</v>
      </c>
      <c r="E39" s="54">
        <v>39599</v>
      </c>
      <c r="F39" s="55">
        <v>530632.53</v>
      </c>
      <c r="G39" s="55">
        <v>13541.52</v>
      </c>
      <c r="H39" s="56">
        <f t="shared" si="0"/>
        <v>544174.05000000005</v>
      </c>
      <c r="I39" s="53">
        <v>1125.0999999999999</v>
      </c>
      <c r="J39" s="55">
        <f t="shared" si="1"/>
        <v>483.67</v>
      </c>
      <c r="K39" s="55">
        <f t="shared" si="2"/>
        <v>254.02579124264778</v>
      </c>
      <c r="L39" s="56">
        <f t="shared" si="3"/>
        <v>6.66</v>
      </c>
      <c r="M39" s="54">
        <v>99</v>
      </c>
    </row>
    <row r="40" spans="1:13" ht="15" customHeight="1" x14ac:dyDescent="0.55000000000000004">
      <c r="A40" s="52" t="s">
        <v>646</v>
      </c>
      <c r="B40" s="28" t="s">
        <v>49</v>
      </c>
      <c r="C40" s="53">
        <v>2056.5</v>
      </c>
      <c r="D40" s="54">
        <v>56840</v>
      </c>
      <c r="E40" s="54">
        <v>49729</v>
      </c>
      <c r="F40" s="55">
        <v>321020.18</v>
      </c>
      <c r="G40" s="55">
        <v>1505.88</v>
      </c>
      <c r="H40" s="56">
        <f t="shared" si="0"/>
        <v>322526.06</v>
      </c>
      <c r="I40" s="53">
        <v>950.9</v>
      </c>
      <c r="J40" s="55">
        <f t="shared" si="1"/>
        <v>339.18</v>
      </c>
      <c r="K40" s="55">
        <f t="shared" si="2"/>
        <v>156.83251154874787</v>
      </c>
      <c r="L40" s="56">
        <f t="shared" si="3"/>
        <v>5.67</v>
      </c>
      <c r="M40" s="54">
        <v>66</v>
      </c>
    </row>
    <row r="41" spans="1:13" ht="15" customHeight="1" x14ac:dyDescent="0.55000000000000004">
      <c r="A41" s="52" t="s">
        <v>645</v>
      </c>
      <c r="B41" s="28" t="s">
        <v>50</v>
      </c>
      <c r="C41" s="53">
        <v>583.09999999999991</v>
      </c>
      <c r="D41" s="54">
        <v>67167</v>
      </c>
      <c r="E41" s="54">
        <v>31294</v>
      </c>
      <c r="F41" s="55">
        <v>158103.57</v>
      </c>
      <c r="G41" s="55">
        <v>65024.67</v>
      </c>
      <c r="H41" s="56">
        <f t="shared" si="0"/>
        <v>223128.24</v>
      </c>
      <c r="I41" s="53">
        <v>288</v>
      </c>
      <c r="J41" s="55">
        <f t="shared" si="1"/>
        <v>774.75</v>
      </c>
      <c r="K41" s="55">
        <f t="shared" si="2"/>
        <v>382.65861773280744</v>
      </c>
      <c r="L41" s="56">
        <f t="shared" si="3"/>
        <v>3.32</v>
      </c>
      <c r="M41" s="54">
        <v>110</v>
      </c>
    </row>
    <row r="42" spans="1:13" ht="15" customHeight="1" x14ac:dyDescent="0.55000000000000004">
      <c r="A42" s="52" t="s">
        <v>644</v>
      </c>
      <c r="B42" s="28" t="s">
        <v>51</v>
      </c>
      <c r="C42" s="53">
        <v>539.09999999999991</v>
      </c>
      <c r="D42" s="54">
        <v>94579</v>
      </c>
      <c r="E42" s="54">
        <v>14721</v>
      </c>
      <c r="F42" s="55">
        <v>251481.75</v>
      </c>
      <c r="G42" s="55">
        <v>1126.26</v>
      </c>
      <c r="H42" s="56">
        <f t="shared" si="0"/>
        <v>252608.01</v>
      </c>
      <c r="I42" s="53">
        <v>182.2</v>
      </c>
      <c r="J42" s="55">
        <f t="shared" si="1"/>
        <v>1386.43</v>
      </c>
      <c r="K42" s="55">
        <f t="shared" si="2"/>
        <v>468.57356705620487</v>
      </c>
      <c r="L42" s="56">
        <f t="shared" si="3"/>
        <v>2.67</v>
      </c>
      <c r="M42" s="54">
        <v>237</v>
      </c>
    </row>
    <row r="43" spans="1:13" ht="15" customHeight="1" x14ac:dyDescent="0.55000000000000004">
      <c r="A43" s="52" t="s">
        <v>643</v>
      </c>
      <c r="B43" s="28" t="s">
        <v>52</v>
      </c>
      <c r="C43" s="53">
        <v>551.6</v>
      </c>
      <c r="D43" s="54">
        <v>53820</v>
      </c>
      <c r="E43" s="54">
        <v>17681</v>
      </c>
      <c r="F43" s="55">
        <v>192909.72</v>
      </c>
      <c r="G43" s="55"/>
      <c r="H43" s="56">
        <f t="shared" si="0"/>
        <v>192909.72</v>
      </c>
      <c r="I43" s="53">
        <v>275</v>
      </c>
      <c r="J43" s="55">
        <f t="shared" si="1"/>
        <v>701.49</v>
      </c>
      <c r="K43" s="55">
        <f t="shared" si="2"/>
        <v>349.72755620014505</v>
      </c>
      <c r="L43" s="56">
        <f t="shared" si="3"/>
        <v>3.58</v>
      </c>
      <c r="M43" s="54">
        <v>142</v>
      </c>
    </row>
    <row r="44" spans="1:13" ht="15" customHeight="1" x14ac:dyDescent="0.55000000000000004">
      <c r="A44" s="52" t="s">
        <v>642</v>
      </c>
      <c r="B44" s="28" t="s">
        <v>53</v>
      </c>
      <c r="C44" s="53">
        <v>458</v>
      </c>
      <c r="D44" s="54">
        <v>75229</v>
      </c>
      <c r="E44" s="54">
        <v>16822</v>
      </c>
      <c r="F44" s="55">
        <v>171583.3</v>
      </c>
      <c r="G44" s="55"/>
      <c r="H44" s="56">
        <f t="shared" si="0"/>
        <v>171583.3</v>
      </c>
      <c r="I44" s="53">
        <v>283</v>
      </c>
      <c r="J44" s="55">
        <f t="shared" si="1"/>
        <v>606.29999999999995</v>
      </c>
      <c r="K44" s="55">
        <f t="shared" si="2"/>
        <v>374.63602620087335</v>
      </c>
      <c r="L44" s="56">
        <f t="shared" si="3"/>
        <v>2.2799999999999998</v>
      </c>
      <c r="M44" s="54">
        <v>312</v>
      </c>
    </row>
    <row r="45" spans="1:13" ht="15" customHeight="1" x14ac:dyDescent="0.55000000000000004">
      <c r="A45" s="52" t="s">
        <v>641</v>
      </c>
      <c r="B45" s="28" t="s">
        <v>54</v>
      </c>
      <c r="C45" s="53">
        <v>4133.5999999999995</v>
      </c>
      <c r="D45" s="54">
        <v>192560</v>
      </c>
      <c r="E45" s="54">
        <v>106350</v>
      </c>
      <c r="F45" s="55">
        <v>836464.42</v>
      </c>
      <c r="G45" s="55">
        <v>1563</v>
      </c>
      <c r="H45" s="56">
        <f t="shared" si="0"/>
        <v>838027.42</v>
      </c>
      <c r="I45" s="53">
        <v>1143.9000000000001</v>
      </c>
      <c r="J45" s="55">
        <f t="shared" si="1"/>
        <v>732.61</v>
      </c>
      <c r="K45" s="55">
        <f t="shared" si="2"/>
        <v>202.73548964582935</v>
      </c>
      <c r="L45" s="56">
        <f t="shared" si="3"/>
        <v>4.3499999999999996</v>
      </c>
      <c r="M45" s="54">
        <v>70</v>
      </c>
    </row>
    <row r="46" spans="1:13" ht="15" customHeight="1" x14ac:dyDescent="0.55000000000000004">
      <c r="A46" s="52" t="s">
        <v>640</v>
      </c>
      <c r="B46" s="28" t="s">
        <v>639</v>
      </c>
      <c r="C46" s="53">
        <v>491.6</v>
      </c>
      <c r="D46" s="54">
        <v>97664</v>
      </c>
      <c r="E46" s="54">
        <v>17366</v>
      </c>
      <c r="F46" s="55">
        <v>310642.55</v>
      </c>
      <c r="G46" s="55"/>
      <c r="H46" s="56">
        <f t="shared" si="0"/>
        <v>310642.55</v>
      </c>
      <c r="I46" s="53">
        <v>327.9</v>
      </c>
      <c r="J46" s="55">
        <f t="shared" si="1"/>
        <v>947.37</v>
      </c>
      <c r="K46" s="55">
        <f t="shared" si="2"/>
        <v>631.90103742880387</v>
      </c>
      <c r="L46" s="56">
        <f t="shared" si="3"/>
        <v>3.18</v>
      </c>
      <c r="M46" s="54">
        <v>280</v>
      </c>
    </row>
    <row r="47" spans="1:13" ht="15" customHeight="1" x14ac:dyDescent="0.55000000000000004">
      <c r="A47" s="52" t="s">
        <v>638</v>
      </c>
      <c r="B47" s="28" t="s">
        <v>55</v>
      </c>
      <c r="C47" s="53">
        <v>239.9</v>
      </c>
      <c r="D47" s="54">
        <v>44720</v>
      </c>
      <c r="E47" s="54">
        <v>1914</v>
      </c>
      <c r="F47" s="55">
        <v>125608.87</v>
      </c>
      <c r="G47" s="55">
        <v>3494.58</v>
      </c>
      <c r="H47" s="56">
        <f t="shared" si="0"/>
        <v>129103.45</v>
      </c>
      <c r="I47" s="53">
        <v>178</v>
      </c>
      <c r="J47" s="55">
        <f t="shared" si="1"/>
        <v>725.3</v>
      </c>
      <c r="K47" s="55">
        <f t="shared" si="2"/>
        <v>538.15527303042927</v>
      </c>
      <c r="L47" s="56">
        <f t="shared" si="3"/>
        <v>2.89</v>
      </c>
      <c r="M47" s="54">
        <v>117</v>
      </c>
    </row>
    <row r="48" spans="1:13" ht="15" customHeight="1" x14ac:dyDescent="0.55000000000000004">
      <c r="A48" s="52" t="s">
        <v>637</v>
      </c>
      <c r="B48" s="28" t="s">
        <v>56</v>
      </c>
      <c r="C48" s="53">
        <v>424.9</v>
      </c>
      <c r="D48" s="54">
        <v>88661</v>
      </c>
      <c r="E48" s="54">
        <v>15925</v>
      </c>
      <c r="F48" s="55">
        <v>233503.39</v>
      </c>
      <c r="G48" s="55"/>
      <c r="H48" s="56">
        <f t="shared" si="0"/>
        <v>233503.39</v>
      </c>
      <c r="I48" s="53">
        <v>315.39999999999998</v>
      </c>
      <c r="J48" s="55">
        <f t="shared" si="1"/>
        <v>740.34</v>
      </c>
      <c r="K48" s="55">
        <f t="shared" si="2"/>
        <v>549.54904683454936</v>
      </c>
      <c r="L48" s="56">
        <f t="shared" si="3"/>
        <v>2.63</v>
      </c>
      <c r="M48" s="54">
        <v>113</v>
      </c>
    </row>
    <row r="49" spans="1:13" ht="15" customHeight="1" x14ac:dyDescent="0.55000000000000004">
      <c r="A49" s="52" t="s">
        <v>636</v>
      </c>
      <c r="B49" s="28" t="s">
        <v>57</v>
      </c>
      <c r="C49" s="53">
        <v>821</v>
      </c>
      <c r="D49" s="54">
        <v>32564</v>
      </c>
      <c r="E49" s="54">
        <v>22020</v>
      </c>
      <c r="F49" s="55">
        <v>157196.22</v>
      </c>
      <c r="G49" s="55">
        <v>9465.18</v>
      </c>
      <c r="H49" s="56">
        <f t="shared" si="0"/>
        <v>166661.4</v>
      </c>
      <c r="I49" s="53">
        <v>238</v>
      </c>
      <c r="J49" s="55">
        <f t="shared" si="1"/>
        <v>700.26</v>
      </c>
      <c r="K49" s="55">
        <f t="shared" si="2"/>
        <v>202.99805115712545</v>
      </c>
      <c r="L49" s="56">
        <f t="shared" si="3"/>
        <v>5.12</v>
      </c>
      <c r="M49" s="54">
        <v>35</v>
      </c>
    </row>
    <row r="50" spans="1:13" ht="15" customHeight="1" x14ac:dyDescent="0.55000000000000004">
      <c r="A50" s="52" t="s">
        <v>635</v>
      </c>
      <c r="B50" s="28" t="s">
        <v>58</v>
      </c>
      <c r="C50" s="53">
        <v>570.9</v>
      </c>
      <c r="D50" s="54">
        <v>128082</v>
      </c>
      <c r="E50" s="54">
        <v>25098</v>
      </c>
      <c r="F50" s="55">
        <v>474580.55</v>
      </c>
      <c r="G50" s="55"/>
      <c r="H50" s="56">
        <f t="shared" si="0"/>
        <v>474580.55</v>
      </c>
      <c r="I50" s="53">
        <v>513</v>
      </c>
      <c r="J50" s="55">
        <f t="shared" si="1"/>
        <v>925.11</v>
      </c>
      <c r="K50" s="55">
        <f t="shared" si="2"/>
        <v>831.28490103345598</v>
      </c>
      <c r="L50" s="56">
        <f t="shared" si="3"/>
        <v>3.71</v>
      </c>
      <c r="M50" s="54">
        <v>130</v>
      </c>
    </row>
    <row r="51" spans="1:13" ht="15" customHeight="1" x14ac:dyDescent="0.55000000000000004">
      <c r="A51" s="52" t="s">
        <v>634</v>
      </c>
      <c r="B51" s="28" t="s">
        <v>59</v>
      </c>
      <c r="C51" s="53">
        <v>1981.5</v>
      </c>
      <c r="D51" s="54">
        <v>126619</v>
      </c>
      <c r="E51" s="54">
        <v>40583</v>
      </c>
      <c r="F51" s="55">
        <v>750328.11</v>
      </c>
      <c r="G51" s="55">
        <v>7212.83</v>
      </c>
      <c r="H51" s="56">
        <f t="shared" si="0"/>
        <v>757540.94</v>
      </c>
      <c r="I51" s="53">
        <v>1356</v>
      </c>
      <c r="J51" s="55">
        <f t="shared" si="1"/>
        <v>558.66</v>
      </c>
      <c r="K51" s="55">
        <f t="shared" si="2"/>
        <v>382.3068079737572</v>
      </c>
      <c r="L51" s="56">
        <f t="shared" si="3"/>
        <v>5.98</v>
      </c>
      <c r="M51" s="54">
        <v>68</v>
      </c>
    </row>
    <row r="52" spans="1:13" ht="15" customHeight="1" x14ac:dyDescent="0.55000000000000004">
      <c r="A52" s="52" t="s">
        <v>633</v>
      </c>
      <c r="B52" s="28" t="s">
        <v>60</v>
      </c>
      <c r="C52" s="53">
        <v>1698.7</v>
      </c>
      <c r="D52" s="54">
        <v>303857</v>
      </c>
      <c r="E52" s="54">
        <v>71448</v>
      </c>
      <c r="F52" s="55">
        <v>724780.16</v>
      </c>
      <c r="G52" s="55"/>
      <c r="H52" s="56">
        <f t="shared" si="0"/>
        <v>724780.16</v>
      </c>
      <c r="I52" s="53">
        <v>1818.9</v>
      </c>
      <c r="J52" s="55">
        <f t="shared" si="1"/>
        <v>398.47</v>
      </c>
      <c r="K52" s="55">
        <f t="shared" si="2"/>
        <v>426.66754577029496</v>
      </c>
      <c r="L52" s="56">
        <f t="shared" si="3"/>
        <v>2.39</v>
      </c>
      <c r="M52" s="54">
        <v>269</v>
      </c>
    </row>
    <row r="53" spans="1:13" ht="15" customHeight="1" x14ac:dyDescent="0.55000000000000004">
      <c r="A53" s="52" t="s">
        <v>632</v>
      </c>
      <c r="B53" s="28" t="s">
        <v>61</v>
      </c>
      <c r="C53" s="53">
        <v>5236.4000000000005</v>
      </c>
      <c r="D53" s="54">
        <v>272520</v>
      </c>
      <c r="E53" s="54">
        <v>120690</v>
      </c>
      <c r="F53" s="55">
        <v>1404322.99</v>
      </c>
      <c r="G53" s="55">
        <v>65771.929999999993</v>
      </c>
      <c r="H53" s="56">
        <f t="shared" si="0"/>
        <v>1470094.92</v>
      </c>
      <c r="I53" s="53">
        <v>2264.1999999999998</v>
      </c>
      <c r="J53" s="55">
        <f t="shared" si="1"/>
        <v>649.28</v>
      </c>
      <c r="K53" s="55">
        <f t="shared" si="2"/>
        <v>280.74534412955461</v>
      </c>
      <c r="L53" s="56">
        <f t="shared" si="3"/>
        <v>5.39</v>
      </c>
      <c r="M53" s="54">
        <v>61</v>
      </c>
    </row>
    <row r="54" spans="1:13" ht="15" customHeight="1" x14ac:dyDescent="0.55000000000000004">
      <c r="A54" s="52" t="s">
        <v>631</v>
      </c>
      <c r="B54" s="28" t="s">
        <v>62</v>
      </c>
      <c r="C54" s="53">
        <v>16943.900000000001</v>
      </c>
      <c r="D54" s="54">
        <v>950314</v>
      </c>
      <c r="E54" s="54">
        <v>381812</v>
      </c>
      <c r="F54" s="55">
        <v>5960593.2699999996</v>
      </c>
      <c r="G54" s="55">
        <v>212263.14</v>
      </c>
      <c r="H54" s="56">
        <f t="shared" si="0"/>
        <v>6172856.4099999992</v>
      </c>
      <c r="I54" s="53">
        <v>5922.7</v>
      </c>
      <c r="J54" s="55">
        <f t="shared" si="1"/>
        <v>1042.24</v>
      </c>
      <c r="K54" s="55">
        <f t="shared" si="2"/>
        <v>364.3114283016306</v>
      </c>
      <c r="L54" s="56">
        <f t="shared" si="3"/>
        <v>6.5</v>
      </c>
      <c r="M54" s="54">
        <v>121</v>
      </c>
    </row>
    <row r="55" spans="1:13" ht="15" customHeight="1" x14ac:dyDescent="0.55000000000000004">
      <c r="A55" s="52" t="s">
        <v>630</v>
      </c>
      <c r="B55" s="28" t="s">
        <v>63</v>
      </c>
      <c r="C55" s="53">
        <v>1331.4</v>
      </c>
      <c r="D55" s="54">
        <v>81116</v>
      </c>
      <c r="E55" s="54">
        <v>29028</v>
      </c>
      <c r="F55" s="55">
        <v>354839.14</v>
      </c>
      <c r="G55" s="55">
        <v>2650.31</v>
      </c>
      <c r="H55" s="56">
        <f t="shared" si="0"/>
        <v>357489.45</v>
      </c>
      <c r="I55" s="53">
        <v>835.9</v>
      </c>
      <c r="J55" s="55">
        <f t="shared" si="1"/>
        <v>427.67</v>
      </c>
      <c r="K55" s="55">
        <f t="shared" si="2"/>
        <v>268.50642181162686</v>
      </c>
      <c r="L55" s="56">
        <f t="shared" si="3"/>
        <v>4.41</v>
      </c>
      <c r="M55" s="54">
        <v>91</v>
      </c>
    </row>
    <row r="56" spans="1:13" ht="15" customHeight="1" x14ac:dyDescent="0.55000000000000004">
      <c r="A56" s="52" t="s">
        <v>629</v>
      </c>
      <c r="B56" s="28" t="s">
        <v>64</v>
      </c>
      <c r="C56" s="53">
        <v>1374.8</v>
      </c>
      <c r="D56" s="54">
        <v>86308</v>
      </c>
      <c r="E56" s="54">
        <v>34239</v>
      </c>
      <c r="F56" s="55">
        <v>344504.3</v>
      </c>
      <c r="G56" s="55"/>
      <c r="H56" s="56">
        <f t="shared" si="0"/>
        <v>344504.3</v>
      </c>
      <c r="I56" s="53">
        <v>896.9</v>
      </c>
      <c r="J56" s="55">
        <f t="shared" si="1"/>
        <v>384.11</v>
      </c>
      <c r="K56" s="55">
        <f t="shared" si="2"/>
        <v>250.58503054989816</v>
      </c>
      <c r="L56" s="56">
        <f t="shared" si="3"/>
        <v>3.99</v>
      </c>
      <c r="M56" s="54">
        <v>165</v>
      </c>
    </row>
    <row r="57" spans="1:13" ht="15" customHeight="1" x14ac:dyDescent="0.55000000000000004">
      <c r="A57" s="52" t="s">
        <v>628</v>
      </c>
      <c r="B57" s="28" t="s">
        <v>65</v>
      </c>
      <c r="C57" s="53">
        <v>764</v>
      </c>
      <c r="D57" s="54">
        <v>160111</v>
      </c>
      <c r="E57" s="54">
        <v>26652</v>
      </c>
      <c r="F57" s="55">
        <v>514381.31</v>
      </c>
      <c r="G57" s="55">
        <v>3533.75</v>
      </c>
      <c r="H57" s="56">
        <f t="shared" si="0"/>
        <v>517915.06</v>
      </c>
      <c r="I57" s="53">
        <v>902.7</v>
      </c>
      <c r="J57" s="55">
        <f t="shared" si="1"/>
        <v>573.74</v>
      </c>
      <c r="K57" s="55">
        <f t="shared" si="2"/>
        <v>677.89929319371731</v>
      </c>
      <c r="L57" s="56">
        <f t="shared" si="3"/>
        <v>3.23</v>
      </c>
      <c r="M57" s="54">
        <v>190</v>
      </c>
    </row>
    <row r="58" spans="1:13" ht="15" customHeight="1" x14ac:dyDescent="0.55000000000000004">
      <c r="A58" s="52" t="s">
        <v>627</v>
      </c>
      <c r="B58" s="28" t="s">
        <v>66</v>
      </c>
      <c r="C58" s="53">
        <v>424.1</v>
      </c>
      <c r="D58" s="54">
        <v>86109</v>
      </c>
      <c r="E58" s="54">
        <v>9987</v>
      </c>
      <c r="F58" s="55">
        <v>289763.18</v>
      </c>
      <c r="G58" s="55"/>
      <c r="H58" s="56">
        <f t="shared" si="0"/>
        <v>289763.18</v>
      </c>
      <c r="I58" s="53">
        <v>261.7</v>
      </c>
      <c r="J58" s="55">
        <f t="shared" si="1"/>
        <v>1107.23</v>
      </c>
      <c r="K58" s="55">
        <f t="shared" si="2"/>
        <v>683.24258429615656</v>
      </c>
      <c r="L58" s="56">
        <f t="shared" si="3"/>
        <v>3.37</v>
      </c>
      <c r="M58" s="54">
        <v>180</v>
      </c>
    </row>
    <row r="59" spans="1:13" ht="15" customHeight="1" x14ac:dyDescent="0.55000000000000004">
      <c r="A59" s="52" t="s">
        <v>626</v>
      </c>
      <c r="B59" s="28" t="s">
        <v>625</v>
      </c>
      <c r="C59" s="53">
        <v>1472.6</v>
      </c>
      <c r="D59" s="54">
        <v>136014</v>
      </c>
      <c r="E59" s="54">
        <v>48051</v>
      </c>
      <c r="F59" s="55">
        <v>497698.83</v>
      </c>
      <c r="G59" s="55">
        <v>1118.19</v>
      </c>
      <c r="H59" s="56">
        <f t="shared" si="0"/>
        <v>498817.02</v>
      </c>
      <c r="I59" s="53">
        <v>1356</v>
      </c>
      <c r="J59" s="55">
        <f t="shared" si="1"/>
        <v>367.86</v>
      </c>
      <c r="K59" s="55">
        <f t="shared" si="2"/>
        <v>338.73218796686137</v>
      </c>
      <c r="L59" s="56">
        <f t="shared" si="3"/>
        <v>3.67</v>
      </c>
      <c r="M59" s="54">
        <v>319</v>
      </c>
    </row>
    <row r="60" spans="1:13" ht="15" customHeight="1" x14ac:dyDescent="0.55000000000000004">
      <c r="A60" s="52" t="s">
        <v>624</v>
      </c>
      <c r="B60" s="28" t="s">
        <v>67</v>
      </c>
      <c r="C60" s="53">
        <v>458.9</v>
      </c>
      <c r="D60" s="54">
        <v>42084</v>
      </c>
      <c r="E60" s="54">
        <v>12234</v>
      </c>
      <c r="F60" s="55">
        <v>140707.45000000001</v>
      </c>
      <c r="G60" s="55"/>
      <c r="H60" s="56">
        <f t="shared" si="0"/>
        <v>140707.45000000001</v>
      </c>
      <c r="I60" s="53">
        <v>109</v>
      </c>
      <c r="J60" s="55">
        <f t="shared" si="1"/>
        <v>1290.8900000000001</v>
      </c>
      <c r="K60" s="55">
        <f t="shared" si="2"/>
        <v>306.61898016997173</v>
      </c>
      <c r="L60" s="56">
        <f t="shared" si="3"/>
        <v>3.34</v>
      </c>
      <c r="M60" s="54">
        <v>77</v>
      </c>
    </row>
    <row r="61" spans="1:13" ht="15" customHeight="1" x14ac:dyDescent="0.55000000000000004">
      <c r="A61" s="52" t="s">
        <v>623</v>
      </c>
      <c r="B61" s="28" t="s">
        <v>68</v>
      </c>
      <c r="C61" s="53">
        <v>615.4</v>
      </c>
      <c r="D61" s="54">
        <v>203680</v>
      </c>
      <c r="E61" s="54">
        <v>38447</v>
      </c>
      <c r="F61" s="55">
        <v>674595.55</v>
      </c>
      <c r="G61" s="55"/>
      <c r="H61" s="56">
        <f t="shared" si="0"/>
        <v>674595.55</v>
      </c>
      <c r="I61" s="53">
        <v>563.29999999999995</v>
      </c>
      <c r="J61" s="55">
        <f t="shared" si="1"/>
        <v>1197.58</v>
      </c>
      <c r="K61" s="55">
        <f t="shared" si="2"/>
        <v>1096.1903639909003</v>
      </c>
      <c r="L61" s="56">
        <f t="shared" si="3"/>
        <v>3.31</v>
      </c>
      <c r="M61" s="54">
        <v>179</v>
      </c>
    </row>
    <row r="62" spans="1:13" ht="15" customHeight="1" x14ac:dyDescent="0.55000000000000004">
      <c r="A62" s="52" t="s">
        <v>622</v>
      </c>
      <c r="B62" s="28" t="s">
        <v>69</v>
      </c>
      <c r="C62" s="53">
        <v>774.4</v>
      </c>
      <c r="D62" s="54">
        <v>51971</v>
      </c>
      <c r="E62" s="54">
        <v>28682</v>
      </c>
      <c r="F62" s="55">
        <v>166365.49</v>
      </c>
      <c r="G62" s="55">
        <v>37843.22</v>
      </c>
      <c r="H62" s="56">
        <f t="shared" si="0"/>
        <v>204208.71</v>
      </c>
      <c r="I62" s="53">
        <v>292</v>
      </c>
      <c r="J62" s="55">
        <f t="shared" si="1"/>
        <v>699.34</v>
      </c>
      <c r="K62" s="55">
        <f t="shared" si="2"/>
        <v>263.69926394628101</v>
      </c>
      <c r="L62" s="56">
        <f t="shared" si="3"/>
        <v>3.93</v>
      </c>
      <c r="M62" s="54">
        <v>164</v>
      </c>
    </row>
    <row r="63" spans="1:13" ht="15" customHeight="1" x14ac:dyDescent="0.55000000000000004">
      <c r="A63" s="52" t="s">
        <v>621</v>
      </c>
      <c r="B63" s="28" t="s">
        <v>70</v>
      </c>
      <c r="C63" s="53">
        <v>1275.8</v>
      </c>
      <c r="D63" s="54">
        <v>172950</v>
      </c>
      <c r="E63" s="54">
        <v>32236</v>
      </c>
      <c r="F63" s="55">
        <v>545932.31999999995</v>
      </c>
      <c r="G63" s="55"/>
      <c r="H63" s="56">
        <f t="shared" si="0"/>
        <v>545932.31999999995</v>
      </c>
      <c r="I63" s="53">
        <v>959.9</v>
      </c>
      <c r="J63" s="55">
        <f t="shared" si="1"/>
        <v>568.74</v>
      </c>
      <c r="K63" s="55">
        <f t="shared" si="2"/>
        <v>427.91371688352405</v>
      </c>
      <c r="L63" s="56">
        <f t="shared" si="3"/>
        <v>3.16</v>
      </c>
      <c r="M63" s="54">
        <v>287</v>
      </c>
    </row>
    <row r="64" spans="1:13" ht="15" customHeight="1" x14ac:dyDescent="0.55000000000000004">
      <c r="A64" s="52" t="s">
        <v>620</v>
      </c>
      <c r="B64" s="28" t="s">
        <v>71</v>
      </c>
      <c r="C64" s="53">
        <v>1538.3999999999999</v>
      </c>
      <c r="D64" s="54">
        <v>106247</v>
      </c>
      <c r="E64" s="54">
        <v>72387</v>
      </c>
      <c r="F64" s="55">
        <v>331592.53000000003</v>
      </c>
      <c r="G64" s="55"/>
      <c r="H64" s="56">
        <f t="shared" si="0"/>
        <v>331592.53000000003</v>
      </c>
      <c r="I64" s="53">
        <v>656.5</v>
      </c>
      <c r="J64" s="55">
        <f t="shared" si="1"/>
        <v>505.09</v>
      </c>
      <c r="K64" s="55">
        <f t="shared" si="2"/>
        <v>215.54376625065007</v>
      </c>
      <c r="L64" s="56">
        <f t="shared" si="3"/>
        <v>3.12</v>
      </c>
      <c r="M64" s="54">
        <v>224</v>
      </c>
    </row>
    <row r="65" spans="1:13" ht="15" customHeight="1" x14ac:dyDescent="0.55000000000000004">
      <c r="A65" s="52" t="s">
        <v>619</v>
      </c>
      <c r="B65" s="28" t="s">
        <v>72</v>
      </c>
      <c r="C65" s="53">
        <v>268.8</v>
      </c>
      <c r="D65" s="54">
        <v>58976</v>
      </c>
      <c r="E65" s="54">
        <v>3659</v>
      </c>
      <c r="F65" s="55">
        <v>252698.87</v>
      </c>
      <c r="G65" s="55">
        <v>235.13</v>
      </c>
      <c r="H65" s="56">
        <f t="shared" si="0"/>
        <v>252934</v>
      </c>
      <c r="I65" s="53">
        <v>150</v>
      </c>
      <c r="J65" s="55">
        <f t="shared" si="1"/>
        <v>1686.23</v>
      </c>
      <c r="K65" s="55">
        <f t="shared" si="2"/>
        <v>940.97470238095229</v>
      </c>
      <c r="L65" s="56">
        <f t="shared" si="3"/>
        <v>4.29</v>
      </c>
      <c r="M65" s="54">
        <v>152</v>
      </c>
    </row>
    <row r="66" spans="1:13" ht="15" customHeight="1" x14ac:dyDescent="0.55000000000000004">
      <c r="A66" s="52" t="s">
        <v>618</v>
      </c>
      <c r="B66" s="28" t="s">
        <v>73</v>
      </c>
      <c r="C66" s="53">
        <v>1014.1</v>
      </c>
      <c r="D66" s="54">
        <v>55354</v>
      </c>
      <c r="E66" s="54">
        <v>29647</v>
      </c>
      <c r="F66" s="55">
        <v>219412.86</v>
      </c>
      <c r="G66" s="55"/>
      <c r="H66" s="56">
        <f t="shared" si="0"/>
        <v>219412.86</v>
      </c>
      <c r="I66" s="53">
        <v>457</v>
      </c>
      <c r="J66" s="55">
        <f t="shared" si="1"/>
        <v>480.12</v>
      </c>
      <c r="K66" s="55">
        <f t="shared" si="2"/>
        <v>216.36215363376391</v>
      </c>
      <c r="L66" s="56">
        <f t="shared" si="3"/>
        <v>3.96</v>
      </c>
      <c r="M66" s="54">
        <v>116</v>
      </c>
    </row>
    <row r="67" spans="1:13" ht="15" customHeight="1" x14ac:dyDescent="0.55000000000000004">
      <c r="A67" s="52" t="s">
        <v>617</v>
      </c>
      <c r="B67" s="28" t="s">
        <v>74</v>
      </c>
      <c r="C67" s="53">
        <v>988.90000000000009</v>
      </c>
      <c r="D67" s="54">
        <v>68606</v>
      </c>
      <c r="E67" s="54">
        <v>35006</v>
      </c>
      <c r="F67" s="55">
        <v>226859.82</v>
      </c>
      <c r="G67" s="55"/>
      <c r="H67" s="56">
        <f t="shared" si="0"/>
        <v>226859.82</v>
      </c>
      <c r="I67" s="53">
        <v>413.9</v>
      </c>
      <c r="J67" s="55">
        <f t="shared" si="1"/>
        <v>548.1</v>
      </c>
      <c r="K67" s="55">
        <f t="shared" si="2"/>
        <v>229.40622914349277</v>
      </c>
      <c r="L67" s="56">
        <f t="shared" si="3"/>
        <v>3.31</v>
      </c>
      <c r="M67" s="54">
        <v>165</v>
      </c>
    </row>
    <row r="68" spans="1:13" ht="15" customHeight="1" x14ac:dyDescent="0.55000000000000004">
      <c r="A68" s="52" t="s">
        <v>616</v>
      </c>
      <c r="B68" s="28" t="s">
        <v>344</v>
      </c>
      <c r="C68" s="53">
        <v>942.5</v>
      </c>
      <c r="D68" s="54">
        <v>179027</v>
      </c>
      <c r="E68" s="54">
        <v>28861</v>
      </c>
      <c r="F68" s="55">
        <v>659477.55000000005</v>
      </c>
      <c r="G68" s="55">
        <v>1820.9</v>
      </c>
      <c r="H68" s="56">
        <f t="shared" si="0"/>
        <v>661298.45000000007</v>
      </c>
      <c r="I68" s="53">
        <v>523.9</v>
      </c>
      <c r="J68" s="55">
        <f t="shared" si="1"/>
        <v>1262.26</v>
      </c>
      <c r="K68" s="55">
        <f t="shared" si="2"/>
        <v>701.64291777188339</v>
      </c>
      <c r="L68" s="56">
        <f t="shared" si="3"/>
        <v>3.69</v>
      </c>
      <c r="M68" s="54">
        <v>379</v>
      </c>
    </row>
    <row r="69" spans="1:13" ht="15" customHeight="1" x14ac:dyDescent="0.55000000000000004">
      <c r="A69" s="52" t="s">
        <v>615</v>
      </c>
      <c r="B69" s="28" t="s">
        <v>75</v>
      </c>
      <c r="C69" s="53">
        <v>1450.1</v>
      </c>
      <c r="D69" s="54">
        <v>157960</v>
      </c>
      <c r="E69" s="54">
        <v>21128</v>
      </c>
      <c r="F69" s="55">
        <v>602428.87</v>
      </c>
      <c r="G69" s="55"/>
      <c r="H69" s="56">
        <f t="shared" si="0"/>
        <v>602428.87</v>
      </c>
      <c r="I69" s="53">
        <v>815.5</v>
      </c>
      <c r="J69" s="55">
        <f t="shared" si="1"/>
        <v>738.72</v>
      </c>
      <c r="K69" s="55">
        <f t="shared" si="2"/>
        <v>415.43953520446865</v>
      </c>
      <c r="L69" s="56">
        <f t="shared" si="3"/>
        <v>3.81</v>
      </c>
      <c r="M69" s="54">
        <v>269</v>
      </c>
    </row>
    <row r="70" spans="1:13" ht="15" customHeight="1" x14ac:dyDescent="0.55000000000000004">
      <c r="A70" s="52" t="s">
        <v>614</v>
      </c>
      <c r="B70" s="28" t="s">
        <v>76</v>
      </c>
      <c r="C70" s="53">
        <v>310</v>
      </c>
      <c r="D70" s="54">
        <v>17646</v>
      </c>
      <c r="E70" s="54">
        <v>18125</v>
      </c>
      <c r="F70" s="55">
        <v>50268.82</v>
      </c>
      <c r="G70" s="55">
        <v>1352.17</v>
      </c>
      <c r="H70" s="56">
        <f t="shared" si="0"/>
        <v>51620.99</v>
      </c>
      <c r="I70" s="53">
        <v>59</v>
      </c>
      <c r="J70" s="55">
        <f t="shared" si="1"/>
        <v>874.93</v>
      </c>
      <c r="K70" s="55">
        <f t="shared" si="2"/>
        <v>166.51932258064517</v>
      </c>
      <c r="L70" s="56">
        <f t="shared" si="3"/>
        <v>2.93</v>
      </c>
      <c r="M70" s="54">
        <v>63</v>
      </c>
    </row>
    <row r="71" spans="1:13" ht="15" customHeight="1" x14ac:dyDescent="0.55000000000000004">
      <c r="A71" s="52" t="s">
        <v>613</v>
      </c>
      <c r="B71" s="28" t="s">
        <v>77</v>
      </c>
      <c r="C71" s="53">
        <v>312</v>
      </c>
      <c r="D71" s="54">
        <v>50715</v>
      </c>
      <c r="E71" s="54">
        <v>11170</v>
      </c>
      <c r="F71" s="55">
        <v>160529.85999999999</v>
      </c>
      <c r="G71" s="55">
        <v>8689.7999999999993</v>
      </c>
      <c r="H71" s="56">
        <f t="shared" ref="H71:H134" si="4">F71+G71</f>
        <v>169219.65999999997</v>
      </c>
      <c r="I71" s="53">
        <v>159</v>
      </c>
      <c r="J71" s="55">
        <f t="shared" ref="J71:J134" si="5">ROUND((H71/I71),2)</f>
        <v>1064.27</v>
      </c>
      <c r="K71" s="55">
        <f t="shared" ref="K71:K134" si="6">H71/C71</f>
        <v>542.37070512820503</v>
      </c>
      <c r="L71" s="56">
        <f t="shared" ref="L71:L134" si="7">ROUND((H71/D71),2)</f>
        <v>3.34</v>
      </c>
      <c r="M71" s="54">
        <v>214</v>
      </c>
    </row>
    <row r="72" spans="1:13" ht="15" customHeight="1" x14ac:dyDescent="0.55000000000000004">
      <c r="A72" s="52" t="s">
        <v>612</v>
      </c>
      <c r="B72" s="28" t="s">
        <v>78</v>
      </c>
      <c r="C72" s="53">
        <v>2381.6999999999998</v>
      </c>
      <c r="D72" s="54">
        <v>197664</v>
      </c>
      <c r="E72" s="54">
        <v>90494</v>
      </c>
      <c r="F72" s="55">
        <v>875654.13</v>
      </c>
      <c r="G72" s="55">
        <v>4471.21</v>
      </c>
      <c r="H72" s="56">
        <f t="shared" si="4"/>
        <v>880125.34</v>
      </c>
      <c r="I72" s="53">
        <v>1660.3</v>
      </c>
      <c r="J72" s="55">
        <f t="shared" si="5"/>
        <v>530.1</v>
      </c>
      <c r="K72" s="55">
        <f t="shared" si="6"/>
        <v>369.53660830499223</v>
      </c>
      <c r="L72" s="56">
        <f t="shared" si="7"/>
        <v>4.45</v>
      </c>
      <c r="M72" s="54">
        <v>162</v>
      </c>
    </row>
    <row r="73" spans="1:13" ht="15" customHeight="1" x14ac:dyDescent="0.55000000000000004">
      <c r="A73" s="52" t="s">
        <v>611</v>
      </c>
      <c r="B73" s="28" t="s">
        <v>79</v>
      </c>
      <c r="C73" s="53">
        <v>1219.5999999999999</v>
      </c>
      <c r="D73" s="54">
        <v>74052</v>
      </c>
      <c r="E73" s="54">
        <v>34516</v>
      </c>
      <c r="F73" s="55">
        <v>312126.5</v>
      </c>
      <c r="G73" s="55">
        <v>5465.72</v>
      </c>
      <c r="H73" s="56">
        <f t="shared" si="4"/>
        <v>317592.21999999997</v>
      </c>
      <c r="I73" s="53">
        <v>611.9</v>
      </c>
      <c r="J73" s="55">
        <f t="shared" si="5"/>
        <v>519.03</v>
      </c>
      <c r="K73" s="55">
        <f t="shared" si="6"/>
        <v>260.4068711052804</v>
      </c>
      <c r="L73" s="56">
        <f t="shared" si="7"/>
        <v>4.29</v>
      </c>
      <c r="M73" s="54">
        <v>86</v>
      </c>
    </row>
    <row r="74" spans="1:13" ht="15" customHeight="1" x14ac:dyDescent="0.55000000000000004">
      <c r="A74" s="52" t="s">
        <v>610</v>
      </c>
      <c r="B74" s="28" t="s">
        <v>80</v>
      </c>
      <c r="C74" s="53">
        <v>3732.4</v>
      </c>
      <c r="D74" s="54">
        <v>167402</v>
      </c>
      <c r="E74" s="54">
        <v>104660</v>
      </c>
      <c r="F74" s="55">
        <v>830479.03</v>
      </c>
      <c r="G74" s="55">
        <v>60947.27</v>
      </c>
      <c r="H74" s="56">
        <f t="shared" si="4"/>
        <v>891426.3</v>
      </c>
      <c r="I74" s="53">
        <v>1214</v>
      </c>
      <c r="J74" s="55">
        <f t="shared" si="5"/>
        <v>734.29</v>
      </c>
      <c r="K74" s="55">
        <f t="shared" si="6"/>
        <v>238.83461043832386</v>
      </c>
      <c r="L74" s="56">
        <f t="shared" si="7"/>
        <v>5.33</v>
      </c>
      <c r="M74" s="54">
        <v>18</v>
      </c>
    </row>
    <row r="75" spans="1:13" ht="15" customHeight="1" x14ac:dyDescent="0.55000000000000004">
      <c r="A75" s="52" t="s">
        <v>609</v>
      </c>
      <c r="B75" s="28" t="s">
        <v>81</v>
      </c>
      <c r="C75" s="53">
        <v>759.8</v>
      </c>
      <c r="D75" s="54">
        <v>48736</v>
      </c>
      <c r="E75" s="54">
        <v>24557</v>
      </c>
      <c r="F75" s="55">
        <v>243266.29</v>
      </c>
      <c r="G75" s="55">
        <v>2345.1799999999998</v>
      </c>
      <c r="H75" s="56">
        <f t="shared" si="4"/>
        <v>245611.47</v>
      </c>
      <c r="I75" s="53">
        <v>397.1</v>
      </c>
      <c r="J75" s="55">
        <f t="shared" si="5"/>
        <v>618.51</v>
      </c>
      <c r="K75" s="55">
        <f t="shared" si="6"/>
        <v>323.25805475125037</v>
      </c>
      <c r="L75" s="56">
        <f t="shared" si="7"/>
        <v>5.04</v>
      </c>
      <c r="M75" s="54">
        <v>100</v>
      </c>
    </row>
    <row r="76" spans="1:13" ht="15" customHeight="1" x14ac:dyDescent="0.55000000000000004">
      <c r="A76" s="52" t="s">
        <v>608</v>
      </c>
      <c r="B76" s="28" t="s">
        <v>82</v>
      </c>
      <c r="C76" s="53">
        <v>5139.6000000000004</v>
      </c>
      <c r="D76" s="54">
        <v>533013</v>
      </c>
      <c r="E76" s="54">
        <v>145898</v>
      </c>
      <c r="F76" s="55">
        <v>2206093.8199999998</v>
      </c>
      <c r="G76" s="55">
        <v>42315.19</v>
      </c>
      <c r="H76" s="56">
        <f t="shared" si="4"/>
        <v>2248409.0099999998</v>
      </c>
      <c r="I76" s="53">
        <v>4730.8999999999996</v>
      </c>
      <c r="J76" s="55">
        <f t="shared" si="5"/>
        <v>475.26</v>
      </c>
      <c r="K76" s="55">
        <f t="shared" si="6"/>
        <v>437.46770371235107</v>
      </c>
      <c r="L76" s="56">
        <f t="shared" si="7"/>
        <v>4.22</v>
      </c>
      <c r="M76" s="54">
        <v>137</v>
      </c>
    </row>
    <row r="77" spans="1:13" ht="15" customHeight="1" x14ac:dyDescent="0.55000000000000004">
      <c r="A77" s="52" t="s">
        <v>607</v>
      </c>
      <c r="B77" s="28" t="s">
        <v>83</v>
      </c>
      <c r="C77" s="53">
        <v>459.2</v>
      </c>
      <c r="D77" s="54">
        <v>43817</v>
      </c>
      <c r="E77" s="54">
        <v>32317</v>
      </c>
      <c r="F77" s="55">
        <v>125964.19</v>
      </c>
      <c r="G77" s="55">
        <v>937.46</v>
      </c>
      <c r="H77" s="56">
        <f t="shared" si="4"/>
        <v>126901.65000000001</v>
      </c>
      <c r="I77" s="53">
        <v>213.6</v>
      </c>
      <c r="J77" s="55">
        <f t="shared" si="5"/>
        <v>594.11</v>
      </c>
      <c r="K77" s="55">
        <f t="shared" si="6"/>
        <v>276.35376742160281</v>
      </c>
      <c r="L77" s="56">
        <f t="shared" si="7"/>
        <v>2.9</v>
      </c>
      <c r="M77" s="54">
        <v>113</v>
      </c>
    </row>
    <row r="78" spans="1:13" ht="15" customHeight="1" x14ac:dyDescent="0.55000000000000004">
      <c r="A78" s="52" t="s">
        <v>606</v>
      </c>
      <c r="B78" s="28" t="s">
        <v>1301</v>
      </c>
      <c r="C78" s="53">
        <v>489.9</v>
      </c>
      <c r="D78" s="54">
        <v>68680</v>
      </c>
      <c r="E78" s="54">
        <v>15260</v>
      </c>
      <c r="F78" s="55">
        <v>197563.17</v>
      </c>
      <c r="G78" s="55">
        <v>1712.85</v>
      </c>
      <c r="H78" s="56">
        <f t="shared" si="4"/>
        <v>199276.02000000002</v>
      </c>
      <c r="I78" s="53">
        <v>207.9</v>
      </c>
      <c r="J78" s="55">
        <f t="shared" si="5"/>
        <v>958.52</v>
      </c>
      <c r="K78" s="55">
        <f t="shared" si="6"/>
        <v>406.76876913655855</v>
      </c>
      <c r="L78" s="56">
        <f t="shared" si="7"/>
        <v>2.9</v>
      </c>
      <c r="M78" s="54">
        <v>174</v>
      </c>
    </row>
    <row r="79" spans="1:13" ht="15" customHeight="1" x14ac:dyDescent="0.55000000000000004">
      <c r="A79" s="52" t="s">
        <v>604</v>
      </c>
      <c r="B79" s="28" t="s">
        <v>84</v>
      </c>
      <c r="C79" s="53">
        <v>752.9</v>
      </c>
      <c r="D79" s="54">
        <v>52009</v>
      </c>
      <c r="E79" s="54">
        <v>10090</v>
      </c>
      <c r="F79" s="55">
        <v>283564.44</v>
      </c>
      <c r="G79" s="55"/>
      <c r="H79" s="56">
        <f t="shared" si="4"/>
        <v>283564.44</v>
      </c>
      <c r="I79" s="53">
        <v>619.9</v>
      </c>
      <c r="J79" s="55">
        <f t="shared" si="5"/>
        <v>457.44</v>
      </c>
      <c r="K79" s="55">
        <f t="shared" si="6"/>
        <v>376.62961880727852</v>
      </c>
      <c r="L79" s="56">
        <f t="shared" si="7"/>
        <v>5.45</v>
      </c>
      <c r="M79" s="54">
        <v>142</v>
      </c>
    </row>
    <row r="80" spans="1:13" ht="15" customHeight="1" x14ac:dyDescent="0.55000000000000004">
      <c r="A80" s="52" t="s">
        <v>603</v>
      </c>
      <c r="B80" s="28" t="s">
        <v>85</v>
      </c>
      <c r="C80" s="53">
        <v>423</v>
      </c>
      <c r="D80" s="54">
        <v>53076</v>
      </c>
      <c r="E80" s="54">
        <v>10024</v>
      </c>
      <c r="F80" s="55">
        <v>214050.21</v>
      </c>
      <c r="G80" s="55"/>
      <c r="H80" s="56">
        <f t="shared" si="4"/>
        <v>214050.21</v>
      </c>
      <c r="I80" s="53">
        <v>228</v>
      </c>
      <c r="J80" s="55">
        <f t="shared" si="5"/>
        <v>938.82</v>
      </c>
      <c r="K80" s="55">
        <f t="shared" si="6"/>
        <v>506.02886524822691</v>
      </c>
      <c r="L80" s="56">
        <f t="shared" si="7"/>
        <v>4.03</v>
      </c>
      <c r="M80" s="54">
        <v>183</v>
      </c>
    </row>
    <row r="81" spans="1:13" ht="15" customHeight="1" x14ac:dyDescent="0.55000000000000004">
      <c r="A81" s="52" t="s">
        <v>602</v>
      </c>
      <c r="B81" s="28" t="s">
        <v>86</v>
      </c>
      <c r="C81" s="53">
        <v>413.8</v>
      </c>
      <c r="D81" s="54">
        <v>135377</v>
      </c>
      <c r="E81" s="54">
        <v>10337</v>
      </c>
      <c r="F81" s="55">
        <v>387139.56</v>
      </c>
      <c r="G81" s="55"/>
      <c r="H81" s="56">
        <f t="shared" si="4"/>
        <v>387139.56</v>
      </c>
      <c r="I81" s="53">
        <v>135</v>
      </c>
      <c r="J81" s="55">
        <f t="shared" si="5"/>
        <v>2867.7</v>
      </c>
      <c r="K81" s="55">
        <f t="shared" si="6"/>
        <v>935.57167713871434</v>
      </c>
      <c r="L81" s="56">
        <f t="shared" si="7"/>
        <v>2.86</v>
      </c>
      <c r="M81" s="54">
        <v>260</v>
      </c>
    </row>
    <row r="82" spans="1:13" ht="15" customHeight="1" x14ac:dyDescent="0.55000000000000004">
      <c r="A82" s="52" t="s">
        <v>601</v>
      </c>
      <c r="B82" s="28" t="s">
        <v>87</v>
      </c>
      <c r="C82" s="53">
        <v>9053.1</v>
      </c>
      <c r="D82" s="54">
        <v>579657</v>
      </c>
      <c r="E82" s="54">
        <v>476915</v>
      </c>
      <c r="F82" s="55">
        <v>3053533.77</v>
      </c>
      <c r="G82" s="55">
        <v>78492.3</v>
      </c>
      <c r="H82" s="56">
        <f t="shared" si="4"/>
        <v>3132026.07</v>
      </c>
      <c r="I82" s="53">
        <v>2442.9</v>
      </c>
      <c r="J82" s="55">
        <f t="shared" si="5"/>
        <v>1282.0899999999999</v>
      </c>
      <c r="K82" s="55">
        <f t="shared" si="6"/>
        <v>345.96172250389367</v>
      </c>
      <c r="L82" s="56">
        <f t="shared" si="7"/>
        <v>5.4</v>
      </c>
      <c r="M82" s="54">
        <v>74</v>
      </c>
    </row>
    <row r="83" spans="1:13" ht="15" customHeight="1" x14ac:dyDescent="0.55000000000000004">
      <c r="A83" s="52" t="s">
        <v>600</v>
      </c>
      <c r="B83" s="28" t="s">
        <v>88</v>
      </c>
      <c r="C83" s="53">
        <v>1446.6</v>
      </c>
      <c r="D83" s="54">
        <v>94612</v>
      </c>
      <c r="E83" s="54">
        <v>49336</v>
      </c>
      <c r="F83" s="55">
        <v>323212.77</v>
      </c>
      <c r="G83" s="55">
        <v>33185.57</v>
      </c>
      <c r="H83" s="56">
        <f t="shared" si="4"/>
        <v>356398.34</v>
      </c>
      <c r="I83" s="53">
        <v>843.9</v>
      </c>
      <c r="J83" s="55">
        <f t="shared" si="5"/>
        <v>422.32</v>
      </c>
      <c r="K83" s="55">
        <f t="shared" si="6"/>
        <v>246.3696529794</v>
      </c>
      <c r="L83" s="56">
        <f t="shared" si="7"/>
        <v>3.77</v>
      </c>
      <c r="M83" s="54">
        <v>285</v>
      </c>
    </row>
    <row r="84" spans="1:13" ht="15" customHeight="1" x14ac:dyDescent="0.55000000000000004">
      <c r="A84" s="52" t="s">
        <v>599</v>
      </c>
      <c r="B84" s="28" t="s">
        <v>89</v>
      </c>
      <c r="C84" s="53">
        <v>2933.1</v>
      </c>
      <c r="D84" s="54">
        <v>191269</v>
      </c>
      <c r="E84" s="54">
        <v>98539</v>
      </c>
      <c r="F84" s="55">
        <v>834102.7</v>
      </c>
      <c r="G84" s="55">
        <v>21723.73</v>
      </c>
      <c r="H84" s="56">
        <f t="shared" si="4"/>
        <v>855826.42999999993</v>
      </c>
      <c r="I84" s="53">
        <v>1545.3</v>
      </c>
      <c r="J84" s="55">
        <f t="shared" si="5"/>
        <v>553.83000000000004</v>
      </c>
      <c r="K84" s="55">
        <f t="shared" si="6"/>
        <v>291.78222017660494</v>
      </c>
      <c r="L84" s="56">
        <f t="shared" si="7"/>
        <v>4.47</v>
      </c>
      <c r="M84" s="54">
        <v>83</v>
      </c>
    </row>
    <row r="85" spans="1:13" ht="15" customHeight="1" x14ac:dyDescent="0.55000000000000004">
      <c r="A85" s="52" t="s">
        <v>598</v>
      </c>
      <c r="B85" s="28" t="s">
        <v>1302</v>
      </c>
      <c r="C85" s="53">
        <v>508.4</v>
      </c>
      <c r="D85" s="54">
        <v>59841</v>
      </c>
      <c r="E85" s="54">
        <v>16229</v>
      </c>
      <c r="F85" s="55">
        <v>249239.86</v>
      </c>
      <c r="G85" s="55"/>
      <c r="H85" s="56">
        <f t="shared" si="4"/>
        <v>249239.86</v>
      </c>
      <c r="I85" s="53">
        <v>456</v>
      </c>
      <c r="J85" s="55">
        <f t="shared" si="5"/>
        <v>546.58000000000004</v>
      </c>
      <c r="K85" s="55">
        <f t="shared" si="6"/>
        <v>490.24362706530292</v>
      </c>
      <c r="L85" s="56">
        <f t="shared" si="7"/>
        <v>4.17</v>
      </c>
      <c r="M85" s="54">
        <v>71</v>
      </c>
    </row>
    <row r="86" spans="1:13" ht="15" customHeight="1" x14ac:dyDescent="0.55000000000000004">
      <c r="A86" s="52" t="s">
        <v>597</v>
      </c>
      <c r="B86" s="28" t="s">
        <v>91</v>
      </c>
      <c r="C86" s="53">
        <v>15051.2</v>
      </c>
      <c r="D86" s="54">
        <v>893894</v>
      </c>
      <c r="E86" s="54">
        <v>262751</v>
      </c>
      <c r="F86" s="55">
        <v>4867401.03</v>
      </c>
      <c r="G86" s="55">
        <v>337185.08</v>
      </c>
      <c r="H86" s="56">
        <f t="shared" si="4"/>
        <v>5204586.1100000003</v>
      </c>
      <c r="I86" s="53">
        <v>7750.9</v>
      </c>
      <c r="J86" s="55">
        <f t="shared" si="5"/>
        <v>671.48</v>
      </c>
      <c r="K86" s="55">
        <f t="shared" si="6"/>
        <v>345.79210361964493</v>
      </c>
      <c r="L86" s="56">
        <f t="shared" si="7"/>
        <v>5.82</v>
      </c>
      <c r="M86" s="54">
        <v>109</v>
      </c>
    </row>
    <row r="87" spans="1:13" ht="15" customHeight="1" x14ac:dyDescent="0.55000000000000004">
      <c r="A87" s="52" t="s">
        <v>596</v>
      </c>
      <c r="B87" s="28" t="s">
        <v>92</v>
      </c>
      <c r="C87" s="53">
        <v>1153.8</v>
      </c>
      <c r="D87" s="54">
        <v>243567</v>
      </c>
      <c r="E87" s="54">
        <v>42869</v>
      </c>
      <c r="F87" s="55">
        <v>895771.53</v>
      </c>
      <c r="G87" s="55">
        <v>2542.2600000000002</v>
      </c>
      <c r="H87" s="56">
        <f t="shared" si="4"/>
        <v>898313.79</v>
      </c>
      <c r="I87" s="53">
        <v>903.9</v>
      </c>
      <c r="J87" s="55">
        <f t="shared" si="5"/>
        <v>993.82</v>
      </c>
      <c r="K87" s="55">
        <f t="shared" si="6"/>
        <v>778.5697607904317</v>
      </c>
      <c r="L87" s="56">
        <f t="shared" si="7"/>
        <v>3.69</v>
      </c>
      <c r="M87" s="54">
        <v>468</v>
      </c>
    </row>
    <row r="88" spans="1:13" ht="15" customHeight="1" x14ac:dyDescent="0.55000000000000004">
      <c r="A88" s="52" t="s">
        <v>595</v>
      </c>
      <c r="B88" s="28" t="s">
        <v>93</v>
      </c>
      <c r="C88" s="53">
        <v>1360.3</v>
      </c>
      <c r="D88" s="54">
        <v>166924</v>
      </c>
      <c r="E88" s="54">
        <v>67156</v>
      </c>
      <c r="F88" s="55">
        <v>679809.84</v>
      </c>
      <c r="G88" s="55"/>
      <c r="H88" s="56">
        <f t="shared" si="4"/>
        <v>679809.84</v>
      </c>
      <c r="I88" s="53">
        <v>1219.9000000000001</v>
      </c>
      <c r="J88" s="55">
        <f t="shared" si="5"/>
        <v>557.27</v>
      </c>
      <c r="K88" s="55">
        <f t="shared" si="6"/>
        <v>499.74993751378372</v>
      </c>
      <c r="L88" s="56">
        <f t="shared" si="7"/>
        <v>4.07</v>
      </c>
      <c r="M88" s="54">
        <v>165</v>
      </c>
    </row>
    <row r="89" spans="1:13" ht="15" customHeight="1" x14ac:dyDescent="0.55000000000000004">
      <c r="A89" s="52" t="s">
        <v>594</v>
      </c>
      <c r="B89" s="28" t="s">
        <v>94</v>
      </c>
      <c r="C89" s="53">
        <v>205.5</v>
      </c>
      <c r="D89" s="54">
        <v>36002</v>
      </c>
      <c r="E89" s="54">
        <v>494</v>
      </c>
      <c r="F89" s="55">
        <v>190084.05</v>
      </c>
      <c r="G89" s="55"/>
      <c r="H89" s="56">
        <f t="shared" si="4"/>
        <v>190084.05</v>
      </c>
      <c r="I89" s="53">
        <v>87.7</v>
      </c>
      <c r="J89" s="55">
        <f t="shared" si="5"/>
        <v>2167.44</v>
      </c>
      <c r="K89" s="55">
        <f t="shared" si="6"/>
        <v>924.98321167883205</v>
      </c>
      <c r="L89" s="56">
        <f t="shared" si="7"/>
        <v>5.28</v>
      </c>
      <c r="M89" s="54">
        <v>65</v>
      </c>
    </row>
    <row r="90" spans="1:13" ht="15" customHeight="1" x14ac:dyDescent="0.55000000000000004">
      <c r="A90" s="52" t="s">
        <v>593</v>
      </c>
      <c r="B90" s="28" t="s">
        <v>95</v>
      </c>
      <c r="C90" s="53">
        <v>2169.8999999999996</v>
      </c>
      <c r="D90" s="54">
        <v>137814</v>
      </c>
      <c r="E90" s="54">
        <v>41237</v>
      </c>
      <c r="F90" s="55">
        <v>856463.09</v>
      </c>
      <c r="G90" s="55">
        <v>843.82</v>
      </c>
      <c r="H90" s="56">
        <f t="shared" si="4"/>
        <v>857306.90999999992</v>
      </c>
      <c r="I90" s="53">
        <v>1907.1</v>
      </c>
      <c r="J90" s="55">
        <f t="shared" si="5"/>
        <v>449.53</v>
      </c>
      <c r="K90" s="55">
        <f t="shared" si="6"/>
        <v>395.09051569196743</v>
      </c>
      <c r="L90" s="56">
        <f t="shared" si="7"/>
        <v>6.22</v>
      </c>
      <c r="M90" s="54">
        <v>172</v>
      </c>
    </row>
    <row r="91" spans="1:13" ht="15" customHeight="1" x14ac:dyDescent="0.55000000000000004">
      <c r="A91" s="52" t="s">
        <v>592</v>
      </c>
      <c r="B91" s="28" t="s">
        <v>96</v>
      </c>
      <c r="C91" s="53">
        <v>778.5</v>
      </c>
      <c r="D91" s="54">
        <v>43762</v>
      </c>
      <c r="E91" s="54">
        <v>13477</v>
      </c>
      <c r="F91" s="55">
        <v>112045.98</v>
      </c>
      <c r="G91" s="55">
        <v>1037.1400000000001</v>
      </c>
      <c r="H91" s="56">
        <f t="shared" si="4"/>
        <v>113083.12</v>
      </c>
      <c r="I91" s="53">
        <v>315</v>
      </c>
      <c r="J91" s="55">
        <f t="shared" si="5"/>
        <v>358.99</v>
      </c>
      <c r="K91" s="55">
        <f t="shared" si="6"/>
        <v>145.25770070648682</v>
      </c>
      <c r="L91" s="56">
        <f t="shared" si="7"/>
        <v>2.58</v>
      </c>
      <c r="M91" s="54">
        <v>57</v>
      </c>
    </row>
    <row r="92" spans="1:13" ht="15" customHeight="1" x14ac:dyDescent="0.55000000000000004">
      <c r="A92" s="52" t="s">
        <v>591</v>
      </c>
      <c r="B92" s="28" t="s">
        <v>97</v>
      </c>
      <c r="C92" s="53">
        <v>32784.9</v>
      </c>
      <c r="D92" s="54">
        <v>1036755</v>
      </c>
      <c r="E92" s="54">
        <v>622514</v>
      </c>
      <c r="F92" s="55">
        <v>7655211.8700000001</v>
      </c>
      <c r="G92" s="55">
        <v>420560.76</v>
      </c>
      <c r="H92" s="56">
        <f t="shared" si="4"/>
        <v>8075772.6299999999</v>
      </c>
      <c r="I92" s="53">
        <v>8632.6</v>
      </c>
      <c r="J92" s="55">
        <f t="shared" si="5"/>
        <v>935.5</v>
      </c>
      <c r="K92" s="55">
        <f t="shared" si="6"/>
        <v>246.32598025310432</v>
      </c>
      <c r="L92" s="56">
        <f t="shared" si="7"/>
        <v>7.79</v>
      </c>
      <c r="M92" s="54">
        <v>84</v>
      </c>
    </row>
    <row r="93" spans="1:13" ht="15" customHeight="1" x14ac:dyDescent="0.55000000000000004">
      <c r="A93" s="52" t="s">
        <v>590</v>
      </c>
      <c r="B93" s="28" t="s">
        <v>98</v>
      </c>
      <c r="C93" s="53">
        <v>103</v>
      </c>
      <c r="D93" s="54">
        <v>41132</v>
      </c>
      <c r="E93" s="54">
        <v>2763</v>
      </c>
      <c r="F93" s="55">
        <v>64981.57</v>
      </c>
      <c r="G93" s="55"/>
      <c r="H93" s="56">
        <f t="shared" si="4"/>
        <v>64981.57</v>
      </c>
      <c r="I93" s="53">
        <v>40</v>
      </c>
      <c r="J93" s="55">
        <f t="shared" si="5"/>
        <v>1624.54</v>
      </c>
      <c r="K93" s="55">
        <f t="shared" si="6"/>
        <v>630.88902912621359</v>
      </c>
      <c r="L93" s="56">
        <f t="shared" si="7"/>
        <v>1.58</v>
      </c>
      <c r="M93" s="54">
        <v>100</v>
      </c>
    </row>
    <row r="94" spans="1:13" ht="15" customHeight="1" x14ac:dyDescent="0.55000000000000004">
      <c r="A94" s="52" t="s">
        <v>589</v>
      </c>
      <c r="B94" s="28" t="s">
        <v>99</v>
      </c>
      <c r="C94" s="53">
        <v>867.7</v>
      </c>
      <c r="D94" s="54">
        <v>80335</v>
      </c>
      <c r="E94" s="54">
        <v>31236</v>
      </c>
      <c r="F94" s="55">
        <v>260224.64000000001</v>
      </c>
      <c r="G94" s="55">
        <v>3615.93</v>
      </c>
      <c r="H94" s="56">
        <f t="shared" si="4"/>
        <v>263840.57</v>
      </c>
      <c r="I94" s="53">
        <v>444.5</v>
      </c>
      <c r="J94" s="55">
        <f t="shared" si="5"/>
        <v>593.57000000000005</v>
      </c>
      <c r="K94" s="55">
        <f t="shared" si="6"/>
        <v>304.06888325458107</v>
      </c>
      <c r="L94" s="56">
        <f t="shared" si="7"/>
        <v>3.28</v>
      </c>
      <c r="M94" s="54">
        <v>151</v>
      </c>
    </row>
    <row r="95" spans="1:13" ht="15" customHeight="1" x14ac:dyDescent="0.55000000000000004">
      <c r="A95" s="52" t="s">
        <v>588</v>
      </c>
      <c r="B95" s="28" t="s">
        <v>100</v>
      </c>
      <c r="C95" s="53">
        <v>10427.699999999999</v>
      </c>
      <c r="D95" s="54">
        <v>619911</v>
      </c>
      <c r="E95" s="54">
        <v>311598</v>
      </c>
      <c r="F95" s="55">
        <v>2978778.76</v>
      </c>
      <c r="G95" s="55">
        <v>85523.72</v>
      </c>
      <c r="H95" s="56">
        <f t="shared" si="4"/>
        <v>3064302.48</v>
      </c>
      <c r="I95" s="53">
        <v>3144.5</v>
      </c>
      <c r="J95" s="55">
        <f t="shared" si="5"/>
        <v>974.5</v>
      </c>
      <c r="K95" s="55">
        <f t="shared" si="6"/>
        <v>293.86177968295982</v>
      </c>
      <c r="L95" s="56">
        <f t="shared" si="7"/>
        <v>4.9400000000000004</v>
      </c>
      <c r="M95" s="54">
        <v>240</v>
      </c>
    </row>
    <row r="96" spans="1:13" ht="15" customHeight="1" x14ac:dyDescent="0.55000000000000004">
      <c r="A96" s="52" t="s">
        <v>587</v>
      </c>
      <c r="B96" s="28" t="s">
        <v>101</v>
      </c>
      <c r="C96" s="53">
        <v>407</v>
      </c>
      <c r="D96" s="54">
        <v>31420</v>
      </c>
      <c r="E96" s="54">
        <v>8589</v>
      </c>
      <c r="F96" s="55">
        <v>122691.11</v>
      </c>
      <c r="G96" s="55">
        <v>4939.9399999999996</v>
      </c>
      <c r="H96" s="56">
        <f t="shared" si="4"/>
        <v>127631.05</v>
      </c>
      <c r="I96" s="53">
        <v>202</v>
      </c>
      <c r="J96" s="55">
        <f t="shared" si="5"/>
        <v>631.84</v>
      </c>
      <c r="K96" s="55">
        <f t="shared" si="6"/>
        <v>313.58980343980346</v>
      </c>
      <c r="L96" s="56">
        <f t="shared" si="7"/>
        <v>4.0599999999999996</v>
      </c>
      <c r="M96" s="54">
        <v>82</v>
      </c>
    </row>
    <row r="97" spans="1:13" ht="15" customHeight="1" x14ac:dyDescent="0.55000000000000004">
      <c r="A97" s="52" t="s">
        <v>586</v>
      </c>
      <c r="B97" s="28" t="s">
        <v>102</v>
      </c>
      <c r="C97" s="53">
        <v>393.7</v>
      </c>
      <c r="D97" s="54">
        <v>73059</v>
      </c>
      <c r="E97" s="54">
        <v>16994</v>
      </c>
      <c r="F97" s="55">
        <v>222033.81</v>
      </c>
      <c r="G97" s="55">
        <v>3633.43</v>
      </c>
      <c r="H97" s="56">
        <f t="shared" si="4"/>
        <v>225667.24</v>
      </c>
      <c r="I97" s="53">
        <v>163</v>
      </c>
      <c r="J97" s="55">
        <f t="shared" si="5"/>
        <v>1384.46</v>
      </c>
      <c r="K97" s="55">
        <f t="shared" si="6"/>
        <v>573.19593599187192</v>
      </c>
      <c r="L97" s="56">
        <f t="shared" si="7"/>
        <v>3.09</v>
      </c>
      <c r="M97" s="54">
        <v>180</v>
      </c>
    </row>
    <row r="98" spans="1:13" ht="15" customHeight="1" x14ac:dyDescent="0.55000000000000004">
      <c r="A98" s="52" t="s">
        <v>585</v>
      </c>
      <c r="B98" s="28" t="s">
        <v>103</v>
      </c>
      <c r="C98" s="53">
        <v>555.29999999999995</v>
      </c>
      <c r="D98" s="54">
        <v>46314</v>
      </c>
      <c r="E98" s="54">
        <v>25399</v>
      </c>
      <c r="F98" s="55">
        <v>209888.65</v>
      </c>
      <c r="G98" s="55">
        <v>468.73</v>
      </c>
      <c r="H98" s="56">
        <f t="shared" si="4"/>
        <v>210357.38</v>
      </c>
      <c r="I98" s="53">
        <v>168.2</v>
      </c>
      <c r="J98" s="55">
        <f t="shared" si="5"/>
        <v>1250.6400000000001</v>
      </c>
      <c r="K98" s="55">
        <f t="shared" si="6"/>
        <v>378.81754006843153</v>
      </c>
      <c r="L98" s="56">
        <f t="shared" si="7"/>
        <v>4.54</v>
      </c>
      <c r="M98" s="54">
        <v>90</v>
      </c>
    </row>
    <row r="99" spans="1:13" ht="15" customHeight="1" x14ac:dyDescent="0.55000000000000004">
      <c r="A99" s="52" t="s">
        <v>584</v>
      </c>
      <c r="B99" s="28" t="s">
        <v>104</v>
      </c>
      <c r="C99" s="53">
        <v>894.7</v>
      </c>
      <c r="D99" s="54">
        <v>64440</v>
      </c>
      <c r="E99" s="54">
        <v>29619</v>
      </c>
      <c r="F99" s="55">
        <v>296849.37</v>
      </c>
      <c r="G99" s="55">
        <v>937.46</v>
      </c>
      <c r="H99" s="56">
        <f t="shared" si="4"/>
        <v>297786.83</v>
      </c>
      <c r="I99" s="53">
        <v>440.9</v>
      </c>
      <c r="J99" s="55">
        <f t="shared" si="5"/>
        <v>675.41</v>
      </c>
      <c r="K99" s="55">
        <f t="shared" si="6"/>
        <v>332.83427964680897</v>
      </c>
      <c r="L99" s="56">
        <f t="shared" si="7"/>
        <v>4.62</v>
      </c>
      <c r="M99" s="54">
        <v>162</v>
      </c>
    </row>
    <row r="100" spans="1:13" ht="15" customHeight="1" x14ac:dyDescent="0.55000000000000004">
      <c r="A100" s="52" t="s">
        <v>583</v>
      </c>
      <c r="B100" s="28" t="s">
        <v>105</v>
      </c>
      <c r="C100" s="53">
        <v>575.4</v>
      </c>
      <c r="D100" s="54">
        <v>36110</v>
      </c>
      <c r="E100" s="54">
        <v>10123</v>
      </c>
      <c r="F100" s="55">
        <v>138019.71</v>
      </c>
      <c r="G100" s="55">
        <v>235.13</v>
      </c>
      <c r="H100" s="56">
        <f t="shared" si="4"/>
        <v>138254.84</v>
      </c>
      <c r="I100" s="53">
        <v>121</v>
      </c>
      <c r="J100" s="55">
        <f t="shared" si="5"/>
        <v>1142.5999999999999</v>
      </c>
      <c r="K100" s="55">
        <f t="shared" si="6"/>
        <v>240.2760514424748</v>
      </c>
      <c r="L100" s="56">
        <f t="shared" si="7"/>
        <v>3.83</v>
      </c>
      <c r="M100" s="54">
        <v>108</v>
      </c>
    </row>
    <row r="101" spans="1:13" ht="15" customHeight="1" x14ac:dyDescent="0.55000000000000004">
      <c r="A101" s="52" t="s">
        <v>582</v>
      </c>
      <c r="B101" s="28" t="s">
        <v>106</v>
      </c>
      <c r="C101" s="53">
        <v>558.29999999999995</v>
      </c>
      <c r="D101" s="54">
        <v>66423</v>
      </c>
      <c r="E101" s="54">
        <v>15496</v>
      </c>
      <c r="F101" s="55">
        <v>261537.35</v>
      </c>
      <c r="G101" s="55"/>
      <c r="H101" s="56">
        <f t="shared" si="4"/>
        <v>261537.35</v>
      </c>
      <c r="I101" s="53">
        <v>316.60000000000002</v>
      </c>
      <c r="J101" s="55">
        <f t="shared" si="5"/>
        <v>826.08</v>
      </c>
      <c r="K101" s="55">
        <f t="shared" si="6"/>
        <v>468.45307182518366</v>
      </c>
      <c r="L101" s="56">
        <f t="shared" si="7"/>
        <v>3.94</v>
      </c>
      <c r="M101" s="54">
        <v>137</v>
      </c>
    </row>
    <row r="102" spans="1:13" ht="15" customHeight="1" x14ac:dyDescent="0.55000000000000004">
      <c r="A102" s="52" t="s">
        <v>581</v>
      </c>
      <c r="B102" s="28" t="s">
        <v>336</v>
      </c>
      <c r="C102" s="53">
        <v>592.9</v>
      </c>
      <c r="D102" s="54">
        <v>181125</v>
      </c>
      <c r="E102" s="54">
        <v>24521</v>
      </c>
      <c r="F102" s="55">
        <v>346117.16</v>
      </c>
      <c r="G102" s="55">
        <v>468.73</v>
      </c>
      <c r="H102" s="56">
        <f t="shared" si="4"/>
        <v>346585.88999999996</v>
      </c>
      <c r="I102" s="53">
        <v>290</v>
      </c>
      <c r="J102" s="55">
        <f t="shared" si="5"/>
        <v>1195.1199999999999</v>
      </c>
      <c r="K102" s="55">
        <f t="shared" si="6"/>
        <v>584.56044864226681</v>
      </c>
      <c r="L102" s="56">
        <f t="shared" si="7"/>
        <v>1.91</v>
      </c>
      <c r="M102" s="54">
        <v>183</v>
      </c>
    </row>
    <row r="103" spans="1:13" ht="15" customHeight="1" x14ac:dyDescent="0.55000000000000004">
      <c r="A103" s="52" t="s">
        <v>580</v>
      </c>
      <c r="B103" s="28" t="s">
        <v>107</v>
      </c>
      <c r="C103" s="53">
        <v>557.5</v>
      </c>
      <c r="D103" s="54">
        <v>106731</v>
      </c>
      <c r="E103" s="54">
        <v>33193</v>
      </c>
      <c r="F103" s="55">
        <v>417086.57</v>
      </c>
      <c r="G103" s="55">
        <v>1820.9</v>
      </c>
      <c r="H103" s="56">
        <f t="shared" si="4"/>
        <v>418907.47000000003</v>
      </c>
      <c r="I103" s="53">
        <v>653</v>
      </c>
      <c r="J103" s="55">
        <f t="shared" si="5"/>
        <v>641.51</v>
      </c>
      <c r="K103" s="55">
        <f t="shared" si="6"/>
        <v>751.40353363228701</v>
      </c>
      <c r="L103" s="56">
        <f t="shared" si="7"/>
        <v>3.92</v>
      </c>
      <c r="M103" s="54">
        <v>167</v>
      </c>
    </row>
    <row r="104" spans="1:13" ht="15" customHeight="1" x14ac:dyDescent="0.55000000000000004">
      <c r="A104" s="52" t="s">
        <v>579</v>
      </c>
      <c r="B104" s="28" t="s">
        <v>108</v>
      </c>
      <c r="C104" s="53">
        <v>491.5</v>
      </c>
      <c r="D104" s="54">
        <v>87425</v>
      </c>
      <c r="E104" s="54">
        <v>13997</v>
      </c>
      <c r="F104" s="55">
        <v>322048.90999999997</v>
      </c>
      <c r="G104" s="55">
        <v>1298.1400000000001</v>
      </c>
      <c r="H104" s="56">
        <f t="shared" si="4"/>
        <v>323347.05</v>
      </c>
      <c r="I104" s="53">
        <v>351</v>
      </c>
      <c r="J104" s="55">
        <f t="shared" si="5"/>
        <v>921.22</v>
      </c>
      <c r="K104" s="55">
        <f t="shared" si="6"/>
        <v>657.87802644964393</v>
      </c>
      <c r="L104" s="56">
        <f t="shared" si="7"/>
        <v>3.7</v>
      </c>
      <c r="M104" s="54">
        <v>269</v>
      </c>
    </row>
    <row r="105" spans="1:13" ht="15" customHeight="1" x14ac:dyDescent="0.55000000000000004">
      <c r="A105" s="52" t="s">
        <v>578</v>
      </c>
      <c r="B105" s="28" t="s">
        <v>109</v>
      </c>
      <c r="C105" s="53">
        <v>327.10000000000002</v>
      </c>
      <c r="D105" s="54">
        <v>84797</v>
      </c>
      <c r="E105" s="54">
        <v>18406</v>
      </c>
      <c r="F105" s="55">
        <v>240366.78</v>
      </c>
      <c r="G105" s="55"/>
      <c r="H105" s="56">
        <f t="shared" si="4"/>
        <v>240366.78</v>
      </c>
      <c r="I105" s="53">
        <v>230</v>
      </c>
      <c r="J105" s="55">
        <f t="shared" si="5"/>
        <v>1045.07</v>
      </c>
      <c r="K105" s="55">
        <f t="shared" si="6"/>
        <v>734.84188321614181</v>
      </c>
      <c r="L105" s="56">
        <f t="shared" si="7"/>
        <v>2.83</v>
      </c>
      <c r="M105" s="54">
        <v>150</v>
      </c>
    </row>
    <row r="106" spans="1:13" ht="15" customHeight="1" x14ac:dyDescent="0.55000000000000004">
      <c r="A106" s="52" t="s">
        <v>577</v>
      </c>
      <c r="B106" s="28" t="s">
        <v>110</v>
      </c>
      <c r="C106" s="53">
        <v>407.3</v>
      </c>
      <c r="D106" s="54">
        <v>101244</v>
      </c>
      <c r="E106" s="54">
        <v>12759</v>
      </c>
      <c r="F106" s="55">
        <v>251272.88</v>
      </c>
      <c r="G106" s="55"/>
      <c r="H106" s="56">
        <f t="shared" si="4"/>
        <v>251272.88</v>
      </c>
      <c r="I106" s="53">
        <v>251</v>
      </c>
      <c r="J106" s="55">
        <f t="shared" si="5"/>
        <v>1001.09</v>
      </c>
      <c r="K106" s="55">
        <f t="shared" si="6"/>
        <v>616.92334888288735</v>
      </c>
      <c r="L106" s="56">
        <f t="shared" si="7"/>
        <v>2.48</v>
      </c>
      <c r="M106" s="54">
        <v>217</v>
      </c>
    </row>
    <row r="107" spans="1:13" ht="15" customHeight="1" x14ac:dyDescent="0.55000000000000004">
      <c r="A107" s="52" t="s">
        <v>576</v>
      </c>
      <c r="B107" s="28" t="s">
        <v>111</v>
      </c>
      <c r="C107" s="53">
        <v>419</v>
      </c>
      <c r="D107" s="54">
        <v>104357</v>
      </c>
      <c r="E107" s="54">
        <v>19319</v>
      </c>
      <c r="F107" s="55">
        <v>292650.36</v>
      </c>
      <c r="G107" s="55">
        <v>4364.68</v>
      </c>
      <c r="H107" s="56">
        <f t="shared" si="4"/>
        <v>297015.03999999998</v>
      </c>
      <c r="I107" s="53">
        <v>419</v>
      </c>
      <c r="J107" s="55">
        <f t="shared" si="5"/>
        <v>708.87</v>
      </c>
      <c r="K107" s="55">
        <f t="shared" si="6"/>
        <v>708.86644391408106</v>
      </c>
      <c r="L107" s="56">
        <f t="shared" si="7"/>
        <v>2.85</v>
      </c>
      <c r="M107" s="54">
        <v>155</v>
      </c>
    </row>
    <row r="108" spans="1:13" ht="15" customHeight="1" x14ac:dyDescent="0.55000000000000004">
      <c r="A108" s="52" t="s">
        <v>575</v>
      </c>
      <c r="B108" s="28" t="s">
        <v>112</v>
      </c>
      <c r="C108" s="53">
        <v>631.1</v>
      </c>
      <c r="D108" s="54">
        <v>60217</v>
      </c>
      <c r="E108" s="54">
        <v>54656</v>
      </c>
      <c r="F108" s="55">
        <v>251908.53</v>
      </c>
      <c r="G108" s="55">
        <v>468.73</v>
      </c>
      <c r="H108" s="56">
        <f t="shared" si="4"/>
        <v>252377.26</v>
      </c>
      <c r="I108" s="53">
        <v>250.9</v>
      </c>
      <c r="J108" s="55">
        <f t="shared" si="5"/>
        <v>1005.89</v>
      </c>
      <c r="K108" s="55">
        <f t="shared" si="6"/>
        <v>399.9005862779274</v>
      </c>
      <c r="L108" s="56">
        <f t="shared" si="7"/>
        <v>4.1900000000000004</v>
      </c>
      <c r="M108" s="54">
        <v>137</v>
      </c>
    </row>
    <row r="109" spans="1:13" ht="15" customHeight="1" x14ac:dyDescent="0.55000000000000004">
      <c r="A109" s="52" t="s">
        <v>574</v>
      </c>
      <c r="B109" s="28" t="s">
        <v>113</v>
      </c>
      <c r="C109" s="53">
        <v>700.19999999999993</v>
      </c>
      <c r="D109" s="54">
        <v>73440</v>
      </c>
      <c r="E109" s="54">
        <v>22345</v>
      </c>
      <c r="F109" s="55">
        <v>255412.85</v>
      </c>
      <c r="G109" s="55">
        <v>17397.93</v>
      </c>
      <c r="H109" s="56">
        <f t="shared" si="4"/>
        <v>272810.78000000003</v>
      </c>
      <c r="I109" s="53">
        <v>176</v>
      </c>
      <c r="J109" s="55">
        <f t="shared" si="5"/>
        <v>1550.06</v>
      </c>
      <c r="K109" s="55">
        <f t="shared" si="6"/>
        <v>389.61836618109118</v>
      </c>
      <c r="L109" s="56">
        <f t="shared" si="7"/>
        <v>3.71</v>
      </c>
      <c r="M109" s="54">
        <v>279</v>
      </c>
    </row>
    <row r="110" spans="1:13" ht="15" customHeight="1" x14ac:dyDescent="0.55000000000000004">
      <c r="A110" s="52" t="s">
        <v>573</v>
      </c>
      <c r="B110" s="28" t="s">
        <v>114</v>
      </c>
      <c r="C110" s="53">
        <v>467.7</v>
      </c>
      <c r="D110" s="54">
        <v>77403</v>
      </c>
      <c r="E110" s="54">
        <v>30505</v>
      </c>
      <c r="F110" s="55">
        <v>219081.36</v>
      </c>
      <c r="G110" s="55">
        <v>2209.73</v>
      </c>
      <c r="H110" s="56">
        <f t="shared" si="4"/>
        <v>221291.09</v>
      </c>
      <c r="I110" s="53">
        <v>250</v>
      </c>
      <c r="J110" s="55">
        <f t="shared" si="5"/>
        <v>885.16</v>
      </c>
      <c r="K110" s="55">
        <f t="shared" si="6"/>
        <v>473.1475090870216</v>
      </c>
      <c r="L110" s="56">
        <f t="shared" si="7"/>
        <v>2.86</v>
      </c>
      <c r="M110" s="54">
        <v>130</v>
      </c>
    </row>
    <row r="111" spans="1:13" ht="15" customHeight="1" x14ac:dyDescent="0.55000000000000004">
      <c r="A111" s="52" t="s">
        <v>572</v>
      </c>
      <c r="B111" s="28" t="s">
        <v>115</v>
      </c>
      <c r="C111" s="53">
        <v>190.5</v>
      </c>
      <c r="D111" s="54">
        <v>22600</v>
      </c>
      <c r="E111" s="54">
        <v>5857</v>
      </c>
      <c r="F111" s="55">
        <v>56822.89</v>
      </c>
      <c r="G111" s="55">
        <v>883.44</v>
      </c>
      <c r="H111" s="56">
        <f t="shared" si="4"/>
        <v>57706.33</v>
      </c>
      <c r="I111" s="53">
        <v>27</v>
      </c>
      <c r="J111" s="55">
        <f t="shared" si="5"/>
        <v>2137.27</v>
      </c>
      <c r="K111" s="55">
        <f t="shared" si="6"/>
        <v>302.92036745406824</v>
      </c>
      <c r="L111" s="56">
        <f t="shared" si="7"/>
        <v>2.5499999999999998</v>
      </c>
      <c r="M111" s="54">
        <v>90</v>
      </c>
    </row>
    <row r="112" spans="1:13" ht="15" customHeight="1" x14ac:dyDescent="0.55000000000000004">
      <c r="A112" s="52" t="s">
        <v>571</v>
      </c>
      <c r="B112" s="28" t="s">
        <v>116</v>
      </c>
      <c r="C112" s="53">
        <v>1269.5999999999999</v>
      </c>
      <c r="D112" s="54">
        <v>72963</v>
      </c>
      <c r="E112" s="54">
        <v>59912</v>
      </c>
      <c r="F112" s="55">
        <v>180058</v>
      </c>
      <c r="G112" s="55">
        <v>468.73</v>
      </c>
      <c r="H112" s="56">
        <f t="shared" si="4"/>
        <v>180526.73</v>
      </c>
      <c r="I112" s="53">
        <v>216</v>
      </c>
      <c r="J112" s="55">
        <f t="shared" si="5"/>
        <v>835.77</v>
      </c>
      <c r="K112" s="55">
        <f t="shared" si="6"/>
        <v>142.19181632010083</v>
      </c>
      <c r="L112" s="56">
        <f t="shared" si="7"/>
        <v>2.4700000000000002</v>
      </c>
      <c r="M112" s="54">
        <v>220</v>
      </c>
    </row>
    <row r="113" spans="1:13" ht="15" customHeight="1" x14ac:dyDescent="0.55000000000000004">
      <c r="A113" s="52" t="s">
        <v>570</v>
      </c>
      <c r="B113" s="28" t="s">
        <v>1220</v>
      </c>
      <c r="C113" s="53">
        <v>427.2</v>
      </c>
      <c r="D113" s="54">
        <v>136803</v>
      </c>
      <c r="E113" s="54">
        <v>12275</v>
      </c>
      <c r="F113" s="55">
        <v>250845.1</v>
      </c>
      <c r="G113" s="55"/>
      <c r="H113" s="56">
        <f t="shared" si="4"/>
        <v>250845.1</v>
      </c>
      <c r="I113" s="53">
        <v>234</v>
      </c>
      <c r="J113" s="55">
        <f t="shared" si="5"/>
        <v>1071.99</v>
      </c>
      <c r="K113" s="55">
        <f t="shared" si="6"/>
        <v>587.18422284644203</v>
      </c>
      <c r="L113" s="56">
        <f t="shared" si="7"/>
        <v>1.83</v>
      </c>
      <c r="M113" s="54">
        <v>249</v>
      </c>
    </row>
    <row r="114" spans="1:13" ht="15" customHeight="1" x14ac:dyDescent="0.55000000000000004">
      <c r="A114" s="52" t="s">
        <v>568</v>
      </c>
      <c r="B114" s="28" t="s">
        <v>117</v>
      </c>
      <c r="C114" s="53">
        <v>1621.7</v>
      </c>
      <c r="D114" s="54">
        <v>181974</v>
      </c>
      <c r="E114" s="54">
        <v>81499</v>
      </c>
      <c r="F114" s="55">
        <v>604719.64</v>
      </c>
      <c r="G114" s="55"/>
      <c r="H114" s="56">
        <f t="shared" si="4"/>
        <v>604719.64</v>
      </c>
      <c r="I114" s="53">
        <v>972.2</v>
      </c>
      <c r="J114" s="55">
        <f t="shared" si="5"/>
        <v>622.01</v>
      </c>
      <c r="K114" s="55">
        <f t="shared" si="6"/>
        <v>372.89242153295925</v>
      </c>
      <c r="L114" s="56">
        <f t="shared" si="7"/>
        <v>3.32</v>
      </c>
      <c r="M114" s="54">
        <v>353</v>
      </c>
    </row>
    <row r="115" spans="1:13" ht="15" customHeight="1" x14ac:dyDescent="0.55000000000000004">
      <c r="A115" s="52" t="s">
        <v>567</v>
      </c>
      <c r="B115" s="28" t="s">
        <v>118</v>
      </c>
      <c r="C115" s="53">
        <v>1073.5</v>
      </c>
      <c r="D115" s="54">
        <v>123541</v>
      </c>
      <c r="E115" s="54">
        <v>49102</v>
      </c>
      <c r="F115" s="55">
        <v>410856.75</v>
      </c>
      <c r="G115" s="55">
        <v>1353.69</v>
      </c>
      <c r="H115" s="56">
        <f t="shared" si="4"/>
        <v>412210.44</v>
      </c>
      <c r="I115" s="53">
        <v>678</v>
      </c>
      <c r="J115" s="55">
        <f t="shared" si="5"/>
        <v>607.98</v>
      </c>
      <c r="K115" s="55">
        <f t="shared" si="6"/>
        <v>383.98736842105262</v>
      </c>
      <c r="L115" s="56">
        <f t="shared" si="7"/>
        <v>3.34</v>
      </c>
      <c r="M115" s="54">
        <v>269</v>
      </c>
    </row>
    <row r="116" spans="1:13" ht="15" customHeight="1" x14ac:dyDescent="0.55000000000000004">
      <c r="A116" s="52" t="s">
        <v>566</v>
      </c>
      <c r="B116" s="28" t="s">
        <v>119</v>
      </c>
      <c r="C116" s="53">
        <v>3659.5</v>
      </c>
      <c r="D116" s="54">
        <v>180753</v>
      </c>
      <c r="E116" s="54">
        <v>114465</v>
      </c>
      <c r="F116" s="55">
        <v>800294.99</v>
      </c>
      <c r="G116" s="55">
        <v>37265.019999999997</v>
      </c>
      <c r="H116" s="56">
        <f t="shared" si="4"/>
        <v>837560.01</v>
      </c>
      <c r="I116" s="53">
        <v>1122.7</v>
      </c>
      <c r="J116" s="55">
        <f t="shared" si="5"/>
        <v>746.02</v>
      </c>
      <c r="K116" s="55">
        <f t="shared" si="6"/>
        <v>228.87279956278181</v>
      </c>
      <c r="L116" s="56">
        <f t="shared" si="7"/>
        <v>4.63</v>
      </c>
      <c r="M116" s="54">
        <v>160</v>
      </c>
    </row>
    <row r="117" spans="1:13" ht="15" customHeight="1" x14ac:dyDescent="0.55000000000000004">
      <c r="A117" s="52" t="s">
        <v>565</v>
      </c>
      <c r="B117" s="28" t="s">
        <v>120</v>
      </c>
      <c r="C117" s="53">
        <v>2104.6000000000004</v>
      </c>
      <c r="D117" s="54">
        <v>173314</v>
      </c>
      <c r="E117" s="54">
        <v>81093</v>
      </c>
      <c r="F117" s="55">
        <v>572542.96</v>
      </c>
      <c r="G117" s="55"/>
      <c r="H117" s="56">
        <f t="shared" si="4"/>
        <v>572542.96</v>
      </c>
      <c r="I117" s="53">
        <v>1545.9</v>
      </c>
      <c r="J117" s="55">
        <f t="shared" si="5"/>
        <v>370.36</v>
      </c>
      <c r="K117" s="55">
        <f t="shared" si="6"/>
        <v>272.0435997339161</v>
      </c>
      <c r="L117" s="56">
        <f t="shared" si="7"/>
        <v>3.3</v>
      </c>
      <c r="M117" s="54">
        <v>240</v>
      </c>
    </row>
    <row r="118" spans="1:13" ht="15" customHeight="1" x14ac:dyDescent="0.55000000000000004">
      <c r="A118" s="52" t="s">
        <v>564</v>
      </c>
      <c r="B118" s="28" t="s">
        <v>121</v>
      </c>
      <c r="C118" s="53">
        <v>471.3</v>
      </c>
      <c r="D118" s="54">
        <v>39099</v>
      </c>
      <c r="E118" s="54">
        <v>9580</v>
      </c>
      <c r="F118" s="55">
        <v>188695.27</v>
      </c>
      <c r="G118" s="55"/>
      <c r="H118" s="56">
        <f t="shared" si="4"/>
        <v>188695.27</v>
      </c>
      <c r="I118" s="53">
        <v>294.89999999999998</v>
      </c>
      <c r="J118" s="55">
        <f t="shared" si="5"/>
        <v>639.86</v>
      </c>
      <c r="K118" s="55">
        <f t="shared" si="6"/>
        <v>400.37188627201357</v>
      </c>
      <c r="L118" s="56">
        <f t="shared" si="7"/>
        <v>4.83</v>
      </c>
      <c r="M118" s="54">
        <v>151</v>
      </c>
    </row>
    <row r="119" spans="1:13" ht="15" customHeight="1" x14ac:dyDescent="0.55000000000000004">
      <c r="A119" s="52" t="s">
        <v>563</v>
      </c>
      <c r="B119" s="28" t="s">
        <v>122</v>
      </c>
      <c r="C119" s="53">
        <v>459</v>
      </c>
      <c r="D119" s="54">
        <v>99255</v>
      </c>
      <c r="E119" s="54">
        <v>16691</v>
      </c>
      <c r="F119" s="55">
        <v>278980.38</v>
      </c>
      <c r="G119" s="55">
        <v>468.73</v>
      </c>
      <c r="H119" s="56">
        <f t="shared" si="4"/>
        <v>279449.11</v>
      </c>
      <c r="I119" s="53">
        <v>368</v>
      </c>
      <c r="J119" s="55">
        <f t="shared" si="5"/>
        <v>759.37</v>
      </c>
      <c r="K119" s="55">
        <f t="shared" si="6"/>
        <v>608.82159041394334</v>
      </c>
      <c r="L119" s="56">
        <f t="shared" si="7"/>
        <v>2.82</v>
      </c>
      <c r="M119" s="54">
        <v>171</v>
      </c>
    </row>
    <row r="120" spans="1:13" ht="15" customHeight="1" x14ac:dyDescent="0.55000000000000004">
      <c r="A120" s="52" t="s">
        <v>562</v>
      </c>
      <c r="B120" s="28" t="s">
        <v>561</v>
      </c>
      <c r="C120" s="53">
        <v>899.6</v>
      </c>
      <c r="D120" s="54">
        <v>157299</v>
      </c>
      <c r="E120" s="54">
        <v>18122</v>
      </c>
      <c r="F120" s="55">
        <v>429540.46</v>
      </c>
      <c r="G120" s="55">
        <v>1794.27</v>
      </c>
      <c r="H120" s="56">
        <f t="shared" si="4"/>
        <v>431334.73000000004</v>
      </c>
      <c r="I120" s="53">
        <v>310.60000000000002</v>
      </c>
      <c r="J120" s="55">
        <f t="shared" si="5"/>
        <v>1388.71</v>
      </c>
      <c r="K120" s="55">
        <f t="shared" si="6"/>
        <v>479.47391062694533</v>
      </c>
      <c r="L120" s="56">
        <f t="shared" si="7"/>
        <v>2.74</v>
      </c>
      <c r="M120" s="54">
        <v>198</v>
      </c>
    </row>
    <row r="121" spans="1:13" ht="15" customHeight="1" x14ac:dyDescent="0.55000000000000004">
      <c r="A121" s="52" t="s">
        <v>560</v>
      </c>
      <c r="B121" s="28" t="s">
        <v>123</v>
      </c>
      <c r="C121" s="53">
        <v>432.1</v>
      </c>
      <c r="D121" s="54">
        <v>89857</v>
      </c>
      <c r="E121" s="54">
        <v>15395</v>
      </c>
      <c r="F121" s="55">
        <v>253448.42</v>
      </c>
      <c r="G121" s="55">
        <v>3065.02</v>
      </c>
      <c r="H121" s="56">
        <f t="shared" si="4"/>
        <v>256513.44</v>
      </c>
      <c r="I121" s="53">
        <v>193</v>
      </c>
      <c r="J121" s="55">
        <f t="shared" si="5"/>
        <v>1329.09</v>
      </c>
      <c r="K121" s="55">
        <f t="shared" si="6"/>
        <v>593.64369358944691</v>
      </c>
      <c r="L121" s="56">
        <f t="shared" si="7"/>
        <v>2.85</v>
      </c>
      <c r="M121" s="54">
        <v>176</v>
      </c>
    </row>
    <row r="122" spans="1:13" ht="15" customHeight="1" x14ac:dyDescent="0.55000000000000004">
      <c r="A122" s="52" t="s">
        <v>559</v>
      </c>
      <c r="B122" s="28" t="s">
        <v>124</v>
      </c>
      <c r="C122" s="53">
        <v>1532.3</v>
      </c>
      <c r="D122" s="54">
        <v>70746</v>
      </c>
      <c r="E122" s="54">
        <v>32180</v>
      </c>
      <c r="F122" s="55">
        <v>421989.07</v>
      </c>
      <c r="G122" s="55">
        <v>8431.84</v>
      </c>
      <c r="H122" s="56">
        <f t="shared" si="4"/>
        <v>430420.91000000003</v>
      </c>
      <c r="I122" s="53">
        <v>969</v>
      </c>
      <c r="J122" s="55">
        <f t="shared" si="5"/>
        <v>444.19</v>
      </c>
      <c r="K122" s="55">
        <f t="shared" si="6"/>
        <v>280.89859035436928</v>
      </c>
      <c r="L122" s="56">
        <f t="shared" si="7"/>
        <v>6.08</v>
      </c>
      <c r="M122" s="54">
        <v>48</v>
      </c>
    </row>
    <row r="123" spans="1:13" ht="15" customHeight="1" x14ac:dyDescent="0.55000000000000004">
      <c r="A123" s="52" t="s">
        <v>558</v>
      </c>
      <c r="B123" s="28" t="s">
        <v>125</v>
      </c>
      <c r="C123" s="53">
        <v>161</v>
      </c>
      <c r="D123" s="54">
        <v>24005</v>
      </c>
      <c r="E123" s="54">
        <v>4990</v>
      </c>
      <c r="F123" s="55">
        <v>78902.45</v>
      </c>
      <c r="G123" s="55"/>
      <c r="H123" s="56">
        <f t="shared" si="4"/>
        <v>78902.45</v>
      </c>
      <c r="I123" s="53">
        <v>75.599999999999994</v>
      </c>
      <c r="J123" s="55">
        <f t="shared" si="5"/>
        <v>1043.68</v>
      </c>
      <c r="K123" s="55">
        <f t="shared" si="6"/>
        <v>490.07732919254659</v>
      </c>
      <c r="L123" s="56">
        <f t="shared" si="7"/>
        <v>3.29</v>
      </c>
      <c r="M123" s="54">
        <v>94</v>
      </c>
    </row>
    <row r="124" spans="1:13" ht="15" customHeight="1" x14ac:dyDescent="0.55000000000000004">
      <c r="A124" s="52" t="s">
        <v>557</v>
      </c>
      <c r="B124" s="28" t="s">
        <v>126</v>
      </c>
      <c r="C124" s="53">
        <v>590.4</v>
      </c>
      <c r="D124" s="54">
        <v>58275</v>
      </c>
      <c r="E124" s="54">
        <v>19896</v>
      </c>
      <c r="F124" s="55">
        <v>246734.58</v>
      </c>
      <c r="G124" s="55">
        <v>468.73</v>
      </c>
      <c r="H124" s="56">
        <f t="shared" si="4"/>
        <v>247203.31</v>
      </c>
      <c r="I124" s="53">
        <v>194.3</v>
      </c>
      <c r="J124" s="55">
        <f t="shared" si="5"/>
        <v>1272.28</v>
      </c>
      <c r="K124" s="55">
        <f t="shared" si="6"/>
        <v>418.7047933604336</v>
      </c>
      <c r="L124" s="56">
        <f t="shared" si="7"/>
        <v>4.24</v>
      </c>
      <c r="M124" s="54">
        <v>189</v>
      </c>
    </row>
    <row r="125" spans="1:13" ht="15" customHeight="1" x14ac:dyDescent="0.55000000000000004">
      <c r="A125" s="52" t="s">
        <v>556</v>
      </c>
      <c r="B125" s="28" t="s">
        <v>127</v>
      </c>
      <c r="C125" s="53">
        <v>2007.5</v>
      </c>
      <c r="D125" s="54">
        <v>213544</v>
      </c>
      <c r="E125" s="54">
        <v>49670</v>
      </c>
      <c r="F125" s="55">
        <v>684286.67</v>
      </c>
      <c r="G125" s="55">
        <v>2235.61</v>
      </c>
      <c r="H125" s="56">
        <f t="shared" si="4"/>
        <v>686522.28</v>
      </c>
      <c r="I125" s="53">
        <v>994</v>
      </c>
      <c r="J125" s="55">
        <f t="shared" si="5"/>
        <v>690.67</v>
      </c>
      <c r="K125" s="55">
        <f t="shared" si="6"/>
        <v>341.97871980074723</v>
      </c>
      <c r="L125" s="56">
        <f t="shared" si="7"/>
        <v>3.21</v>
      </c>
      <c r="M125" s="54">
        <v>167</v>
      </c>
    </row>
    <row r="126" spans="1:13" ht="15" customHeight="1" x14ac:dyDescent="0.55000000000000004">
      <c r="A126" s="52" t="s">
        <v>555</v>
      </c>
      <c r="B126" s="28" t="s">
        <v>128</v>
      </c>
      <c r="C126" s="53">
        <v>275</v>
      </c>
      <c r="D126" s="54">
        <v>29760</v>
      </c>
      <c r="E126" s="54">
        <v>12042</v>
      </c>
      <c r="F126" s="55">
        <v>90296.14</v>
      </c>
      <c r="G126" s="55">
        <v>3587.77</v>
      </c>
      <c r="H126" s="56">
        <f t="shared" si="4"/>
        <v>93883.91</v>
      </c>
      <c r="I126" s="53">
        <v>142</v>
      </c>
      <c r="J126" s="55">
        <f t="shared" si="5"/>
        <v>661.15</v>
      </c>
      <c r="K126" s="55">
        <f t="shared" si="6"/>
        <v>341.39603636363637</v>
      </c>
      <c r="L126" s="56">
        <f t="shared" si="7"/>
        <v>3.15</v>
      </c>
      <c r="M126" s="54">
        <v>115</v>
      </c>
    </row>
    <row r="127" spans="1:13" ht="15" customHeight="1" x14ac:dyDescent="0.55000000000000004">
      <c r="A127" s="52" t="s">
        <v>554</v>
      </c>
      <c r="B127" s="28" t="s">
        <v>129</v>
      </c>
      <c r="C127" s="53">
        <v>382</v>
      </c>
      <c r="D127" s="54">
        <v>52623</v>
      </c>
      <c r="E127" s="54">
        <v>15687</v>
      </c>
      <c r="F127" s="55">
        <v>186517.26</v>
      </c>
      <c r="G127" s="55">
        <v>1118.56</v>
      </c>
      <c r="H127" s="56">
        <f t="shared" si="4"/>
        <v>187635.82</v>
      </c>
      <c r="I127" s="53">
        <v>190.9</v>
      </c>
      <c r="J127" s="55">
        <f t="shared" si="5"/>
        <v>982.9</v>
      </c>
      <c r="K127" s="55">
        <f t="shared" si="6"/>
        <v>491.19324607329844</v>
      </c>
      <c r="L127" s="56">
        <f t="shared" si="7"/>
        <v>3.57</v>
      </c>
      <c r="M127" s="54">
        <v>99</v>
      </c>
    </row>
    <row r="128" spans="1:13" ht="15" customHeight="1" x14ac:dyDescent="0.55000000000000004">
      <c r="A128" s="52" t="s">
        <v>553</v>
      </c>
      <c r="B128" s="28" t="s">
        <v>130</v>
      </c>
      <c r="C128" s="53">
        <v>642.1</v>
      </c>
      <c r="D128" s="54">
        <v>106327</v>
      </c>
      <c r="E128" s="54">
        <v>26605</v>
      </c>
      <c r="F128" s="55">
        <v>599734.34</v>
      </c>
      <c r="G128" s="55">
        <v>3328.3</v>
      </c>
      <c r="H128" s="56">
        <f t="shared" si="4"/>
        <v>603062.64</v>
      </c>
      <c r="I128" s="53">
        <v>470</v>
      </c>
      <c r="J128" s="55">
        <f t="shared" si="5"/>
        <v>1283.1099999999999</v>
      </c>
      <c r="K128" s="55">
        <f t="shared" si="6"/>
        <v>939.20361314437002</v>
      </c>
      <c r="L128" s="56">
        <f t="shared" si="7"/>
        <v>5.67</v>
      </c>
      <c r="M128" s="54">
        <v>283</v>
      </c>
    </row>
    <row r="129" spans="1:13" ht="15" customHeight="1" x14ac:dyDescent="0.55000000000000004">
      <c r="A129" s="52" t="s">
        <v>552</v>
      </c>
      <c r="B129" s="28" t="s">
        <v>131</v>
      </c>
      <c r="C129" s="53">
        <v>275.60000000000002</v>
      </c>
      <c r="D129" s="54">
        <v>96510</v>
      </c>
      <c r="E129" s="54">
        <v>66000</v>
      </c>
      <c r="F129" s="55">
        <v>208931.11</v>
      </c>
      <c r="G129" s="55"/>
      <c r="H129" s="56">
        <f t="shared" si="4"/>
        <v>208931.11</v>
      </c>
      <c r="I129" s="53">
        <v>388</v>
      </c>
      <c r="J129" s="55">
        <f t="shared" si="5"/>
        <v>538.48</v>
      </c>
      <c r="K129" s="55">
        <f t="shared" si="6"/>
        <v>758.09546444121906</v>
      </c>
      <c r="L129" s="56">
        <f t="shared" si="7"/>
        <v>2.16</v>
      </c>
      <c r="M129" s="54">
        <v>93</v>
      </c>
    </row>
    <row r="130" spans="1:13" ht="15" customHeight="1" x14ac:dyDescent="0.55000000000000004">
      <c r="A130" s="52" t="s">
        <v>551</v>
      </c>
      <c r="B130" s="28" t="s">
        <v>132</v>
      </c>
      <c r="C130" s="53">
        <v>1612.5</v>
      </c>
      <c r="D130" s="54">
        <v>116916</v>
      </c>
      <c r="E130" s="54">
        <v>61134</v>
      </c>
      <c r="F130" s="55">
        <v>516334.17</v>
      </c>
      <c r="G130" s="55">
        <v>7930.31</v>
      </c>
      <c r="H130" s="56">
        <f t="shared" si="4"/>
        <v>524264.48</v>
      </c>
      <c r="I130" s="53">
        <v>781.9</v>
      </c>
      <c r="J130" s="55">
        <f t="shared" si="5"/>
        <v>670.5</v>
      </c>
      <c r="K130" s="55">
        <f t="shared" si="6"/>
        <v>325.12525891472865</v>
      </c>
      <c r="L130" s="56">
        <f t="shared" si="7"/>
        <v>4.4800000000000004</v>
      </c>
      <c r="M130" s="54">
        <v>219</v>
      </c>
    </row>
    <row r="131" spans="1:13" ht="15" customHeight="1" x14ac:dyDescent="0.55000000000000004">
      <c r="A131" s="52" t="s">
        <v>550</v>
      </c>
      <c r="B131" s="28" t="s">
        <v>133</v>
      </c>
      <c r="C131" s="53">
        <v>475.8</v>
      </c>
      <c r="D131" s="54">
        <v>106039</v>
      </c>
      <c r="E131" s="54">
        <v>15968</v>
      </c>
      <c r="F131" s="55">
        <v>409091.49</v>
      </c>
      <c r="G131" s="55"/>
      <c r="H131" s="56">
        <f t="shared" si="4"/>
        <v>409091.49</v>
      </c>
      <c r="I131" s="53">
        <v>353</v>
      </c>
      <c r="J131" s="55">
        <f t="shared" si="5"/>
        <v>1158.9000000000001</v>
      </c>
      <c r="K131" s="55">
        <f t="shared" si="6"/>
        <v>859.79716267339211</v>
      </c>
      <c r="L131" s="56">
        <f t="shared" si="7"/>
        <v>3.86</v>
      </c>
      <c r="M131" s="54">
        <v>245</v>
      </c>
    </row>
    <row r="132" spans="1:13" ht="15" customHeight="1" x14ac:dyDescent="0.55000000000000004">
      <c r="A132" s="52" t="s">
        <v>549</v>
      </c>
      <c r="B132" s="28" t="s">
        <v>134</v>
      </c>
      <c r="C132" s="53">
        <v>653.1</v>
      </c>
      <c r="D132" s="54">
        <v>36621</v>
      </c>
      <c r="E132" s="54">
        <v>18578</v>
      </c>
      <c r="F132" s="55">
        <v>198694.85</v>
      </c>
      <c r="G132" s="55">
        <v>2235.61</v>
      </c>
      <c r="H132" s="56">
        <f t="shared" si="4"/>
        <v>200930.46</v>
      </c>
      <c r="I132" s="53">
        <v>206</v>
      </c>
      <c r="J132" s="55">
        <f t="shared" si="5"/>
        <v>975.39</v>
      </c>
      <c r="K132" s="55">
        <f t="shared" si="6"/>
        <v>307.65649977032609</v>
      </c>
      <c r="L132" s="56">
        <f t="shared" si="7"/>
        <v>5.49</v>
      </c>
      <c r="M132" s="54">
        <v>114</v>
      </c>
    </row>
    <row r="133" spans="1:13" ht="15" customHeight="1" x14ac:dyDescent="0.55000000000000004">
      <c r="A133" s="52" t="s">
        <v>548</v>
      </c>
      <c r="B133" s="28" t="s">
        <v>135</v>
      </c>
      <c r="C133" s="53">
        <v>431.8</v>
      </c>
      <c r="D133" s="54">
        <v>81586</v>
      </c>
      <c r="E133" s="54">
        <v>9321</v>
      </c>
      <c r="F133" s="55">
        <v>236400.34</v>
      </c>
      <c r="G133" s="55"/>
      <c r="H133" s="56">
        <f t="shared" si="4"/>
        <v>236400.34</v>
      </c>
      <c r="I133" s="53">
        <v>193.6</v>
      </c>
      <c r="J133" s="55">
        <f t="shared" si="5"/>
        <v>1221.08</v>
      </c>
      <c r="K133" s="55">
        <f t="shared" si="6"/>
        <v>547.47647058823532</v>
      </c>
      <c r="L133" s="56">
        <f t="shared" si="7"/>
        <v>2.9</v>
      </c>
      <c r="M133" s="54">
        <v>190</v>
      </c>
    </row>
    <row r="134" spans="1:13" ht="15" customHeight="1" x14ac:dyDescent="0.55000000000000004">
      <c r="A134" s="52" t="s">
        <v>547</v>
      </c>
      <c r="B134" s="28" t="s">
        <v>136</v>
      </c>
      <c r="C134" s="53">
        <v>585</v>
      </c>
      <c r="D134" s="54">
        <v>113022</v>
      </c>
      <c r="E134" s="54">
        <v>26828</v>
      </c>
      <c r="F134" s="55">
        <v>342622.53</v>
      </c>
      <c r="G134" s="55"/>
      <c r="H134" s="56">
        <f t="shared" si="4"/>
        <v>342622.53</v>
      </c>
      <c r="I134" s="53">
        <v>260.8</v>
      </c>
      <c r="J134" s="55">
        <f t="shared" si="5"/>
        <v>1313.74</v>
      </c>
      <c r="K134" s="55">
        <f t="shared" si="6"/>
        <v>585.67953846153853</v>
      </c>
      <c r="L134" s="56">
        <f t="shared" si="7"/>
        <v>3.03</v>
      </c>
      <c r="M134" s="54">
        <v>100</v>
      </c>
    </row>
    <row r="135" spans="1:13" ht="15" customHeight="1" x14ac:dyDescent="0.55000000000000004">
      <c r="A135" s="52" t="s">
        <v>546</v>
      </c>
      <c r="B135" s="28" t="s">
        <v>137</v>
      </c>
      <c r="C135" s="53">
        <v>351.8</v>
      </c>
      <c r="D135" s="54">
        <v>47289</v>
      </c>
      <c r="E135" s="54">
        <v>25502</v>
      </c>
      <c r="F135" s="55">
        <v>111417.60000000001</v>
      </c>
      <c r="G135" s="55">
        <v>1975.37</v>
      </c>
      <c r="H135" s="56">
        <f t="shared" ref="H135:H198" si="8">F135+G135</f>
        <v>113392.97</v>
      </c>
      <c r="I135" s="53">
        <v>200</v>
      </c>
      <c r="J135" s="55">
        <f t="shared" ref="J135:J198" si="9">ROUND((H135/I135),2)</f>
        <v>566.96</v>
      </c>
      <c r="K135" s="55">
        <f t="shared" ref="K135:K198" si="10">H135/C135</f>
        <v>322.32225696418419</v>
      </c>
      <c r="L135" s="56">
        <f t="shared" ref="L135:L198" si="11">ROUND((H135/D135),2)</f>
        <v>2.4</v>
      </c>
      <c r="M135" s="54">
        <v>126</v>
      </c>
    </row>
    <row r="136" spans="1:13" ht="15" customHeight="1" x14ac:dyDescent="0.55000000000000004">
      <c r="A136" s="52" t="s">
        <v>545</v>
      </c>
      <c r="B136" s="28" t="s">
        <v>138</v>
      </c>
      <c r="C136" s="53">
        <v>227</v>
      </c>
      <c r="D136" s="54">
        <v>17402</v>
      </c>
      <c r="E136" s="54">
        <v>3214</v>
      </c>
      <c r="F136" s="55">
        <v>51284.24</v>
      </c>
      <c r="G136" s="55"/>
      <c r="H136" s="56">
        <f t="shared" si="8"/>
        <v>51284.24</v>
      </c>
      <c r="I136" s="53">
        <v>120</v>
      </c>
      <c r="J136" s="55">
        <f t="shared" si="9"/>
        <v>427.37</v>
      </c>
      <c r="K136" s="55">
        <f t="shared" si="10"/>
        <v>225.92176211453744</v>
      </c>
      <c r="L136" s="56">
        <f t="shared" si="11"/>
        <v>2.95</v>
      </c>
      <c r="M136" s="54">
        <v>102</v>
      </c>
    </row>
    <row r="137" spans="1:13" ht="15" customHeight="1" x14ac:dyDescent="0.55000000000000004">
      <c r="A137" s="52" t="s">
        <v>544</v>
      </c>
      <c r="B137" s="28" t="s">
        <v>139</v>
      </c>
      <c r="C137" s="53">
        <v>1190.9000000000001</v>
      </c>
      <c r="D137" s="54">
        <v>110579</v>
      </c>
      <c r="E137" s="54">
        <v>39710</v>
      </c>
      <c r="F137" s="55">
        <v>387226.29</v>
      </c>
      <c r="G137" s="55">
        <v>2733.25</v>
      </c>
      <c r="H137" s="56">
        <f t="shared" si="8"/>
        <v>389959.54</v>
      </c>
      <c r="I137" s="53">
        <v>551</v>
      </c>
      <c r="J137" s="55">
        <f t="shared" si="9"/>
        <v>707.73</v>
      </c>
      <c r="K137" s="55">
        <f t="shared" si="10"/>
        <v>327.44944159879077</v>
      </c>
      <c r="L137" s="56">
        <f t="shared" si="11"/>
        <v>3.53</v>
      </c>
      <c r="M137" s="54">
        <v>239</v>
      </c>
    </row>
    <row r="138" spans="1:13" ht="15" customHeight="1" x14ac:dyDescent="0.55000000000000004">
      <c r="A138" s="52" t="s">
        <v>543</v>
      </c>
      <c r="B138" s="28" t="s">
        <v>140</v>
      </c>
      <c r="C138" s="53">
        <v>1419.1000000000001</v>
      </c>
      <c r="D138" s="54">
        <v>134693</v>
      </c>
      <c r="E138" s="54">
        <v>51625</v>
      </c>
      <c r="F138" s="55">
        <v>493288.03</v>
      </c>
      <c r="G138" s="55"/>
      <c r="H138" s="56">
        <f t="shared" si="8"/>
        <v>493288.03</v>
      </c>
      <c r="I138" s="53">
        <v>518.20000000000005</v>
      </c>
      <c r="J138" s="55">
        <f t="shared" si="9"/>
        <v>951.93</v>
      </c>
      <c r="K138" s="55">
        <f t="shared" si="10"/>
        <v>347.60625044041996</v>
      </c>
      <c r="L138" s="56">
        <f t="shared" si="11"/>
        <v>3.66</v>
      </c>
      <c r="M138" s="54">
        <v>279</v>
      </c>
    </row>
    <row r="139" spans="1:13" ht="15" customHeight="1" x14ac:dyDescent="0.55000000000000004">
      <c r="A139" s="52" t="s">
        <v>542</v>
      </c>
      <c r="B139" s="28" t="s">
        <v>141</v>
      </c>
      <c r="C139" s="53">
        <v>356.2</v>
      </c>
      <c r="D139" s="54">
        <v>92834</v>
      </c>
      <c r="E139" s="54">
        <v>390</v>
      </c>
      <c r="F139" s="55">
        <v>370000.11</v>
      </c>
      <c r="G139" s="55"/>
      <c r="H139" s="56">
        <f t="shared" si="8"/>
        <v>370000.11</v>
      </c>
      <c r="I139" s="53">
        <v>173</v>
      </c>
      <c r="J139" s="55">
        <f t="shared" si="9"/>
        <v>2138.73</v>
      </c>
      <c r="K139" s="55">
        <f t="shared" si="10"/>
        <v>1038.7425884334643</v>
      </c>
      <c r="L139" s="56">
        <f t="shared" si="11"/>
        <v>3.99</v>
      </c>
      <c r="M139" s="54">
        <v>169</v>
      </c>
    </row>
    <row r="140" spans="1:13" ht="15" customHeight="1" x14ac:dyDescent="0.55000000000000004">
      <c r="A140" s="52" t="s">
        <v>541</v>
      </c>
      <c r="B140" s="28" t="s">
        <v>142</v>
      </c>
      <c r="C140" s="53">
        <v>298.39999999999998</v>
      </c>
      <c r="D140" s="54">
        <v>49885</v>
      </c>
      <c r="E140" s="54">
        <v>12983</v>
      </c>
      <c r="F140" s="55">
        <v>148350.99</v>
      </c>
      <c r="G140" s="55">
        <v>829.41</v>
      </c>
      <c r="H140" s="56">
        <f t="shared" si="8"/>
        <v>149180.4</v>
      </c>
      <c r="I140" s="53">
        <v>181</v>
      </c>
      <c r="J140" s="55">
        <f t="shared" si="9"/>
        <v>824.2</v>
      </c>
      <c r="K140" s="55">
        <f t="shared" si="10"/>
        <v>499.93431635388743</v>
      </c>
      <c r="L140" s="56">
        <f t="shared" si="11"/>
        <v>2.99</v>
      </c>
      <c r="M140" s="54">
        <v>140</v>
      </c>
    </row>
    <row r="141" spans="1:13" ht="15" customHeight="1" x14ac:dyDescent="0.55000000000000004">
      <c r="A141" s="52" t="s">
        <v>540</v>
      </c>
      <c r="B141" s="28" t="s">
        <v>143</v>
      </c>
      <c r="C141" s="53">
        <v>625.29999999999995</v>
      </c>
      <c r="D141" s="54">
        <v>71211</v>
      </c>
      <c r="E141" s="54">
        <v>16390</v>
      </c>
      <c r="F141" s="55">
        <v>136985.47</v>
      </c>
      <c r="G141" s="55">
        <v>12416.61</v>
      </c>
      <c r="H141" s="56">
        <f t="shared" si="8"/>
        <v>149402.08000000002</v>
      </c>
      <c r="I141" s="53">
        <v>395.6</v>
      </c>
      <c r="J141" s="55">
        <f t="shared" si="9"/>
        <v>377.66</v>
      </c>
      <c r="K141" s="55">
        <f t="shared" si="10"/>
        <v>238.92864225171922</v>
      </c>
      <c r="L141" s="56">
        <f t="shared" si="11"/>
        <v>2.1</v>
      </c>
      <c r="M141" s="54">
        <v>249</v>
      </c>
    </row>
    <row r="142" spans="1:13" ht="15" customHeight="1" x14ac:dyDescent="0.55000000000000004">
      <c r="A142" s="52" t="s">
        <v>539</v>
      </c>
      <c r="B142" s="28" t="s">
        <v>1303</v>
      </c>
      <c r="C142" s="53">
        <v>631.79999999999995</v>
      </c>
      <c r="D142" s="54">
        <v>78542</v>
      </c>
      <c r="E142" s="54">
        <v>18136</v>
      </c>
      <c r="F142" s="55">
        <v>280847.61</v>
      </c>
      <c r="G142" s="55"/>
      <c r="H142" s="56">
        <f t="shared" si="8"/>
        <v>280847.61</v>
      </c>
      <c r="I142" s="53">
        <v>479</v>
      </c>
      <c r="J142" s="55">
        <f t="shared" si="9"/>
        <v>586.32000000000005</v>
      </c>
      <c r="K142" s="55">
        <f t="shared" si="10"/>
        <v>444.51980056980057</v>
      </c>
      <c r="L142" s="56">
        <f t="shared" si="11"/>
        <v>3.58</v>
      </c>
      <c r="M142" s="54">
        <v>130</v>
      </c>
    </row>
    <row r="143" spans="1:13" ht="15" customHeight="1" x14ac:dyDescent="0.55000000000000004">
      <c r="A143" s="52" t="s">
        <v>538</v>
      </c>
      <c r="B143" s="28" t="s">
        <v>145</v>
      </c>
      <c r="C143" s="53">
        <v>521.1</v>
      </c>
      <c r="D143" s="54">
        <v>75591</v>
      </c>
      <c r="E143" s="54">
        <v>17276</v>
      </c>
      <c r="F143" s="55">
        <v>345606.39</v>
      </c>
      <c r="G143" s="55">
        <v>6995.97</v>
      </c>
      <c r="H143" s="56">
        <f t="shared" si="8"/>
        <v>352602.36</v>
      </c>
      <c r="I143" s="53">
        <v>466.5</v>
      </c>
      <c r="J143" s="55">
        <f t="shared" si="9"/>
        <v>755.85</v>
      </c>
      <c r="K143" s="55">
        <f t="shared" si="10"/>
        <v>676.65008635578579</v>
      </c>
      <c r="L143" s="56">
        <f t="shared" si="11"/>
        <v>4.66</v>
      </c>
      <c r="M143" s="54">
        <v>128</v>
      </c>
    </row>
    <row r="144" spans="1:13" ht="15" customHeight="1" x14ac:dyDescent="0.55000000000000004">
      <c r="A144" s="52" t="s">
        <v>537</v>
      </c>
      <c r="B144" s="28" t="s">
        <v>146</v>
      </c>
      <c r="C144" s="53">
        <v>1169.8</v>
      </c>
      <c r="D144" s="54">
        <v>202377</v>
      </c>
      <c r="E144" s="54">
        <v>55465</v>
      </c>
      <c r="F144" s="55">
        <v>558659.26</v>
      </c>
      <c r="G144" s="55">
        <v>134593.32</v>
      </c>
      <c r="H144" s="56">
        <f t="shared" si="8"/>
        <v>693252.58000000007</v>
      </c>
      <c r="I144" s="53">
        <v>535.9</v>
      </c>
      <c r="J144" s="55">
        <f t="shared" si="9"/>
        <v>1293.6199999999999</v>
      </c>
      <c r="K144" s="55">
        <f t="shared" si="10"/>
        <v>592.62487604718763</v>
      </c>
      <c r="L144" s="56">
        <f t="shared" si="11"/>
        <v>3.43</v>
      </c>
      <c r="M144" s="54">
        <v>434</v>
      </c>
    </row>
    <row r="145" spans="1:13" ht="15" customHeight="1" x14ac:dyDescent="0.55000000000000004">
      <c r="A145" s="52" t="s">
        <v>536</v>
      </c>
      <c r="B145" s="28" t="s">
        <v>147</v>
      </c>
      <c r="C145" s="53">
        <v>438.4</v>
      </c>
      <c r="D145" s="54">
        <v>55803</v>
      </c>
      <c r="E145" s="54">
        <v>14156</v>
      </c>
      <c r="F145" s="55">
        <v>215258.96</v>
      </c>
      <c r="G145" s="55">
        <v>1244.1199999999999</v>
      </c>
      <c r="H145" s="56">
        <f t="shared" si="8"/>
        <v>216503.08</v>
      </c>
      <c r="I145" s="53">
        <v>213</v>
      </c>
      <c r="J145" s="55">
        <f t="shared" si="9"/>
        <v>1016.45</v>
      </c>
      <c r="K145" s="55">
        <f t="shared" si="10"/>
        <v>493.84826642335764</v>
      </c>
      <c r="L145" s="56">
        <f t="shared" si="11"/>
        <v>3.88</v>
      </c>
      <c r="M145" s="54">
        <v>198</v>
      </c>
    </row>
    <row r="146" spans="1:13" ht="15" customHeight="1" x14ac:dyDescent="0.55000000000000004">
      <c r="A146" s="52" t="s">
        <v>535</v>
      </c>
      <c r="B146" s="28" t="s">
        <v>148</v>
      </c>
      <c r="C146" s="53">
        <v>690.4</v>
      </c>
      <c r="D146" s="54">
        <v>44174</v>
      </c>
      <c r="E146" s="54">
        <v>18263</v>
      </c>
      <c r="F146" s="55">
        <v>235316.84</v>
      </c>
      <c r="G146" s="55">
        <v>3768.88</v>
      </c>
      <c r="H146" s="56">
        <f t="shared" si="8"/>
        <v>239085.72</v>
      </c>
      <c r="I146" s="53">
        <v>334</v>
      </c>
      <c r="J146" s="55">
        <f t="shared" si="9"/>
        <v>715.83</v>
      </c>
      <c r="K146" s="55">
        <f t="shared" si="10"/>
        <v>346.30028968713788</v>
      </c>
      <c r="L146" s="56">
        <f t="shared" si="11"/>
        <v>5.41</v>
      </c>
      <c r="M146" s="54">
        <v>63</v>
      </c>
    </row>
    <row r="147" spans="1:13" ht="15" customHeight="1" x14ac:dyDescent="0.55000000000000004">
      <c r="A147" s="52" t="s">
        <v>534</v>
      </c>
      <c r="B147" s="28" t="s">
        <v>149</v>
      </c>
      <c r="C147" s="53">
        <v>1212.3</v>
      </c>
      <c r="D147" s="54">
        <v>111411</v>
      </c>
      <c r="E147" s="54">
        <v>74594</v>
      </c>
      <c r="F147" s="55">
        <v>335013.81</v>
      </c>
      <c r="G147" s="55">
        <v>25233.15</v>
      </c>
      <c r="H147" s="56">
        <f t="shared" si="8"/>
        <v>360246.96</v>
      </c>
      <c r="I147" s="53">
        <v>652.20000000000005</v>
      </c>
      <c r="J147" s="55">
        <f t="shared" si="9"/>
        <v>552.36</v>
      </c>
      <c r="K147" s="55">
        <f t="shared" si="10"/>
        <v>297.15991091314032</v>
      </c>
      <c r="L147" s="56">
        <f t="shared" si="11"/>
        <v>3.23</v>
      </c>
      <c r="M147" s="54">
        <v>200</v>
      </c>
    </row>
    <row r="148" spans="1:13" ht="15" customHeight="1" x14ac:dyDescent="0.55000000000000004">
      <c r="A148" s="52" t="s">
        <v>533</v>
      </c>
      <c r="B148" s="28" t="s">
        <v>150</v>
      </c>
      <c r="C148" s="53">
        <v>1433.6</v>
      </c>
      <c r="D148" s="54">
        <v>129441</v>
      </c>
      <c r="E148" s="54">
        <v>67758</v>
      </c>
      <c r="F148" s="55">
        <v>444923.31</v>
      </c>
      <c r="G148" s="55">
        <v>22172.69</v>
      </c>
      <c r="H148" s="56">
        <f t="shared" si="8"/>
        <v>467096</v>
      </c>
      <c r="I148" s="53">
        <v>720.9</v>
      </c>
      <c r="J148" s="55">
        <f t="shared" si="9"/>
        <v>647.92999999999995</v>
      </c>
      <c r="K148" s="55">
        <f t="shared" si="10"/>
        <v>325.8203125</v>
      </c>
      <c r="L148" s="56">
        <f t="shared" si="11"/>
        <v>3.61</v>
      </c>
      <c r="M148" s="54">
        <v>195</v>
      </c>
    </row>
    <row r="149" spans="1:13" ht="15" customHeight="1" x14ac:dyDescent="0.55000000000000004">
      <c r="A149" s="52" t="s">
        <v>532</v>
      </c>
      <c r="B149" s="28" t="s">
        <v>151</v>
      </c>
      <c r="C149" s="53">
        <v>3496.6</v>
      </c>
      <c r="D149" s="54">
        <v>191970</v>
      </c>
      <c r="E149" s="54">
        <v>102921</v>
      </c>
      <c r="F149" s="55">
        <v>967043.91</v>
      </c>
      <c r="G149" s="55">
        <v>4347.18</v>
      </c>
      <c r="H149" s="56">
        <f t="shared" si="8"/>
        <v>971391.09000000008</v>
      </c>
      <c r="I149" s="53">
        <v>1620.8</v>
      </c>
      <c r="J149" s="55">
        <f t="shared" si="9"/>
        <v>599.33000000000004</v>
      </c>
      <c r="K149" s="55">
        <f t="shared" si="10"/>
        <v>277.8101841789167</v>
      </c>
      <c r="L149" s="56">
        <f t="shared" si="11"/>
        <v>5.0599999999999996</v>
      </c>
      <c r="M149" s="54">
        <v>159</v>
      </c>
    </row>
    <row r="150" spans="1:13" ht="15" customHeight="1" x14ac:dyDescent="0.55000000000000004">
      <c r="A150" s="52" t="s">
        <v>531</v>
      </c>
      <c r="B150" s="28" t="s">
        <v>152</v>
      </c>
      <c r="C150" s="53">
        <v>860.8</v>
      </c>
      <c r="D150" s="54">
        <v>134875</v>
      </c>
      <c r="E150" s="54">
        <v>17288</v>
      </c>
      <c r="F150" s="55">
        <v>561788.61</v>
      </c>
      <c r="G150" s="55">
        <v>1352.17</v>
      </c>
      <c r="H150" s="56">
        <f t="shared" si="8"/>
        <v>563140.78</v>
      </c>
      <c r="I150" s="53">
        <v>683.1</v>
      </c>
      <c r="J150" s="55">
        <f t="shared" si="9"/>
        <v>824.39</v>
      </c>
      <c r="K150" s="55">
        <f t="shared" si="10"/>
        <v>654.20629646840155</v>
      </c>
      <c r="L150" s="56">
        <f t="shared" si="11"/>
        <v>4.18</v>
      </c>
      <c r="M150" s="54">
        <v>192</v>
      </c>
    </row>
    <row r="151" spans="1:13" ht="15" customHeight="1" x14ac:dyDescent="0.55000000000000004">
      <c r="A151" s="52" t="s">
        <v>530</v>
      </c>
      <c r="B151" s="28" t="s">
        <v>153</v>
      </c>
      <c r="C151" s="53">
        <v>14279.9</v>
      </c>
      <c r="D151" s="54">
        <v>511123</v>
      </c>
      <c r="E151" s="54">
        <v>431827</v>
      </c>
      <c r="F151" s="55">
        <v>2392687.41</v>
      </c>
      <c r="G151" s="55">
        <v>151720.25</v>
      </c>
      <c r="H151" s="56">
        <f t="shared" si="8"/>
        <v>2544407.66</v>
      </c>
      <c r="I151" s="53">
        <v>4828.3</v>
      </c>
      <c r="J151" s="55">
        <f t="shared" si="9"/>
        <v>526.98</v>
      </c>
      <c r="K151" s="55">
        <f t="shared" si="10"/>
        <v>178.18105588974714</v>
      </c>
      <c r="L151" s="56">
        <f t="shared" si="11"/>
        <v>4.9800000000000004</v>
      </c>
      <c r="M151" s="54">
        <v>133</v>
      </c>
    </row>
    <row r="152" spans="1:13" ht="15" customHeight="1" x14ac:dyDescent="0.55000000000000004">
      <c r="A152" s="52" t="s">
        <v>529</v>
      </c>
      <c r="B152" s="28" t="s">
        <v>154</v>
      </c>
      <c r="C152" s="53">
        <v>1052.7</v>
      </c>
      <c r="D152" s="54">
        <v>59103</v>
      </c>
      <c r="E152" s="54">
        <v>30678</v>
      </c>
      <c r="F152" s="55">
        <v>311183.63</v>
      </c>
      <c r="G152" s="55">
        <v>2235.61</v>
      </c>
      <c r="H152" s="56">
        <f t="shared" si="8"/>
        <v>313419.24</v>
      </c>
      <c r="I152" s="53">
        <v>490</v>
      </c>
      <c r="J152" s="55">
        <f t="shared" si="9"/>
        <v>639.63</v>
      </c>
      <c r="K152" s="55">
        <f t="shared" si="10"/>
        <v>297.72892561983468</v>
      </c>
      <c r="L152" s="56">
        <f t="shared" si="11"/>
        <v>5.3</v>
      </c>
      <c r="M152" s="54">
        <v>135</v>
      </c>
    </row>
    <row r="153" spans="1:13" ht="15" customHeight="1" x14ac:dyDescent="0.55000000000000004">
      <c r="A153" s="52" t="s">
        <v>528</v>
      </c>
      <c r="B153" s="28" t="s">
        <v>155</v>
      </c>
      <c r="C153" s="53">
        <v>550.1</v>
      </c>
      <c r="D153" s="54">
        <v>46609</v>
      </c>
      <c r="E153" s="54">
        <v>17376</v>
      </c>
      <c r="F153" s="55">
        <v>175398.08</v>
      </c>
      <c r="G153" s="55"/>
      <c r="H153" s="56">
        <f t="shared" si="8"/>
        <v>175398.08</v>
      </c>
      <c r="I153" s="53">
        <v>146.80000000000001</v>
      </c>
      <c r="J153" s="55">
        <f t="shared" si="9"/>
        <v>1194.81</v>
      </c>
      <c r="K153" s="55">
        <f t="shared" si="10"/>
        <v>318.84762770405376</v>
      </c>
      <c r="L153" s="56">
        <f t="shared" si="11"/>
        <v>3.76</v>
      </c>
      <c r="M153" s="54">
        <v>105</v>
      </c>
    </row>
    <row r="154" spans="1:13" ht="15" customHeight="1" x14ac:dyDescent="0.55000000000000004">
      <c r="A154" s="52" t="s">
        <v>527</v>
      </c>
      <c r="B154" s="28" t="s">
        <v>330</v>
      </c>
      <c r="C154" s="53">
        <v>683.2</v>
      </c>
      <c r="D154" s="54">
        <v>258769</v>
      </c>
      <c r="E154" s="54">
        <v>20480</v>
      </c>
      <c r="F154" s="55">
        <v>415992.83</v>
      </c>
      <c r="G154" s="55">
        <v>2939.46</v>
      </c>
      <c r="H154" s="56">
        <f t="shared" si="8"/>
        <v>418932.29000000004</v>
      </c>
      <c r="I154" s="53">
        <v>612</v>
      </c>
      <c r="J154" s="55">
        <f t="shared" si="9"/>
        <v>684.53</v>
      </c>
      <c r="K154" s="55">
        <f t="shared" si="10"/>
        <v>613.19129098360656</v>
      </c>
      <c r="L154" s="56">
        <f t="shared" si="11"/>
        <v>1.62</v>
      </c>
      <c r="M154" s="54">
        <v>322</v>
      </c>
    </row>
    <row r="155" spans="1:13" ht="15" customHeight="1" x14ac:dyDescent="0.55000000000000004">
      <c r="A155" s="52" t="s">
        <v>526</v>
      </c>
      <c r="B155" s="28" t="s">
        <v>156</v>
      </c>
      <c r="C155" s="53">
        <v>432.1</v>
      </c>
      <c r="D155" s="54">
        <v>39032</v>
      </c>
      <c r="E155" s="54">
        <v>11367</v>
      </c>
      <c r="F155" s="55">
        <v>124165.47</v>
      </c>
      <c r="G155" s="55">
        <v>2446.38</v>
      </c>
      <c r="H155" s="56">
        <f t="shared" si="8"/>
        <v>126611.85</v>
      </c>
      <c r="I155" s="53">
        <v>190</v>
      </c>
      <c r="J155" s="55">
        <f t="shared" si="9"/>
        <v>666.38</v>
      </c>
      <c r="K155" s="55">
        <f t="shared" si="10"/>
        <v>293.01515852811849</v>
      </c>
      <c r="L155" s="56">
        <f t="shared" si="11"/>
        <v>3.24</v>
      </c>
      <c r="M155" s="54">
        <v>44</v>
      </c>
    </row>
    <row r="156" spans="1:13" ht="15" customHeight="1" x14ac:dyDescent="0.55000000000000004">
      <c r="A156" s="52" t="s">
        <v>525</v>
      </c>
      <c r="B156" s="28" t="s">
        <v>342</v>
      </c>
      <c r="C156" s="53">
        <v>1210.4000000000001</v>
      </c>
      <c r="D156" s="54">
        <v>181690</v>
      </c>
      <c r="E156" s="54">
        <v>28900</v>
      </c>
      <c r="F156" s="55">
        <v>682030.71</v>
      </c>
      <c r="G156" s="55"/>
      <c r="H156" s="56">
        <f t="shared" si="8"/>
        <v>682030.71</v>
      </c>
      <c r="I156" s="53">
        <v>641.20000000000005</v>
      </c>
      <c r="J156" s="55">
        <f t="shared" si="9"/>
        <v>1063.68</v>
      </c>
      <c r="K156" s="55">
        <f t="shared" si="10"/>
        <v>563.47547091870445</v>
      </c>
      <c r="L156" s="56">
        <f t="shared" si="11"/>
        <v>3.75</v>
      </c>
      <c r="M156" s="54">
        <v>388</v>
      </c>
    </row>
    <row r="157" spans="1:13" ht="15" customHeight="1" x14ac:dyDescent="0.55000000000000004">
      <c r="A157" s="52" t="s">
        <v>524</v>
      </c>
      <c r="B157" s="28" t="s">
        <v>157</v>
      </c>
      <c r="C157" s="53">
        <v>919.2</v>
      </c>
      <c r="D157" s="54">
        <v>75676</v>
      </c>
      <c r="E157" s="54">
        <v>19953</v>
      </c>
      <c r="F157" s="55">
        <v>253662.95</v>
      </c>
      <c r="G157" s="55">
        <v>12748.58</v>
      </c>
      <c r="H157" s="56">
        <f t="shared" si="8"/>
        <v>266411.53000000003</v>
      </c>
      <c r="I157" s="53">
        <v>503.9</v>
      </c>
      <c r="J157" s="55">
        <f t="shared" si="9"/>
        <v>528.70000000000005</v>
      </c>
      <c r="K157" s="55">
        <f t="shared" si="10"/>
        <v>289.82977589208008</v>
      </c>
      <c r="L157" s="56">
        <f t="shared" si="11"/>
        <v>3.52</v>
      </c>
      <c r="M157" s="54">
        <v>137</v>
      </c>
    </row>
    <row r="158" spans="1:13" ht="15" customHeight="1" x14ac:dyDescent="0.55000000000000004">
      <c r="A158" s="52" t="s">
        <v>523</v>
      </c>
      <c r="B158" s="28" t="s">
        <v>158</v>
      </c>
      <c r="C158" s="53">
        <v>7057.6</v>
      </c>
      <c r="D158" s="54">
        <v>485567</v>
      </c>
      <c r="E158" s="54">
        <v>297229</v>
      </c>
      <c r="F158" s="55">
        <v>2713415.35</v>
      </c>
      <c r="G158" s="55">
        <v>103973.17</v>
      </c>
      <c r="H158" s="56">
        <f t="shared" si="8"/>
        <v>2817388.52</v>
      </c>
      <c r="I158" s="53">
        <v>4099.3</v>
      </c>
      <c r="J158" s="55">
        <f t="shared" si="9"/>
        <v>687.29</v>
      </c>
      <c r="K158" s="55">
        <f t="shared" si="10"/>
        <v>399.19923486737702</v>
      </c>
      <c r="L158" s="56">
        <f t="shared" si="11"/>
        <v>5.8</v>
      </c>
      <c r="M158" s="54">
        <v>40</v>
      </c>
    </row>
    <row r="159" spans="1:13" ht="15" customHeight="1" x14ac:dyDescent="0.55000000000000004">
      <c r="A159" s="52" t="s">
        <v>522</v>
      </c>
      <c r="B159" s="28" t="s">
        <v>159</v>
      </c>
      <c r="C159" s="53">
        <v>1874.4</v>
      </c>
      <c r="D159" s="54">
        <v>45799</v>
      </c>
      <c r="E159" s="54">
        <v>50940</v>
      </c>
      <c r="F159" s="55">
        <v>271086.62</v>
      </c>
      <c r="G159" s="55">
        <v>2428.38</v>
      </c>
      <c r="H159" s="56">
        <f t="shared" si="8"/>
        <v>273515</v>
      </c>
      <c r="I159" s="53">
        <v>610.4</v>
      </c>
      <c r="J159" s="55">
        <f t="shared" si="9"/>
        <v>448.09</v>
      </c>
      <c r="K159" s="55">
        <f t="shared" si="10"/>
        <v>145.92136150234742</v>
      </c>
      <c r="L159" s="56">
        <f t="shared" si="11"/>
        <v>5.97</v>
      </c>
      <c r="M159" s="54">
        <v>47</v>
      </c>
    </row>
    <row r="160" spans="1:13" ht="15" customHeight="1" x14ac:dyDescent="0.55000000000000004">
      <c r="A160" s="52" t="s">
        <v>521</v>
      </c>
      <c r="B160" s="28" t="s">
        <v>160</v>
      </c>
      <c r="C160" s="53">
        <v>332.6</v>
      </c>
      <c r="D160" s="54">
        <v>67189</v>
      </c>
      <c r="E160" s="54">
        <v>9411</v>
      </c>
      <c r="F160" s="55">
        <v>196133.69</v>
      </c>
      <c r="G160" s="55"/>
      <c r="H160" s="56">
        <f t="shared" si="8"/>
        <v>196133.69</v>
      </c>
      <c r="I160" s="53">
        <v>211</v>
      </c>
      <c r="J160" s="55">
        <f t="shared" si="9"/>
        <v>929.54</v>
      </c>
      <c r="K160" s="55">
        <f t="shared" si="10"/>
        <v>589.69840649428738</v>
      </c>
      <c r="L160" s="56">
        <f t="shared" si="11"/>
        <v>2.92</v>
      </c>
      <c r="M160" s="54">
        <v>147</v>
      </c>
    </row>
    <row r="161" spans="1:13" ht="15" customHeight="1" x14ac:dyDescent="0.55000000000000004">
      <c r="A161" s="52" t="s">
        <v>520</v>
      </c>
      <c r="B161" s="28" t="s">
        <v>161</v>
      </c>
      <c r="C161" s="53">
        <v>440.3</v>
      </c>
      <c r="D161" s="54">
        <v>55828</v>
      </c>
      <c r="E161" s="54">
        <v>30494</v>
      </c>
      <c r="F161" s="55">
        <v>130545.47</v>
      </c>
      <c r="G161" s="55">
        <v>1658.82</v>
      </c>
      <c r="H161" s="56">
        <f t="shared" si="8"/>
        <v>132204.29</v>
      </c>
      <c r="I161" s="53">
        <v>279</v>
      </c>
      <c r="J161" s="55">
        <f t="shared" si="9"/>
        <v>473.85</v>
      </c>
      <c r="K161" s="55">
        <f t="shared" si="10"/>
        <v>300.25957301839657</v>
      </c>
      <c r="L161" s="56">
        <f t="shared" si="11"/>
        <v>2.37</v>
      </c>
      <c r="M161" s="54">
        <v>133</v>
      </c>
    </row>
    <row r="162" spans="1:13" ht="15" customHeight="1" x14ac:dyDescent="0.55000000000000004">
      <c r="A162" s="52" t="s">
        <v>519</v>
      </c>
      <c r="B162" s="28" t="s">
        <v>162</v>
      </c>
      <c r="C162" s="53">
        <v>1757.7</v>
      </c>
      <c r="D162" s="54">
        <v>108374</v>
      </c>
      <c r="E162" s="54">
        <v>41471</v>
      </c>
      <c r="F162" s="55">
        <v>455779.87</v>
      </c>
      <c r="G162" s="55">
        <v>5471.53</v>
      </c>
      <c r="H162" s="56">
        <f t="shared" si="8"/>
        <v>461251.4</v>
      </c>
      <c r="I162" s="53">
        <v>805</v>
      </c>
      <c r="J162" s="55">
        <f t="shared" si="9"/>
        <v>572.98</v>
      </c>
      <c r="K162" s="55">
        <f t="shared" si="10"/>
        <v>262.41759117027937</v>
      </c>
      <c r="L162" s="56">
        <f t="shared" si="11"/>
        <v>4.26</v>
      </c>
      <c r="M162" s="54">
        <v>160</v>
      </c>
    </row>
    <row r="163" spans="1:13" ht="15" customHeight="1" x14ac:dyDescent="0.55000000000000004">
      <c r="A163" s="52" t="s">
        <v>518</v>
      </c>
      <c r="B163" s="28" t="s">
        <v>163</v>
      </c>
      <c r="C163" s="53">
        <v>595.70000000000005</v>
      </c>
      <c r="D163" s="54">
        <v>89184</v>
      </c>
      <c r="E163" s="54">
        <v>18189</v>
      </c>
      <c r="F163" s="55">
        <v>343854.26</v>
      </c>
      <c r="G163" s="55"/>
      <c r="H163" s="56">
        <f t="shared" si="8"/>
        <v>343854.26</v>
      </c>
      <c r="I163" s="53">
        <v>483</v>
      </c>
      <c r="J163" s="55">
        <f t="shared" si="9"/>
        <v>711.91</v>
      </c>
      <c r="K163" s="55">
        <f t="shared" si="10"/>
        <v>577.22722847070668</v>
      </c>
      <c r="L163" s="56">
        <f t="shared" si="11"/>
        <v>3.86</v>
      </c>
      <c r="M163" s="54">
        <v>184</v>
      </c>
    </row>
    <row r="164" spans="1:13" ht="15" customHeight="1" x14ac:dyDescent="0.55000000000000004">
      <c r="A164" s="52" t="s">
        <v>517</v>
      </c>
      <c r="B164" s="28" t="s">
        <v>164</v>
      </c>
      <c r="C164" s="53">
        <v>314.2</v>
      </c>
      <c r="D164" s="54">
        <v>31653</v>
      </c>
      <c r="E164" s="54">
        <v>12312</v>
      </c>
      <c r="F164" s="55">
        <v>157164.88</v>
      </c>
      <c r="G164" s="55"/>
      <c r="H164" s="56">
        <f t="shared" si="8"/>
        <v>157164.88</v>
      </c>
      <c r="I164" s="53">
        <v>89.9</v>
      </c>
      <c r="J164" s="55">
        <f t="shared" si="9"/>
        <v>1748.22</v>
      </c>
      <c r="K164" s="55">
        <f t="shared" si="10"/>
        <v>500.20649267982179</v>
      </c>
      <c r="L164" s="56">
        <f t="shared" si="11"/>
        <v>4.97</v>
      </c>
      <c r="M164" s="54">
        <v>101</v>
      </c>
    </row>
    <row r="165" spans="1:13" ht="15" customHeight="1" x14ac:dyDescent="0.55000000000000004">
      <c r="A165" s="52" t="s">
        <v>516</v>
      </c>
      <c r="B165" s="28" t="s">
        <v>165</v>
      </c>
      <c r="C165" s="53">
        <v>255</v>
      </c>
      <c r="D165" s="54">
        <v>25507</v>
      </c>
      <c r="E165" s="54">
        <v>2404</v>
      </c>
      <c r="F165" s="55">
        <v>86125.48</v>
      </c>
      <c r="G165" s="55">
        <v>468.73</v>
      </c>
      <c r="H165" s="56">
        <f t="shared" si="8"/>
        <v>86594.209999999992</v>
      </c>
      <c r="I165" s="53">
        <v>103</v>
      </c>
      <c r="J165" s="55">
        <f t="shared" si="9"/>
        <v>840.72</v>
      </c>
      <c r="K165" s="55">
        <f t="shared" si="10"/>
        <v>339.58513725490195</v>
      </c>
      <c r="L165" s="56">
        <f t="shared" si="11"/>
        <v>3.39</v>
      </c>
      <c r="M165" s="54">
        <v>138</v>
      </c>
    </row>
    <row r="166" spans="1:13" ht="15" customHeight="1" x14ac:dyDescent="0.55000000000000004">
      <c r="A166" s="52" t="s">
        <v>515</v>
      </c>
      <c r="B166" s="28" t="s">
        <v>166</v>
      </c>
      <c r="C166" s="53">
        <v>615.29999999999995</v>
      </c>
      <c r="D166" s="54">
        <v>111268</v>
      </c>
      <c r="E166" s="54">
        <v>17879</v>
      </c>
      <c r="F166" s="55">
        <v>379998.55</v>
      </c>
      <c r="G166" s="55">
        <v>10998.45</v>
      </c>
      <c r="H166" s="56">
        <f t="shared" si="8"/>
        <v>390997</v>
      </c>
      <c r="I166" s="53">
        <v>225</v>
      </c>
      <c r="J166" s="55">
        <f t="shared" si="9"/>
        <v>1737.76</v>
      </c>
      <c r="K166" s="55">
        <f t="shared" si="10"/>
        <v>635.45750040630594</v>
      </c>
      <c r="L166" s="56">
        <f t="shared" si="11"/>
        <v>3.51</v>
      </c>
      <c r="M166" s="54">
        <v>118</v>
      </c>
    </row>
    <row r="167" spans="1:13" ht="15" customHeight="1" x14ac:dyDescent="0.55000000000000004">
      <c r="A167" s="52" t="s">
        <v>514</v>
      </c>
      <c r="B167" s="28" t="s">
        <v>167</v>
      </c>
      <c r="C167" s="53">
        <v>2254.3000000000002</v>
      </c>
      <c r="D167" s="54">
        <v>168195</v>
      </c>
      <c r="E167" s="54">
        <v>58929</v>
      </c>
      <c r="F167" s="55">
        <v>676827.75</v>
      </c>
      <c r="G167" s="55">
        <v>10579</v>
      </c>
      <c r="H167" s="56">
        <f t="shared" si="8"/>
        <v>687406.75</v>
      </c>
      <c r="I167" s="53">
        <v>1172.5</v>
      </c>
      <c r="J167" s="55">
        <f t="shared" si="9"/>
        <v>586.27</v>
      </c>
      <c r="K167" s="55">
        <f t="shared" si="10"/>
        <v>304.93135341347642</v>
      </c>
      <c r="L167" s="56">
        <f t="shared" si="11"/>
        <v>4.09</v>
      </c>
      <c r="M167" s="54">
        <v>265</v>
      </c>
    </row>
    <row r="168" spans="1:13" ht="15" customHeight="1" x14ac:dyDescent="0.55000000000000004">
      <c r="A168" s="52" t="s">
        <v>513</v>
      </c>
      <c r="B168" s="28" t="s">
        <v>168</v>
      </c>
      <c r="C168" s="53">
        <v>447.7</v>
      </c>
      <c r="D168" s="54">
        <v>42565</v>
      </c>
      <c r="E168" s="54">
        <v>12391</v>
      </c>
      <c r="F168" s="55">
        <v>122846.23</v>
      </c>
      <c r="G168" s="55"/>
      <c r="H168" s="56">
        <f t="shared" si="8"/>
        <v>122846.23</v>
      </c>
      <c r="I168" s="53">
        <v>337.9</v>
      </c>
      <c r="J168" s="55">
        <f t="shared" si="9"/>
        <v>363.56</v>
      </c>
      <c r="K168" s="55">
        <f t="shared" si="10"/>
        <v>274.3940808577172</v>
      </c>
      <c r="L168" s="56">
        <f t="shared" si="11"/>
        <v>2.89</v>
      </c>
      <c r="M168" s="54">
        <v>155</v>
      </c>
    </row>
    <row r="169" spans="1:13" ht="15" customHeight="1" x14ac:dyDescent="0.55000000000000004">
      <c r="A169" s="52" t="s">
        <v>512</v>
      </c>
      <c r="B169" s="28" t="s">
        <v>169</v>
      </c>
      <c r="C169" s="53">
        <v>2542.8000000000002</v>
      </c>
      <c r="D169" s="54">
        <v>226729</v>
      </c>
      <c r="E169" s="54">
        <v>81052</v>
      </c>
      <c r="F169" s="55">
        <v>994239.53</v>
      </c>
      <c r="G169" s="55">
        <v>38821.01</v>
      </c>
      <c r="H169" s="56">
        <f t="shared" si="8"/>
        <v>1033060.54</v>
      </c>
      <c r="I169" s="53">
        <v>2213.9</v>
      </c>
      <c r="J169" s="55">
        <f t="shared" si="9"/>
        <v>466.62</v>
      </c>
      <c r="K169" s="55">
        <f t="shared" si="10"/>
        <v>406.26889255938335</v>
      </c>
      <c r="L169" s="56">
        <f t="shared" si="11"/>
        <v>4.5599999999999996</v>
      </c>
      <c r="M169" s="54">
        <v>64</v>
      </c>
    </row>
    <row r="170" spans="1:13" ht="15" customHeight="1" x14ac:dyDescent="0.55000000000000004">
      <c r="A170" s="52" t="s">
        <v>511</v>
      </c>
      <c r="B170" s="28" t="s">
        <v>170</v>
      </c>
      <c r="C170" s="53">
        <v>774.3</v>
      </c>
      <c r="D170" s="54">
        <v>229522</v>
      </c>
      <c r="E170" s="54">
        <v>95732</v>
      </c>
      <c r="F170" s="55">
        <v>321658.11</v>
      </c>
      <c r="G170" s="55">
        <v>414.71</v>
      </c>
      <c r="H170" s="56">
        <f t="shared" si="8"/>
        <v>322072.82</v>
      </c>
      <c r="I170" s="53">
        <v>593</v>
      </c>
      <c r="J170" s="55">
        <f t="shared" si="9"/>
        <v>543.12</v>
      </c>
      <c r="K170" s="55">
        <f t="shared" si="10"/>
        <v>415.95353222265277</v>
      </c>
      <c r="L170" s="56">
        <f t="shared" si="11"/>
        <v>1.4</v>
      </c>
      <c r="M170" s="54">
        <v>209</v>
      </c>
    </row>
    <row r="171" spans="1:13" ht="15" customHeight="1" x14ac:dyDescent="0.55000000000000004">
      <c r="A171" s="52" t="s">
        <v>510</v>
      </c>
      <c r="B171" s="28" t="s">
        <v>171</v>
      </c>
      <c r="C171" s="53">
        <v>7556.7</v>
      </c>
      <c r="D171" s="54">
        <v>352089</v>
      </c>
      <c r="E171" s="54">
        <v>126238</v>
      </c>
      <c r="F171" s="55">
        <v>1984416.74</v>
      </c>
      <c r="G171" s="55">
        <v>103774.07</v>
      </c>
      <c r="H171" s="56">
        <f t="shared" si="8"/>
        <v>2088190.81</v>
      </c>
      <c r="I171" s="53">
        <v>3649.3</v>
      </c>
      <c r="J171" s="55">
        <f t="shared" si="9"/>
        <v>572.22</v>
      </c>
      <c r="K171" s="55">
        <f t="shared" si="10"/>
        <v>276.33633861341593</v>
      </c>
      <c r="L171" s="56">
        <f t="shared" si="11"/>
        <v>5.93</v>
      </c>
      <c r="M171" s="54">
        <v>63</v>
      </c>
    </row>
    <row r="172" spans="1:13" ht="15" customHeight="1" x14ac:dyDescent="0.55000000000000004">
      <c r="A172" s="52" t="s">
        <v>509</v>
      </c>
      <c r="B172" s="28" t="s">
        <v>172</v>
      </c>
      <c r="C172" s="53">
        <v>636.79999999999995</v>
      </c>
      <c r="D172" s="54">
        <v>48415</v>
      </c>
      <c r="E172" s="54">
        <v>13625</v>
      </c>
      <c r="F172" s="55">
        <v>185621.93</v>
      </c>
      <c r="G172" s="55">
        <v>2181.58</v>
      </c>
      <c r="H172" s="56">
        <f t="shared" si="8"/>
        <v>187803.50999999998</v>
      </c>
      <c r="I172" s="53">
        <v>191</v>
      </c>
      <c r="J172" s="55">
        <f t="shared" si="9"/>
        <v>983.26</v>
      </c>
      <c r="K172" s="55">
        <f t="shared" si="10"/>
        <v>294.91757223618089</v>
      </c>
      <c r="L172" s="56">
        <f t="shared" si="11"/>
        <v>3.88</v>
      </c>
      <c r="M172" s="54">
        <v>48</v>
      </c>
    </row>
    <row r="173" spans="1:13" ht="15" customHeight="1" x14ac:dyDescent="0.55000000000000004">
      <c r="A173" s="52" t="s">
        <v>508</v>
      </c>
      <c r="B173" s="28" t="s">
        <v>173</v>
      </c>
      <c r="C173" s="53">
        <v>565.1</v>
      </c>
      <c r="D173" s="54">
        <v>61537</v>
      </c>
      <c r="E173" s="54">
        <v>20524</v>
      </c>
      <c r="F173" s="55">
        <v>233456.16</v>
      </c>
      <c r="G173" s="55"/>
      <c r="H173" s="56">
        <f t="shared" si="8"/>
        <v>233456.16</v>
      </c>
      <c r="I173" s="53">
        <v>383</v>
      </c>
      <c r="J173" s="55">
        <f t="shared" si="9"/>
        <v>609.54999999999995</v>
      </c>
      <c r="K173" s="55">
        <f t="shared" si="10"/>
        <v>413.1236241373208</v>
      </c>
      <c r="L173" s="56">
        <f t="shared" si="11"/>
        <v>3.79</v>
      </c>
      <c r="M173" s="54">
        <v>115</v>
      </c>
    </row>
    <row r="174" spans="1:13" ht="15" customHeight="1" x14ac:dyDescent="0.55000000000000004">
      <c r="A174" s="52" t="s">
        <v>507</v>
      </c>
      <c r="B174" s="28" t="s">
        <v>174</v>
      </c>
      <c r="C174" s="53">
        <v>363.7</v>
      </c>
      <c r="D174" s="54">
        <v>34352</v>
      </c>
      <c r="E174" s="54">
        <v>18013</v>
      </c>
      <c r="F174" s="55">
        <v>115971.33</v>
      </c>
      <c r="G174" s="55">
        <v>937.46</v>
      </c>
      <c r="H174" s="56">
        <f t="shared" si="8"/>
        <v>116908.79000000001</v>
      </c>
      <c r="I174" s="53">
        <v>120</v>
      </c>
      <c r="J174" s="55">
        <f t="shared" si="9"/>
        <v>974.24</v>
      </c>
      <c r="K174" s="55">
        <f t="shared" si="10"/>
        <v>321.44291998900195</v>
      </c>
      <c r="L174" s="56">
        <f t="shared" si="11"/>
        <v>3.4</v>
      </c>
      <c r="M174" s="54">
        <v>96</v>
      </c>
    </row>
    <row r="175" spans="1:13" ht="15" customHeight="1" x14ac:dyDescent="0.55000000000000004">
      <c r="A175" s="52" t="s">
        <v>506</v>
      </c>
      <c r="B175" s="28" t="s">
        <v>175</v>
      </c>
      <c r="C175" s="53">
        <v>711.7</v>
      </c>
      <c r="D175" s="54">
        <v>96376</v>
      </c>
      <c r="E175" s="54">
        <v>24265</v>
      </c>
      <c r="F175" s="55">
        <v>440882.94</v>
      </c>
      <c r="G175" s="55"/>
      <c r="H175" s="56">
        <f t="shared" si="8"/>
        <v>440882.94</v>
      </c>
      <c r="I175" s="53">
        <v>668</v>
      </c>
      <c r="J175" s="55">
        <f t="shared" si="9"/>
        <v>660</v>
      </c>
      <c r="K175" s="55">
        <f t="shared" si="10"/>
        <v>619.47862863566104</v>
      </c>
      <c r="L175" s="56">
        <f t="shared" si="11"/>
        <v>4.57</v>
      </c>
      <c r="M175" s="54">
        <v>110</v>
      </c>
    </row>
    <row r="176" spans="1:13" ht="15" customHeight="1" x14ac:dyDescent="0.55000000000000004">
      <c r="A176" s="52" t="s">
        <v>505</v>
      </c>
      <c r="B176" s="28" t="s">
        <v>176</v>
      </c>
      <c r="C176" s="53">
        <v>164.1</v>
      </c>
      <c r="D176" s="54">
        <v>38236</v>
      </c>
      <c r="E176" s="54">
        <v>7098</v>
      </c>
      <c r="F176" s="55">
        <v>119842.44</v>
      </c>
      <c r="G176" s="55">
        <v>1712.85</v>
      </c>
      <c r="H176" s="56">
        <f t="shared" si="8"/>
        <v>121555.29000000001</v>
      </c>
      <c r="I176" s="53">
        <v>97.9</v>
      </c>
      <c r="J176" s="55">
        <f t="shared" si="9"/>
        <v>1241.6300000000001</v>
      </c>
      <c r="K176" s="55">
        <f t="shared" si="10"/>
        <v>740.73912248628892</v>
      </c>
      <c r="L176" s="56">
        <f t="shared" si="11"/>
        <v>3.18</v>
      </c>
      <c r="M176" s="54">
        <v>104</v>
      </c>
    </row>
    <row r="177" spans="1:13" ht="15" customHeight="1" x14ac:dyDescent="0.55000000000000004">
      <c r="A177" s="52" t="s">
        <v>504</v>
      </c>
      <c r="B177" s="28" t="s">
        <v>177</v>
      </c>
      <c r="C177" s="53">
        <v>463.3</v>
      </c>
      <c r="D177" s="54">
        <v>58261</v>
      </c>
      <c r="E177" s="54">
        <v>24595</v>
      </c>
      <c r="F177" s="55">
        <v>190656.51</v>
      </c>
      <c r="G177" s="55">
        <v>27750.7</v>
      </c>
      <c r="H177" s="56">
        <f t="shared" si="8"/>
        <v>218407.21000000002</v>
      </c>
      <c r="I177" s="53">
        <v>228</v>
      </c>
      <c r="J177" s="55">
        <f t="shared" si="9"/>
        <v>957.93</v>
      </c>
      <c r="K177" s="55">
        <f t="shared" si="10"/>
        <v>471.41638247355928</v>
      </c>
      <c r="L177" s="56">
        <f t="shared" si="11"/>
        <v>3.75</v>
      </c>
      <c r="M177" s="54">
        <v>143</v>
      </c>
    </row>
    <row r="178" spans="1:13" ht="15" customHeight="1" x14ac:dyDescent="0.55000000000000004">
      <c r="A178" s="52" t="s">
        <v>503</v>
      </c>
      <c r="B178" s="28" t="s">
        <v>178</v>
      </c>
      <c r="C178" s="53">
        <v>662.3</v>
      </c>
      <c r="D178" s="54">
        <v>25965</v>
      </c>
      <c r="E178" s="54">
        <v>16958</v>
      </c>
      <c r="F178" s="55">
        <v>152144.62</v>
      </c>
      <c r="G178" s="55">
        <v>1406.19</v>
      </c>
      <c r="H178" s="56">
        <f t="shared" si="8"/>
        <v>153550.81</v>
      </c>
      <c r="I178" s="53">
        <v>151</v>
      </c>
      <c r="J178" s="55">
        <f t="shared" si="9"/>
        <v>1016.89</v>
      </c>
      <c r="K178" s="55">
        <f t="shared" si="10"/>
        <v>231.84479842971464</v>
      </c>
      <c r="L178" s="56">
        <f t="shared" si="11"/>
        <v>5.91</v>
      </c>
      <c r="M178" s="54">
        <v>43</v>
      </c>
    </row>
    <row r="179" spans="1:13" ht="15" customHeight="1" x14ac:dyDescent="0.55000000000000004">
      <c r="A179" s="52" t="s">
        <v>502</v>
      </c>
      <c r="B179" s="28" t="s">
        <v>331</v>
      </c>
      <c r="C179" s="53">
        <v>552</v>
      </c>
      <c r="D179" s="54">
        <v>100957</v>
      </c>
      <c r="E179" s="54">
        <v>13880</v>
      </c>
      <c r="F179" s="55">
        <v>389956.57</v>
      </c>
      <c r="G179" s="55"/>
      <c r="H179" s="56">
        <f t="shared" si="8"/>
        <v>389956.57</v>
      </c>
      <c r="I179" s="53">
        <v>311.60000000000002</v>
      </c>
      <c r="J179" s="55">
        <f t="shared" si="9"/>
        <v>1251.47</v>
      </c>
      <c r="K179" s="55">
        <f t="shared" si="10"/>
        <v>706.44306159420296</v>
      </c>
      <c r="L179" s="56">
        <f t="shared" si="11"/>
        <v>3.86</v>
      </c>
      <c r="M179" s="54">
        <v>225</v>
      </c>
    </row>
    <row r="180" spans="1:13" ht="15" customHeight="1" x14ac:dyDescent="0.55000000000000004">
      <c r="A180" s="52" t="s">
        <v>501</v>
      </c>
      <c r="B180" s="28" t="s">
        <v>179</v>
      </c>
      <c r="C180" s="53">
        <v>655.20000000000005</v>
      </c>
      <c r="D180" s="54">
        <v>184129</v>
      </c>
      <c r="E180" s="54">
        <v>7851</v>
      </c>
      <c r="F180" s="55">
        <v>556142.94999999995</v>
      </c>
      <c r="G180" s="55">
        <v>20635.599999999999</v>
      </c>
      <c r="H180" s="56">
        <f t="shared" si="8"/>
        <v>576778.54999999993</v>
      </c>
      <c r="I180" s="53">
        <v>326.7</v>
      </c>
      <c r="J180" s="55">
        <f t="shared" si="9"/>
        <v>1765.47</v>
      </c>
      <c r="K180" s="55">
        <f t="shared" si="10"/>
        <v>880.30914224664207</v>
      </c>
      <c r="L180" s="56">
        <f t="shared" si="11"/>
        <v>3.13</v>
      </c>
      <c r="M180" s="54">
        <v>218</v>
      </c>
    </row>
    <row r="181" spans="1:13" ht="15" customHeight="1" x14ac:dyDescent="0.55000000000000004">
      <c r="A181" s="52" t="s">
        <v>500</v>
      </c>
      <c r="B181" s="28" t="s">
        <v>337</v>
      </c>
      <c r="C181" s="53">
        <v>613.79999999999995</v>
      </c>
      <c r="D181" s="54">
        <v>115118</v>
      </c>
      <c r="E181" s="54">
        <v>14435</v>
      </c>
      <c r="F181" s="55">
        <v>462214.68</v>
      </c>
      <c r="G181" s="55">
        <v>15601.21</v>
      </c>
      <c r="H181" s="56">
        <f t="shared" si="8"/>
        <v>477815.89</v>
      </c>
      <c r="I181" s="53">
        <v>234</v>
      </c>
      <c r="J181" s="55">
        <f t="shared" si="9"/>
        <v>2041.95</v>
      </c>
      <c r="K181" s="55">
        <f t="shared" si="10"/>
        <v>778.45534376018259</v>
      </c>
      <c r="L181" s="56">
        <f t="shared" si="11"/>
        <v>4.1500000000000004</v>
      </c>
      <c r="M181" s="54">
        <v>375</v>
      </c>
    </row>
    <row r="182" spans="1:13" ht="15" customHeight="1" x14ac:dyDescent="0.55000000000000004">
      <c r="A182" s="52" t="s">
        <v>499</v>
      </c>
      <c r="B182" s="28" t="s">
        <v>180</v>
      </c>
      <c r="C182" s="53">
        <v>1305.3</v>
      </c>
      <c r="D182" s="54">
        <v>146138</v>
      </c>
      <c r="E182" s="54">
        <v>48641</v>
      </c>
      <c r="F182" s="55">
        <v>457544.63</v>
      </c>
      <c r="G182" s="55">
        <v>2704.34</v>
      </c>
      <c r="H182" s="56">
        <f t="shared" si="8"/>
        <v>460248.97000000003</v>
      </c>
      <c r="I182" s="53">
        <v>361.9</v>
      </c>
      <c r="J182" s="55">
        <f t="shared" si="9"/>
        <v>1271.76</v>
      </c>
      <c r="K182" s="55">
        <f t="shared" si="10"/>
        <v>352.60014556040761</v>
      </c>
      <c r="L182" s="56">
        <f t="shared" si="11"/>
        <v>3.15</v>
      </c>
      <c r="M182" s="54">
        <v>172</v>
      </c>
    </row>
    <row r="183" spans="1:13" ht="15" customHeight="1" x14ac:dyDescent="0.55000000000000004">
      <c r="A183" s="52" t="s">
        <v>498</v>
      </c>
      <c r="B183" s="28" t="s">
        <v>181</v>
      </c>
      <c r="C183" s="53">
        <v>699.4</v>
      </c>
      <c r="D183" s="54">
        <v>109784</v>
      </c>
      <c r="E183" s="54">
        <v>10021</v>
      </c>
      <c r="F183" s="55">
        <v>351717.37</v>
      </c>
      <c r="G183" s="55">
        <v>7067.5</v>
      </c>
      <c r="H183" s="56">
        <f t="shared" si="8"/>
        <v>358784.87</v>
      </c>
      <c r="I183" s="53">
        <v>435.7</v>
      </c>
      <c r="J183" s="55">
        <f t="shared" si="9"/>
        <v>823.47</v>
      </c>
      <c r="K183" s="55">
        <f t="shared" si="10"/>
        <v>512.98951958821851</v>
      </c>
      <c r="L183" s="56">
        <f t="shared" si="11"/>
        <v>3.27</v>
      </c>
      <c r="M183" s="54">
        <v>178</v>
      </c>
    </row>
    <row r="184" spans="1:13" ht="15" customHeight="1" x14ac:dyDescent="0.55000000000000004">
      <c r="A184" s="52" t="s">
        <v>497</v>
      </c>
      <c r="B184" s="28" t="s">
        <v>182</v>
      </c>
      <c r="C184" s="53">
        <v>421.3</v>
      </c>
      <c r="D184" s="54">
        <v>77459</v>
      </c>
      <c r="E184" s="54">
        <v>12720</v>
      </c>
      <c r="F184" s="55">
        <v>196835.38</v>
      </c>
      <c r="G184" s="55">
        <v>3690.52</v>
      </c>
      <c r="H184" s="56">
        <f t="shared" si="8"/>
        <v>200525.9</v>
      </c>
      <c r="I184" s="53">
        <v>202</v>
      </c>
      <c r="J184" s="55">
        <f t="shared" si="9"/>
        <v>992.7</v>
      </c>
      <c r="K184" s="55">
        <f t="shared" si="10"/>
        <v>475.96938048896271</v>
      </c>
      <c r="L184" s="56">
        <f t="shared" si="11"/>
        <v>2.59</v>
      </c>
      <c r="M184" s="54">
        <v>233</v>
      </c>
    </row>
    <row r="185" spans="1:13" ht="15" customHeight="1" x14ac:dyDescent="0.55000000000000004">
      <c r="A185" s="52" t="s">
        <v>496</v>
      </c>
      <c r="B185" s="28" t="s">
        <v>183</v>
      </c>
      <c r="C185" s="53">
        <v>1931.9</v>
      </c>
      <c r="D185" s="54">
        <v>58009</v>
      </c>
      <c r="E185" s="54">
        <v>34913</v>
      </c>
      <c r="F185" s="55">
        <v>281578.45</v>
      </c>
      <c r="G185" s="55">
        <v>18561.95</v>
      </c>
      <c r="H185" s="56">
        <f t="shared" si="8"/>
        <v>300140.40000000002</v>
      </c>
      <c r="I185" s="53">
        <v>493</v>
      </c>
      <c r="J185" s="55">
        <f t="shared" si="9"/>
        <v>608.79999999999995</v>
      </c>
      <c r="K185" s="55">
        <f t="shared" si="10"/>
        <v>155.36021533205653</v>
      </c>
      <c r="L185" s="56">
        <f t="shared" si="11"/>
        <v>5.17</v>
      </c>
      <c r="M185" s="54">
        <v>4</v>
      </c>
    </row>
    <row r="186" spans="1:13" ht="15" customHeight="1" x14ac:dyDescent="0.55000000000000004">
      <c r="A186" s="52" t="s">
        <v>495</v>
      </c>
      <c r="B186" s="28" t="s">
        <v>184</v>
      </c>
      <c r="C186" s="53">
        <v>5360.9000000000005</v>
      </c>
      <c r="D186" s="54">
        <v>172975</v>
      </c>
      <c r="E186" s="54">
        <v>114322</v>
      </c>
      <c r="F186" s="55">
        <v>1353636.6</v>
      </c>
      <c r="G186" s="55">
        <v>22732.34</v>
      </c>
      <c r="H186" s="56">
        <f t="shared" si="8"/>
        <v>1376368.9400000002</v>
      </c>
      <c r="I186" s="53">
        <v>1415.9</v>
      </c>
      <c r="J186" s="55">
        <f t="shared" si="9"/>
        <v>972.08</v>
      </c>
      <c r="K186" s="55">
        <f t="shared" si="10"/>
        <v>256.74214031226103</v>
      </c>
      <c r="L186" s="56">
        <f t="shared" si="11"/>
        <v>7.96</v>
      </c>
      <c r="M186" s="54">
        <v>144</v>
      </c>
    </row>
    <row r="187" spans="1:13" ht="15" customHeight="1" x14ac:dyDescent="0.55000000000000004">
      <c r="A187" s="52" t="s">
        <v>494</v>
      </c>
      <c r="B187" s="28" t="s">
        <v>185</v>
      </c>
      <c r="C187" s="53">
        <v>516.70000000000005</v>
      </c>
      <c r="D187" s="54">
        <v>63750</v>
      </c>
      <c r="E187" s="54">
        <v>23590</v>
      </c>
      <c r="F187" s="55">
        <v>224700.59</v>
      </c>
      <c r="G187" s="55">
        <v>10223.06</v>
      </c>
      <c r="H187" s="56">
        <f t="shared" si="8"/>
        <v>234923.65</v>
      </c>
      <c r="I187" s="53">
        <v>340</v>
      </c>
      <c r="J187" s="55">
        <f t="shared" si="9"/>
        <v>690.95</v>
      </c>
      <c r="K187" s="55">
        <f t="shared" si="10"/>
        <v>454.66160247725946</v>
      </c>
      <c r="L187" s="56">
        <f t="shared" si="11"/>
        <v>3.69</v>
      </c>
      <c r="M187" s="54">
        <v>75</v>
      </c>
    </row>
    <row r="188" spans="1:13" ht="15" customHeight="1" x14ac:dyDescent="0.55000000000000004">
      <c r="A188" s="52" t="s">
        <v>493</v>
      </c>
      <c r="B188" s="28" t="s">
        <v>186</v>
      </c>
      <c r="C188" s="53">
        <v>3587.5</v>
      </c>
      <c r="D188" s="54">
        <v>212625</v>
      </c>
      <c r="E188" s="54">
        <v>166528</v>
      </c>
      <c r="F188" s="55">
        <v>1142319.8</v>
      </c>
      <c r="G188" s="55">
        <v>70058.33</v>
      </c>
      <c r="H188" s="56">
        <f t="shared" si="8"/>
        <v>1212378.1300000001</v>
      </c>
      <c r="I188" s="53">
        <v>2539</v>
      </c>
      <c r="J188" s="55">
        <f t="shared" si="9"/>
        <v>477.5</v>
      </c>
      <c r="K188" s="55">
        <f t="shared" si="10"/>
        <v>337.94512334494777</v>
      </c>
      <c r="L188" s="56">
        <f t="shared" si="11"/>
        <v>5.7</v>
      </c>
      <c r="M188" s="54">
        <v>95</v>
      </c>
    </row>
    <row r="189" spans="1:13" ht="15" customHeight="1" x14ac:dyDescent="0.55000000000000004">
      <c r="A189" s="52" t="s">
        <v>492</v>
      </c>
      <c r="B189" s="28" t="s">
        <v>187</v>
      </c>
      <c r="C189" s="53">
        <v>1447.1</v>
      </c>
      <c r="D189" s="54">
        <v>132369</v>
      </c>
      <c r="E189" s="54">
        <v>42410</v>
      </c>
      <c r="F189" s="55">
        <v>322409.90000000002</v>
      </c>
      <c r="G189" s="55">
        <v>93001.23</v>
      </c>
      <c r="H189" s="56">
        <f t="shared" si="8"/>
        <v>415411.13</v>
      </c>
      <c r="I189" s="53">
        <v>887.9</v>
      </c>
      <c r="J189" s="55">
        <f t="shared" si="9"/>
        <v>467.86</v>
      </c>
      <c r="K189" s="55">
        <f t="shared" si="10"/>
        <v>287.06456360997862</v>
      </c>
      <c r="L189" s="56">
        <f t="shared" si="11"/>
        <v>3.14</v>
      </c>
      <c r="M189" s="54">
        <v>231</v>
      </c>
    </row>
    <row r="190" spans="1:13" ht="15" customHeight="1" x14ac:dyDescent="0.55000000000000004">
      <c r="A190" s="52" t="s">
        <v>491</v>
      </c>
      <c r="B190" s="28" t="s">
        <v>188</v>
      </c>
      <c r="C190" s="53">
        <v>807.6</v>
      </c>
      <c r="D190" s="54">
        <v>136716</v>
      </c>
      <c r="E190" s="54">
        <v>19932</v>
      </c>
      <c r="F190" s="55">
        <v>527202.44999999995</v>
      </c>
      <c r="G190" s="55">
        <v>468.73</v>
      </c>
      <c r="H190" s="56">
        <f t="shared" si="8"/>
        <v>527671.17999999993</v>
      </c>
      <c r="I190" s="53">
        <v>609.4</v>
      </c>
      <c r="J190" s="55">
        <f t="shared" si="9"/>
        <v>865.89</v>
      </c>
      <c r="K190" s="55">
        <f t="shared" si="10"/>
        <v>653.38184744923217</v>
      </c>
      <c r="L190" s="56">
        <f t="shared" si="11"/>
        <v>3.86</v>
      </c>
      <c r="M190" s="54">
        <v>220</v>
      </c>
    </row>
    <row r="191" spans="1:13" ht="15" customHeight="1" x14ac:dyDescent="0.55000000000000004">
      <c r="A191" s="52" t="s">
        <v>490</v>
      </c>
      <c r="B191" s="28" t="s">
        <v>189</v>
      </c>
      <c r="C191" s="53">
        <v>345.1</v>
      </c>
      <c r="D191" s="54">
        <v>31417</v>
      </c>
      <c r="E191" s="54">
        <v>13575</v>
      </c>
      <c r="F191" s="55">
        <v>97185.9</v>
      </c>
      <c r="G191" s="55"/>
      <c r="H191" s="56">
        <f t="shared" si="8"/>
        <v>97185.9</v>
      </c>
      <c r="I191" s="53">
        <v>213.9</v>
      </c>
      <c r="J191" s="55">
        <f t="shared" si="9"/>
        <v>454.35</v>
      </c>
      <c r="K191" s="55">
        <f t="shared" si="10"/>
        <v>281.61663286004051</v>
      </c>
      <c r="L191" s="56">
        <f t="shared" si="11"/>
        <v>3.09</v>
      </c>
      <c r="M191" s="54">
        <v>80</v>
      </c>
    </row>
    <row r="192" spans="1:13" ht="15" customHeight="1" x14ac:dyDescent="0.55000000000000004">
      <c r="A192" s="52" t="s">
        <v>489</v>
      </c>
      <c r="B192" s="28" t="s">
        <v>190</v>
      </c>
      <c r="C192" s="53">
        <v>535.5</v>
      </c>
      <c r="D192" s="54">
        <v>119627</v>
      </c>
      <c r="E192" s="54">
        <v>15132</v>
      </c>
      <c r="F192" s="55">
        <v>424649.53</v>
      </c>
      <c r="G192" s="55">
        <v>1563</v>
      </c>
      <c r="H192" s="56">
        <f t="shared" si="8"/>
        <v>426212.53</v>
      </c>
      <c r="I192" s="53">
        <v>441.7</v>
      </c>
      <c r="J192" s="55">
        <f t="shared" si="9"/>
        <v>964.94</v>
      </c>
      <c r="K192" s="55">
        <f t="shared" si="10"/>
        <v>795.91508870214761</v>
      </c>
      <c r="L192" s="56">
        <f t="shared" si="11"/>
        <v>3.56</v>
      </c>
      <c r="M192" s="54">
        <v>215</v>
      </c>
    </row>
    <row r="193" spans="1:13" ht="15" customHeight="1" x14ac:dyDescent="0.55000000000000004">
      <c r="A193" s="52" t="s">
        <v>488</v>
      </c>
      <c r="B193" s="28" t="s">
        <v>191</v>
      </c>
      <c r="C193" s="53">
        <v>1259</v>
      </c>
      <c r="D193" s="54">
        <v>197209</v>
      </c>
      <c r="E193" s="54">
        <v>60158</v>
      </c>
      <c r="F193" s="55">
        <v>676385.06</v>
      </c>
      <c r="G193" s="55">
        <v>447.84</v>
      </c>
      <c r="H193" s="56">
        <f t="shared" si="8"/>
        <v>676832.9</v>
      </c>
      <c r="I193" s="53">
        <v>538</v>
      </c>
      <c r="J193" s="55">
        <f t="shared" si="9"/>
        <v>1258.05</v>
      </c>
      <c r="K193" s="55">
        <f t="shared" si="10"/>
        <v>537.59563145353457</v>
      </c>
      <c r="L193" s="56">
        <f t="shared" si="11"/>
        <v>3.43</v>
      </c>
      <c r="M193" s="54">
        <v>237</v>
      </c>
    </row>
    <row r="194" spans="1:13" ht="15" customHeight="1" x14ac:dyDescent="0.55000000000000004">
      <c r="A194" s="52" t="s">
        <v>487</v>
      </c>
      <c r="B194" s="28" t="s">
        <v>192</v>
      </c>
      <c r="C194" s="53">
        <v>809.3</v>
      </c>
      <c r="D194" s="54">
        <v>59492</v>
      </c>
      <c r="E194" s="54">
        <v>23459</v>
      </c>
      <c r="F194" s="55">
        <v>304326.38</v>
      </c>
      <c r="G194" s="55">
        <v>414.71</v>
      </c>
      <c r="H194" s="56">
        <f t="shared" si="8"/>
        <v>304741.09000000003</v>
      </c>
      <c r="I194" s="53">
        <v>347.9</v>
      </c>
      <c r="J194" s="55">
        <f t="shared" si="9"/>
        <v>875.94</v>
      </c>
      <c r="K194" s="55">
        <f t="shared" si="10"/>
        <v>376.54898060051903</v>
      </c>
      <c r="L194" s="56">
        <f t="shared" si="11"/>
        <v>5.12</v>
      </c>
      <c r="M194" s="54">
        <v>149</v>
      </c>
    </row>
    <row r="195" spans="1:13" ht="15" customHeight="1" x14ac:dyDescent="0.55000000000000004">
      <c r="A195" s="52" t="s">
        <v>486</v>
      </c>
      <c r="B195" s="28" t="s">
        <v>193</v>
      </c>
      <c r="C195" s="53">
        <v>772.1</v>
      </c>
      <c r="D195" s="54">
        <v>134838</v>
      </c>
      <c r="E195" s="54">
        <v>14800</v>
      </c>
      <c r="F195" s="55">
        <v>461777.91999999998</v>
      </c>
      <c r="G195" s="55"/>
      <c r="H195" s="56">
        <f t="shared" si="8"/>
        <v>461777.91999999998</v>
      </c>
      <c r="I195" s="53">
        <v>415.2</v>
      </c>
      <c r="J195" s="55">
        <f t="shared" si="9"/>
        <v>1112.18</v>
      </c>
      <c r="K195" s="55">
        <f t="shared" si="10"/>
        <v>598.08045589949484</v>
      </c>
      <c r="L195" s="56">
        <f t="shared" si="11"/>
        <v>3.42</v>
      </c>
      <c r="M195" s="54">
        <v>166</v>
      </c>
    </row>
    <row r="196" spans="1:13" ht="15" customHeight="1" x14ac:dyDescent="0.55000000000000004">
      <c r="A196" s="52" t="s">
        <v>485</v>
      </c>
      <c r="B196" s="28" t="s">
        <v>194</v>
      </c>
      <c r="C196" s="53">
        <v>487.4</v>
      </c>
      <c r="D196" s="54">
        <v>43086</v>
      </c>
      <c r="E196" s="54">
        <v>14608</v>
      </c>
      <c r="F196" s="55">
        <v>157772.16</v>
      </c>
      <c r="G196" s="55">
        <v>1298.1400000000001</v>
      </c>
      <c r="H196" s="56">
        <f t="shared" si="8"/>
        <v>159070.30000000002</v>
      </c>
      <c r="I196" s="53">
        <v>253</v>
      </c>
      <c r="J196" s="55">
        <f t="shared" si="9"/>
        <v>628.74</v>
      </c>
      <c r="K196" s="55">
        <f t="shared" si="10"/>
        <v>326.36499794829712</v>
      </c>
      <c r="L196" s="56">
        <f t="shared" si="11"/>
        <v>3.69</v>
      </c>
      <c r="M196" s="54">
        <v>140</v>
      </c>
    </row>
    <row r="197" spans="1:13" ht="15" customHeight="1" x14ac:dyDescent="0.55000000000000004">
      <c r="A197" s="52" t="s">
        <v>484</v>
      </c>
      <c r="B197" s="28" t="s">
        <v>195</v>
      </c>
      <c r="C197" s="53">
        <v>959</v>
      </c>
      <c r="D197" s="54">
        <v>112885</v>
      </c>
      <c r="E197" s="54">
        <v>24288</v>
      </c>
      <c r="F197" s="55">
        <v>357579.77</v>
      </c>
      <c r="G197" s="55"/>
      <c r="H197" s="56">
        <f t="shared" si="8"/>
        <v>357579.77</v>
      </c>
      <c r="I197" s="53">
        <v>555</v>
      </c>
      <c r="J197" s="55">
        <f t="shared" si="9"/>
        <v>644.29</v>
      </c>
      <c r="K197" s="55">
        <f t="shared" si="10"/>
        <v>372.86733055265904</v>
      </c>
      <c r="L197" s="56">
        <f t="shared" si="11"/>
        <v>3.17</v>
      </c>
      <c r="M197" s="54">
        <v>190</v>
      </c>
    </row>
    <row r="198" spans="1:13" ht="15" customHeight="1" x14ac:dyDescent="0.55000000000000004">
      <c r="A198" s="52" t="s">
        <v>483</v>
      </c>
      <c r="B198" s="28" t="s">
        <v>196</v>
      </c>
      <c r="C198" s="53">
        <v>351</v>
      </c>
      <c r="D198" s="54">
        <v>52738</v>
      </c>
      <c r="E198" s="54">
        <v>21966</v>
      </c>
      <c r="F198" s="55">
        <v>148117.85</v>
      </c>
      <c r="G198" s="55"/>
      <c r="H198" s="56">
        <f t="shared" si="8"/>
        <v>148117.85</v>
      </c>
      <c r="I198" s="53">
        <v>243</v>
      </c>
      <c r="J198" s="55">
        <f t="shared" si="9"/>
        <v>609.54</v>
      </c>
      <c r="K198" s="55">
        <f t="shared" si="10"/>
        <v>421.98817663817664</v>
      </c>
      <c r="L198" s="56">
        <f t="shared" si="11"/>
        <v>2.81</v>
      </c>
      <c r="M198" s="54">
        <v>160</v>
      </c>
    </row>
    <row r="199" spans="1:13" ht="15" customHeight="1" x14ac:dyDescent="0.55000000000000004">
      <c r="A199" s="52" t="s">
        <v>482</v>
      </c>
      <c r="B199" s="28" t="s">
        <v>197</v>
      </c>
      <c r="C199" s="53">
        <v>249.1</v>
      </c>
      <c r="D199" s="54">
        <v>56553</v>
      </c>
      <c r="E199" s="54">
        <v>10418</v>
      </c>
      <c r="F199" s="55">
        <v>127495.72</v>
      </c>
      <c r="G199" s="55"/>
      <c r="H199" s="56">
        <f t="shared" ref="H199:H262" si="12">F199+G199</f>
        <v>127495.72</v>
      </c>
      <c r="I199" s="53">
        <v>174.9</v>
      </c>
      <c r="J199" s="55">
        <f t="shared" ref="J199:J262" si="13">ROUND((H199/I199),2)</f>
        <v>728.96</v>
      </c>
      <c r="K199" s="55">
        <f t="shared" ref="K199:K262" si="14">H199/C199</f>
        <v>511.82545162585308</v>
      </c>
      <c r="L199" s="56">
        <f t="shared" ref="L199:L262" si="15">ROUND((H199/D199),2)</f>
        <v>2.25</v>
      </c>
      <c r="M199" s="54">
        <v>204</v>
      </c>
    </row>
    <row r="200" spans="1:13" ht="15" customHeight="1" x14ac:dyDescent="0.55000000000000004">
      <c r="A200" s="52" t="s">
        <v>481</v>
      </c>
      <c r="B200" s="28" t="s">
        <v>198</v>
      </c>
      <c r="C200" s="53">
        <v>205.6</v>
      </c>
      <c r="D200" s="54">
        <v>20927</v>
      </c>
      <c r="E200" s="54">
        <v>1094</v>
      </c>
      <c r="F200" s="55">
        <v>46058.18</v>
      </c>
      <c r="G200" s="55"/>
      <c r="H200" s="56">
        <f t="shared" si="12"/>
        <v>46058.18</v>
      </c>
      <c r="I200" s="53">
        <v>25.6</v>
      </c>
      <c r="J200" s="55">
        <f t="shared" si="13"/>
        <v>1799.15</v>
      </c>
      <c r="K200" s="55">
        <f t="shared" si="14"/>
        <v>224.01838521400779</v>
      </c>
      <c r="L200" s="56">
        <f t="shared" si="15"/>
        <v>2.2000000000000002</v>
      </c>
      <c r="M200" s="54">
        <v>50</v>
      </c>
    </row>
    <row r="201" spans="1:13" ht="15" customHeight="1" x14ac:dyDescent="0.55000000000000004">
      <c r="A201" s="52" t="s">
        <v>480</v>
      </c>
      <c r="B201" s="28" t="s">
        <v>199</v>
      </c>
      <c r="C201" s="53">
        <v>219.3</v>
      </c>
      <c r="D201" s="54">
        <v>50374</v>
      </c>
      <c r="E201" s="54">
        <v>6784</v>
      </c>
      <c r="F201" s="55">
        <v>111863.97</v>
      </c>
      <c r="G201" s="55"/>
      <c r="H201" s="56">
        <f t="shared" si="12"/>
        <v>111863.97</v>
      </c>
      <c r="I201" s="53">
        <v>89</v>
      </c>
      <c r="J201" s="55">
        <f t="shared" si="13"/>
        <v>1256.9000000000001</v>
      </c>
      <c r="K201" s="55">
        <f t="shared" si="14"/>
        <v>510.09562243502052</v>
      </c>
      <c r="L201" s="56">
        <f t="shared" si="15"/>
        <v>2.2200000000000002</v>
      </c>
      <c r="M201" s="54">
        <v>178</v>
      </c>
    </row>
    <row r="202" spans="1:13" ht="15" customHeight="1" x14ac:dyDescent="0.55000000000000004">
      <c r="A202" s="52" t="s">
        <v>479</v>
      </c>
      <c r="B202" s="28" t="s">
        <v>200</v>
      </c>
      <c r="C202" s="53">
        <v>607.4</v>
      </c>
      <c r="D202" s="54">
        <v>115674</v>
      </c>
      <c r="E202" s="54">
        <v>18713</v>
      </c>
      <c r="F202" s="55">
        <v>363104.24</v>
      </c>
      <c r="G202" s="55">
        <v>468.73</v>
      </c>
      <c r="H202" s="56">
        <f t="shared" si="12"/>
        <v>363572.97</v>
      </c>
      <c r="I202" s="53">
        <v>320.10000000000002</v>
      </c>
      <c r="J202" s="55">
        <f t="shared" si="13"/>
        <v>1135.81</v>
      </c>
      <c r="K202" s="55">
        <f t="shared" si="14"/>
        <v>598.57255515311158</v>
      </c>
      <c r="L202" s="56">
        <f t="shared" si="15"/>
        <v>3.14</v>
      </c>
      <c r="M202" s="54">
        <v>420</v>
      </c>
    </row>
    <row r="203" spans="1:13" ht="15" customHeight="1" x14ac:dyDescent="0.55000000000000004">
      <c r="A203" s="52" t="s">
        <v>478</v>
      </c>
      <c r="B203" s="28" t="s">
        <v>201</v>
      </c>
      <c r="C203" s="53">
        <v>1922</v>
      </c>
      <c r="D203" s="54">
        <v>172750</v>
      </c>
      <c r="E203" s="54">
        <v>57700</v>
      </c>
      <c r="F203" s="55">
        <v>640021.56999999995</v>
      </c>
      <c r="G203" s="55">
        <v>1352.17</v>
      </c>
      <c r="H203" s="56">
        <f t="shared" si="12"/>
        <v>641373.74</v>
      </c>
      <c r="I203" s="53">
        <v>806.6</v>
      </c>
      <c r="J203" s="55">
        <f t="shared" si="13"/>
        <v>795.16</v>
      </c>
      <c r="K203" s="55">
        <f t="shared" si="14"/>
        <v>333.7012174817898</v>
      </c>
      <c r="L203" s="56">
        <f t="shared" si="15"/>
        <v>3.71</v>
      </c>
      <c r="M203" s="54">
        <v>303</v>
      </c>
    </row>
    <row r="204" spans="1:13" ht="15" customHeight="1" x14ac:dyDescent="0.55000000000000004">
      <c r="A204" s="52" t="s">
        <v>477</v>
      </c>
      <c r="B204" s="28" t="s">
        <v>202</v>
      </c>
      <c r="C204" s="53">
        <v>1121.8</v>
      </c>
      <c r="D204" s="54">
        <v>59364</v>
      </c>
      <c r="E204" s="54">
        <v>43536</v>
      </c>
      <c r="F204" s="55">
        <v>184679.85</v>
      </c>
      <c r="G204" s="55">
        <v>6428.32</v>
      </c>
      <c r="H204" s="56">
        <f t="shared" si="12"/>
        <v>191108.17</v>
      </c>
      <c r="I204" s="53">
        <v>390.2</v>
      </c>
      <c r="J204" s="55">
        <f t="shared" si="13"/>
        <v>489.77</v>
      </c>
      <c r="K204" s="55">
        <f t="shared" si="14"/>
        <v>170.35850418969514</v>
      </c>
      <c r="L204" s="56">
        <f t="shared" si="15"/>
        <v>3.22</v>
      </c>
      <c r="M204" s="54">
        <v>76</v>
      </c>
    </row>
    <row r="205" spans="1:13" ht="15" customHeight="1" x14ac:dyDescent="0.55000000000000004">
      <c r="A205" s="52" t="s">
        <v>476</v>
      </c>
      <c r="B205" s="28" t="s">
        <v>203</v>
      </c>
      <c r="C205" s="53">
        <v>243.2</v>
      </c>
      <c r="D205" s="54">
        <v>47966</v>
      </c>
      <c r="E205" s="54">
        <v>8251</v>
      </c>
      <c r="F205" s="55">
        <v>131467.41</v>
      </c>
      <c r="G205" s="55"/>
      <c r="H205" s="56">
        <f t="shared" si="12"/>
        <v>131467.41</v>
      </c>
      <c r="I205" s="53">
        <v>136.69999999999999</v>
      </c>
      <c r="J205" s="55">
        <f t="shared" si="13"/>
        <v>961.72</v>
      </c>
      <c r="K205" s="55">
        <f t="shared" si="14"/>
        <v>540.57323190789475</v>
      </c>
      <c r="L205" s="56">
        <f t="shared" si="15"/>
        <v>2.74</v>
      </c>
      <c r="M205" s="54">
        <v>134</v>
      </c>
    </row>
    <row r="206" spans="1:13" ht="15" customHeight="1" x14ac:dyDescent="0.55000000000000004">
      <c r="A206" s="52" t="s">
        <v>475</v>
      </c>
      <c r="B206" s="28" t="s">
        <v>204</v>
      </c>
      <c r="C206" s="53">
        <v>4894</v>
      </c>
      <c r="D206" s="54">
        <v>194466</v>
      </c>
      <c r="E206" s="54">
        <v>172211</v>
      </c>
      <c r="F206" s="55">
        <v>916947.37</v>
      </c>
      <c r="G206" s="55">
        <v>1352.16</v>
      </c>
      <c r="H206" s="56">
        <f t="shared" si="12"/>
        <v>918299.53</v>
      </c>
      <c r="I206" s="53">
        <v>1372.5</v>
      </c>
      <c r="J206" s="55">
        <f t="shared" si="13"/>
        <v>669.07</v>
      </c>
      <c r="K206" s="55">
        <f t="shared" si="14"/>
        <v>187.63782795259502</v>
      </c>
      <c r="L206" s="56">
        <f t="shared" si="15"/>
        <v>4.72</v>
      </c>
      <c r="M206" s="54">
        <v>229</v>
      </c>
    </row>
    <row r="207" spans="1:13" ht="15" customHeight="1" x14ac:dyDescent="0.55000000000000004">
      <c r="A207" s="52" t="s">
        <v>474</v>
      </c>
      <c r="B207" s="28" t="s">
        <v>205</v>
      </c>
      <c r="C207" s="53">
        <v>599.79999999999995</v>
      </c>
      <c r="D207" s="54">
        <v>94588</v>
      </c>
      <c r="E207" s="54">
        <v>18682</v>
      </c>
      <c r="F207" s="55">
        <v>283975.7</v>
      </c>
      <c r="G207" s="55"/>
      <c r="H207" s="56">
        <f t="shared" si="12"/>
        <v>283975.7</v>
      </c>
      <c r="I207" s="53">
        <v>283</v>
      </c>
      <c r="J207" s="55">
        <f t="shared" si="13"/>
        <v>1003.45</v>
      </c>
      <c r="K207" s="55">
        <f t="shared" si="14"/>
        <v>473.45065021673895</v>
      </c>
      <c r="L207" s="56">
        <f t="shared" si="15"/>
        <v>3</v>
      </c>
      <c r="M207" s="54">
        <v>180</v>
      </c>
    </row>
    <row r="208" spans="1:13" ht="15" customHeight="1" x14ac:dyDescent="0.55000000000000004">
      <c r="A208" s="52" t="s">
        <v>473</v>
      </c>
      <c r="B208" s="28" t="s">
        <v>206</v>
      </c>
      <c r="C208" s="53">
        <v>1482.3</v>
      </c>
      <c r="D208" s="54">
        <v>83921</v>
      </c>
      <c r="E208" s="54">
        <v>33377</v>
      </c>
      <c r="F208" s="55">
        <v>326975.25</v>
      </c>
      <c r="G208" s="55">
        <v>1118.56</v>
      </c>
      <c r="H208" s="56">
        <f t="shared" si="12"/>
        <v>328093.81</v>
      </c>
      <c r="I208" s="53">
        <v>741</v>
      </c>
      <c r="J208" s="55">
        <f t="shared" si="13"/>
        <v>442.77</v>
      </c>
      <c r="K208" s="55">
        <f t="shared" si="14"/>
        <v>221.34103083046617</v>
      </c>
      <c r="L208" s="56">
        <f t="shared" si="15"/>
        <v>3.91</v>
      </c>
      <c r="M208" s="54">
        <v>118</v>
      </c>
    </row>
    <row r="209" spans="1:13" ht="15" customHeight="1" x14ac:dyDescent="0.55000000000000004">
      <c r="A209" s="52" t="s">
        <v>472</v>
      </c>
      <c r="B209" s="28" t="s">
        <v>207</v>
      </c>
      <c r="C209" s="53">
        <v>432.4</v>
      </c>
      <c r="D209" s="54">
        <v>52770</v>
      </c>
      <c r="E209" s="54">
        <v>23746</v>
      </c>
      <c r="F209" s="55">
        <v>214065.73</v>
      </c>
      <c r="G209" s="55">
        <v>3147.2</v>
      </c>
      <c r="H209" s="56">
        <f t="shared" si="12"/>
        <v>217212.93000000002</v>
      </c>
      <c r="I209" s="53">
        <v>155</v>
      </c>
      <c r="J209" s="55">
        <f t="shared" si="13"/>
        <v>1401.37</v>
      </c>
      <c r="K209" s="55">
        <f t="shared" si="14"/>
        <v>502.34257631822396</v>
      </c>
      <c r="L209" s="56">
        <f t="shared" si="15"/>
        <v>4.12</v>
      </c>
      <c r="M209" s="54">
        <v>186</v>
      </c>
    </row>
    <row r="210" spans="1:13" ht="15" customHeight="1" x14ac:dyDescent="0.55000000000000004">
      <c r="A210" s="52" t="s">
        <v>471</v>
      </c>
      <c r="B210" s="28" t="s">
        <v>208</v>
      </c>
      <c r="C210" s="53">
        <v>938</v>
      </c>
      <c r="D210" s="54">
        <v>131402</v>
      </c>
      <c r="E210" s="54">
        <v>23715</v>
      </c>
      <c r="F210" s="55">
        <v>390875.38</v>
      </c>
      <c r="G210" s="55">
        <v>30470.080000000002</v>
      </c>
      <c r="H210" s="56">
        <f t="shared" si="12"/>
        <v>421345.46</v>
      </c>
      <c r="I210" s="53">
        <v>648.9</v>
      </c>
      <c r="J210" s="55">
        <f t="shared" si="13"/>
        <v>649.32000000000005</v>
      </c>
      <c r="K210" s="55">
        <f t="shared" si="14"/>
        <v>449.19558635394458</v>
      </c>
      <c r="L210" s="56">
        <f t="shared" si="15"/>
        <v>3.21</v>
      </c>
      <c r="M210" s="54">
        <v>248</v>
      </c>
    </row>
    <row r="211" spans="1:13" ht="15" customHeight="1" x14ac:dyDescent="0.55000000000000004">
      <c r="A211" s="52" t="s">
        <v>470</v>
      </c>
      <c r="B211" s="28" t="s">
        <v>209</v>
      </c>
      <c r="C211" s="53">
        <v>495.2</v>
      </c>
      <c r="D211" s="54">
        <v>31479</v>
      </c>
      <c r="E211" s="54">
        <v>9386</v>
      </c>
      <c r="F211" s="55">
        <v>150321.88</v>
      </c>
      <c r="G211" s="55"/>
      <c r="H211" s="56">
        <f t="shared" si="12"/>
        <v>150321.88</v>
      </c>
      <c r="I211" s="53">
        <v>148.80000000000001</v>
      </c>
      <c r="J211" s="55">
        <f t="shared" si="13"/>
        <v>1010.23</v>
      </c>
      <c r="K211" s="55">
        <f t="shared" si="14"/>
        <v>303.55791599353796</v>
      </c>
      <c r="L211" s="56">
        <f t="shared" si="15"/>
        <v>4.78</v>
      </c>
      <c r="M211" s="54">
        <v>67</v>
      </c>
    </row>
    <row r="212" spans="1:13" ht="15" customHeight="1" x14ac:dyDescent="0.55000000000000004">
      <c r="A212" s="52" t="s">
        <v>469</v>
      </c>
      <c r="B212" s="28" t="s">
        <v>210</v>
      </c>
      <c r="C212" s="53">
        <v>3030.3</v>
      </c>
      <c r="D212" s="54">
        <v>167555</v>
      </c>
      <c r="E212" s="54">
        <v>58523</v>
      </c>
      <c r="F212" s="55">
        <v>902552.48</v>
      </c>
      <c r="G212" s="55">
        <v>6905.01</v>
      </c>
      <c r="H212" s="56">
        <f t="shared" si="12"/>
        <v>909457.49</v>
      </c>
      <c r="I212" s="53">
        <v>1513.7</v>
      </c>
      <c r="J212" s="55">
        <f t="shared" si="13"/>
        <v>600.82000000000005</v>
      </c>
      <c r="K212" s="55">
        <f t="shared" si="14"/>
        <v>300.12127182127182</v>
      </c>
      <c r="L212" s="56">
        <f t="shared" si="15"/>
        <v>5.43</v>
      </c>
      <c r="M212" s="54">
        <v>195</v>
      </c>
    </row>
    <row r="213" spans="1:13" ht="15" customHeight="1" x14ac:dyDescent="0.55000000000000004">
      <c r="A213" s="52" t="s">
        <v>468</v>
      </c>
      <c r="B213" s="28" t="s">
        <v>332</v>
      </c>
      <c r="C213" s="53">
        <v>797</v>
      </c>
      <c r="D213" s="54">
        <v>106571</v>
      </c>
      <c r="E213" s="54">
        <v>21887</v>
      </c>
      <c r="F213" s="55">
        <v>402337.3</v>
      </c>
      <c r="G213" s="55">
        <v>10134.040000000001</v>
      </c>
      <c r="H213" s="56">
        <f t="shared" si="12"/>
        <v>412471.33999999997</v>
      </c>
      <c r="I213" s="53">
        <v>349.5</v>
      </c>
      <c r="J213" s="55">
        <f t="shared" si="13"/>
        <v>1180.18</v>
      </c>
      <c r="K213" s="55">
        <f t="shared" si="14"/>
        <v>517.52991217063982</v>
      </c>
      <c r="L213" s="56">
        <f t="shared" si="15"/>
        <v>3.87</v>
      </c>
      <c r="M213" s="54">
        <v>213</v>
      </c>
    </row>
    <row r="214" spans="1:13" ht="15" customHeight="1" x14ac:dyDescent="0.55000000000000004">
      <c r="A214" s="52" t="s">
        <v>467</v>
      </c>
      <c r="B214" s="28" t="s">
        <v>211</v>
      </c>
      <c r="C214" s="53">
        <v>522.6</v>
      </c>
      <c r="D214" s="54">
        <v>114319</v>
      </c>
      <c r="E214" s="54">
        <v>39748</v>
      </c>
      <c r="F214" s="55">
        <v>330420.43</v>
      </c>
      <c r="G214" s="55">
        <v>468.73</v>
      </c>
      <c r="H214" s="56">
        <f t="shared" si="12"/>
        <v>330889.15999999997</v>
      </c>
      <c r="I214" s="53">
        <v>863</v>
      </c>
      <c r="J214" s="55">
        <f t="shared" si="13"/>
        <v>383.42</v>
      </c>
      <c r="K214" s="55">
        <f t="shared" si="14"/>
        <v>633.15951014159964</v>
      </c>
      <c r="L214" s="56">
        <f t="shared" si="15"/>
        <v>2.89</v>
      </c>
      <c r="M214" s="54">
        <v>178</v>
      </c>
    </row>
    <row r="215" spans="1:13" ht="15" customHeight="1" x14ac:dyDescent="0.55000000000000004">
      <c r="A215" s="52" t="s">
        <v>466</v>
      </c>
      <c r="B215" s="28" t="s">
        <v>1228</v>
      </c>
      <c r="C215" s="53">
        <v>1124.4000000000001</v>
      </c>
      <c r="D215" s="54">
        <v>174609</v>
      </c>
      <c r="E215" s="54">
        <v>30825</v>
      </c>
      <c r="F215" s="55">
        <v>578931.13</v>
      </c>
      <c r="G215" s="55"/>
      <c r="H215" s="56">
        <f t="shared" si="12"/>
        <v>578931.13</v>
      </c>
      <c r="I215" s="53">
        <v>591.4</v>
      </c>
      <c r="J215" s="55">
        <f t="shared" si="13"/>
        <v>978.92</v>
      </c>
      <c r="K215" s="55">
        <f t="shared" si="14"/>
        <v>514.88005158306646</v>
      </c>
      <c r="L215" s="56">
        <f t="shared" si="15"/>
        <v>3.32</v>
      </c>
      <c r="M215" s="54">
        <v>356</v>
      </c>
    </row>
    <row r="216" spans="1:13" ht="15" customHeight="1" x14ac:dyDescent="0.55000000000000004">
      <c r="A216" s="52" t="s">
        <v>465</v>
      </c>
      <c r="B216" s="28" t="s">
        <v>213</v>
      </c>
      <c r="C216" s="53">
        <v>186.5</v>
      </c>
      <c r="D216" s="54">
        <v>78145</v>
      </c>
      <c r="E216" s="54">
        <v>7346</v>
      </c>
      <c r="F216" s="55">
        <v>146378.20000000001</v>
      </c>
      <c r="G216" s="55"/>
      <c r="H216" s="56">
        <f t="shared" si="12"/>
        <v>146378.20000000001</v>
      </c>
      <c r="I216" s="53">
        <v>67.900000000000006</v>
      </c>
      <c r="J216" s="55">
        <f t="shared" si="13"/>
        <v>2155.79</v>
      </c>
      <c r="K216" s="55">
        <f t="shared" si="14"/>
        <v>784.86970509383389</v>
      </c>
      <c r="L216" s="56">
        <f t="shared" si="15"/>
        <v>1.87</v>
      </c>
      <c r="M216" s="54">
        <v>145</v>
      </c>
    </row>
    <row r="217" spans="1:13" ht="15" customHeight="1" x14ac:dyDescent="0.55000000000000004">
      <c r="A217" s="52" t="s">
        <v>464</v>
      </c>
      <c r="B217" s="28" t="s">
        <v>214</v>
      </c>
      <c r="C217" s="53">
        <v>450.1</v>
      </c>
      <c r="D217" s="54">
        <v>70238</v>
      </c>
      <c r="E217" s="54">
        <v>22545</v>
      </c>
      <c r="F217" s="55">
        <v>173260.86</v>
      </c>
      <c r="G217" s="55">
        <v>15135.93</v>
      </c>
      <c r="H217" s="56">
        <f t="shared" si="12"/>
        <v>188396.78999999998</v>
      </c>
      <c r="I217" s="53">
        <v>527</v>
      </c>
      <c r="J217" s="55">
        <f t="shared" si="13"/>
        <v>357.49</v>
      </c>
      <c r="K217" s="55">
        <f t="shared" si="14"/>
        <v>418.56651855143292</v>
      </c>
      <c r="L217" s="56">
        <f t="shared" si="15"/>
        <v>2.68</v>
      </c>
      <c r="M217" s="54">
        <v>186</v>
      </c>
    </row>
    <row r="218" spans="1:13" ht="15" customHeight="1" x14ac:dyDescent="0.55000000000000004">
      <c r="A218" s="52" t="s">
        <v>463</v>
      </c>
      <c r="B218" s="28" t="s">
        <v>215</v>
      </c>
      <c r="C218" s="53">
        <v>618.20000000000005</v>
      </c>
      <c r="D218" s="54">
        <v>83836</v>
      </c>
      <c r="E218" s="54">
        <v>17597</v>
      </c>
      <c r="F218" s="55">
        <v>294551.92</v>
      </c>
      <c r="G218" s="55">
        <v>703.86</v>
      </c>
      <c r="H218" s="56">
        <f t="shared" si="12"/>
        <v>295255.77999999997</v>
      </c>
      <c r="I218" s="53">
        <v>260</v>
      </c>
      <c r="J218" s="55">
        <f t="shared" si="13"/>
        <v>1135.5999999999999</v>
      </c>
      <c r="K218" s="55">
        <f t="shared" si="14"/>
        <v>477.60559689420893</v>
      </c>
      <c r="L218" s="56">
        <f t="shared" si="15"/>
        <v>3.52</v>
      </c>
      <c r="M218" s="54">
        <v>151</v>
      </c>
    </row>
    <row r="219" spans="1:13" ht="15" customHeight="1" x14ac:dyDescent="0.55000000000000004">
      <c r="A219" s="52" t="s">
        <v>462</v>
      </c>
      <c r="B219" s="28" t="s">
        <v>216</v>
      </c>
      <c r="C219" s="53">
        <v>273.8</v>
      </c>
      <c r="D219" s="54">
        <v>61237</v>
      </c>
      <c r="E219" s="54">
        <v>5428</v>
      </c>
      <c r="F219" s="55">
        <v>182387.97</v>
      </c>
      <c r="G219" s="55">
        <v>12495.2</v>
      </c>
      <c r="H219" s="56">
        <f t="shared" si="12"/>
        <v>194883.17</v>
      </c>
      <c r="I219" s="53">
        <v>182.9</v>
      </c>
      <c r="J219" s="55">
        <f t="shared" si="13"/>
        <v>1065.52</v>
      </c>
      <c r="K219" s="55">
        <f t="shared" si="14"/>
        <v>711.77198685171663</v>
      </c>
      <c r="L219" s="56">
        <f t="shared" si="15"/>
        <v>3.18</v>
      </c>
      <c r="M219" s="54">
        <v>225</v>
      </c>
    </row>
    <row r="220" spans="1:13" ht="15" customHeight="1" x14ac:dyDescent="0.55000000000000004">
      <c r="A220" s="52" t="s">
        <v>461</v>
      </c>
      <c r="B220" s="28" t="s">
        <v>217</v>
      </c>
      <c r="C220" s="53">
        <v>1727.5</v>
      </c>
      <c r="D220" s="54">
        <v>188190</v>
      </c>
      <c r="E220" s="54">
        <v>36367</v>
      </c>
      <c r="F220" s="55">
        <v>728441.39</v>
      </c>
      <c r="G220" s="55">
        <v>7753.85</v>
      </c>
      <c r="H220" s="56">
        <f t="shared" si="12"/>
        <v>736195.24</v>
      </c>
      <c r="I220" s="53">
        <v>963.6</v>
      </c>
      <c r="J220" s="55">
        <f t="shared" si="13"/>
        <v>764.01</v>
      </c>
      <c r="K220" s="55">
        <f t="shared" si="14"/>
        <v>426.16222286541245</v>
      </c>
      <c r="L220" s="56">
        <f t="shared" si="15"/>
        <v>3.91</v>
      </c>
      <c r="M220" s="54">
        <v>98</v>
      </c>
    </row>
    <row r="221" spans="1:13" ht="15" customHeight="1" x14ac:dyDescent="0.55000000000000004">
      <c r="A221" s="52" t="s">
        <v>460</v>
      </c>
      <c r="B221" s="28" t="s">
        <v>218</v>
      </c>
      <c r="C221" s="53">
        <v>3077.3</v>
      </c>
      <c r="D221" s="54">
        <v>270242</v>
      </c>
      <c r="E221" s="54">
        <v>111215</v>
      </c>
      <c r="F221" s="55">
        <v>842161.14</v>
      </c>
      <c r="G221" s="55">
        <v>19128.96</v>
      </c>
      <c r="H221" s="56">
        <f t="shared" si="12"/>
        <v>861290.1</v>
      </c>
      <c r="I221" s="53">
        <v>2181.9</v>
      </c>
      <c r="J221" s="55">
        <f t="shared" si="13"/>
        <v>394.74</v>
      </c>
      <c r="K221" s="55">
        <f t="shared" si="14"/>
        <v>279.88499658791795</v>
      </c>
      <c r="L221" s="56">
        <f t="shared" si="15"/>
        <v>3.19</v>
      </c>
      <c r="M221" s="54">
        <v>220</v>
      </c>
    </row>
    <row r="222" spans="1:13" ht="15" customHeight="1" x14ac:dyDescent="0.55000000000000004">
      <c r="A222" s="52" t="s">
        <v>459</v>
      </c>
      <c r="B222" s="28" t="s">
        <v>219</v>
      </c>
      <c r="C222" s="53">
        <v>446</v>
      </c>
      <c r="D222" s="54">
        <v>43892</v>
      </c>
      <c r="E222" s="54">
        <v>15642</v>
      </c>
      <c r="F222" s="55">
        <v>239001.86</v>
      </c>
      <c r="G222" s="55"/>
      <c r="H222" s="56">
        <f t="shared" si="12"/>
        <v>239001.86</v>
      </c>
      <c r="I222" s="53">
        <v>203</v>
      </c>
      <c r="J222" s="55">
        <f t="shared" si="13"/>
        <v>1177.3499999999999</v>
      </c>
      <c r="K222" s="55">
        <f t="shared" si="14"/>
        <v>535.87860986547082</v>
      </c>
      <c r="L222" s="56">
        <f t="shared" si="15"/>
        <v>5.45</v>
      </c>
      <c r="M222" s="54">
        <v>155</v>
      </c>
    </row>
    <row r="223" spans="1:13" ht="15" customHeight="1" x14ac:dyDescent="0.55000000000000004">
      <c r="A223" s="52" t="s">
        <v>458</v>
      </c>
      <c r="B223" s="28" t="s">
        <v>220</v>
      </c>
      <c r="C223" s="53">
        <v>265</v>
      </c>
      <c r="D223" s="54">
        <v>92845</v>
      </c>
      <c r="E223" s="54">
        <v>2095</v>
      </c>
      <c r="F223" s="55">
        <v>235674.43</v>
      </c>
      <c r="G223" s="55"/>
      <c r="H223" s="56">
        <f t="shared" si="12"/>
        <v>235674.43</v>
      </c>
      <c r="I223" s="53">
        <v>132</v>
      </c>
      <c r="J223" s="55">
        <f t="shared" si="13"/>
        <v>1785.41</v>
      </c>
      <c r="K223" s="55">
        <f t="shared" si="14"/>
        <v>889.33747169811318</v>
      </c>
      <c r="L223" s="56">
        <f t="shared" si="15"/>
        <v>2.54</v>
      </c>
      <c r="M223" s="54">
        <v>136</v>
      </c>
    </row>
    <row r="224" spans="1:13" ht="15" customHeight="1" x14ac:dyDescent="0.55000000000000004">
      <c r="A224" s="52" t="s">
        <v>457</v>
      </c>
      <c r="B224" s="28" t="s">
        <v>221</v>
      </c>
      <c r="C224" s="53">
        <v>511.5</v>
      </c>
      <c r="D224" s="54">
        <v>59760</v>
      </c>
      <c r="E224" s="54">
        <v>19295</v>
      </c>
      <c r="F224" s="55">
        <v>228061.35</v>
      </c>
      <c r="G224" s="55"/>
      <c r="H224" s="56">
        <f t="shared" si="12"/>
        <v>228061.35</v>
      </c>
      <c r="I224" s="53">
        <v>148.80000000000001</v>
      </c>
      <c r="J224" s="55">
        <f t="shared" si="13"/>
        <v>1532.67</v>
      </c>
      <c r="K224" s="55">
        <f t="shared" si="14"/>
        <v>445.86774193548388</v>
      </c>
      <c r="L224" s="56">
        <f t="shared" si="15"/>
        <v>3.82</v>
      </c>
      <c r="M224" s="54">
        <v>166</v>
      </c>
    </row>
    <row r="225" spans="1:13" ht="15" customHeight="1" x14ac:dyDescent="0.55000000000000004">
      <c r="A225" s="52" t="s">
        <v>456</v>
      </c>
      <c r="B225" s="28" t="s">
        <v>222</v>
      </c>
      <c r="C225" s="53">
        <v>2993.6</v>
      </c>
      <c r="D225" s="54">
        <v>80780</v>
      </c>
      <c r="E225" s="54">
        <v>43721</v>
      </c>
      <c r="F225" s="55">
        <v>523601.22</v>
      </c>
      <c r="G225" s="55">
        <v>15071.7</v>
      </c>
      <c r="H225" s="56">
        <f t="shared" si="12"/>
        <v>538672.91999999993</v>
      </c>
      <c r="I225" s="53">
        <v>1598</v>
      </c>
      <c r="J225" s="55">
        <f t="shared" si="13"/>
        <v>337.09</v>
      </c>
      <c r="K225" s="55">
        <f t="shared" si="14"/>
        <v>179.94151523249596</v>
      </c>
      <c r="L225" s="56">
        <f t="shared" si="15"/>
        <v>6.67</v>
      </c>
      <c r="M225" s="54">
        <v>50</v>
      </c>
    </row>
    <row r="226" spans="1:13" ht="15" customHeight="1" x14ac:dyDescent="0.55000000000000004">
      <c r="A226" s="52" t="s">
        <v>455</v>
      </c>
      <c r="B226" s="28" t="s">
        <v>1230</v>
      </c>
      <c r="C226" s="53">
        <v>987.4</v>
      </c>
      <c r="D226" s="54">
        <v>139461</v>
      </c>
      <c r="E226" s="54">
        <v>31096</v>
      </c>
      <c r="F226" s="55">
        <v>418171.3</v>
      </c>
      <c r="G226" s="55">
        <v>7772.88</v>
      </c>
      <c r="H226" s="56">
        <f t="shared" si="12"/>
        <v>425944.18</v>
      </c>
      <c r="I226" s="53">
        <v>517.9</v>
      </c>
      <c r="J226" s="55">
        <f t="shared" si="13"/>
        <v>822.44</v>
      </c>
      <c r="K226" s="55">
        <f t="shared" si="14"/>
        <v>431.37956248734048</v>
      </c>
      <c r="L226" s="56">
        <f t="shared" si="15"/>
        <v>3.05</v>
      </c>
      <c r="M226" s="54">
        <v>357</v>
      </c>
    </row>
    <row r="227" spans="1:13" ht="15" customHeight="1" x14ac:dyDescent="0.55000000000000004">
      <c r="A227" s="52" t="s">
        <v>454</v>
      </c>
      <c r="B227" s="28" t="s">
        <v>224</v>
      </c>
      <c r="C227" s="53">
        <v>1317.1999999999998</v>
      </c>
      <c r="D227" s="54">
        <v>52646</v>
      </c>
      <c r="E227" s="54">
        <v>22940</v>
      </c>
      <c r="F227" s="55">
        <v>290141.90000000002</v>
      </c>
      <c r="G227" s="55">
        <v>2695.97</v>
      </c>
      <c r="H227" s="56">
        <f t="shared" si="12"/>
        <v>292837.87</v>
      </c>
      <c r="I227" s="53">
        <v>554.1</v>
      </c>
      <c r="J227" s="55">
        <f t="shared" si="13"/>
        <v>528.49</v>
      </c>
      <c r="K227" s="55">
        <f t="shared" si="14"/>
        <v>222.31845581536595</v>
      </c>
      <c r="L227" s="56">
        <f t="shared" si="15"/>
        <v>5.56</v>
      </c>
      <c r="M227" s="54">
        <v>143</v>
      </c>
    </row>
    <row r="228" spans="1:13" ht="15" customHeight="1" x14ac:dyDescent="0.55000000000000004">
      <c r="A228" s="52" t="s">
        <v>453</v>
      </c>
      <c r="B228" s="28" t="s">
        <v>225</v>
      </c>
      <c r="C228" s="53">
        <v>609.20000000000005</v>
      </c>
      <c r="D228" s="54">
        <v>67251</v>
      </c>
      <c r="E228" s="54">
        <v>15396</v>
      </c>
      <c r="F228" s="55">
        <v>223745.07</v>
      </c>
      <c r="G228" s="55"/>
      <c r="H228" s="56">
        <f t="shared" si="12"/>
        <v>223745.07</v>
      </c>
      <c r="I228" s="53">
        <v>177.5</v>
      </c>
      <c r="J228" s="55">
        <f t="shared" si="13"/>
        <v>1260.54</v>
      </c>
      <c r="K228" s="55">
        <f t="shared" si="14"/>
        <v>367.27687130663162</v>
      </c>
      <c r="L228" s="56">
        <f t="shared" si="15"/>
        <v>3.33</v>
      </c>
      <c r="M228" s="54">
        <v>143</v>
      </c>
    </row>
    <row r="229" spans="1:13" ht="15" customHeight="1" x14ac:dyDescent="0.55000000000000004">
      <c r="A229" s="52" t="s">
        <v>452</v>
      </c>
      <c r="B229" s="28" t="s">
        <v>226</v>
      </c>
      <c r="C229" s="53">
        <v>978.4</v>
      </c>
      <c r="D229" s="54">
        <v>81066</v>
      </c>
      <c r="E229" s="54">
        <v>28922</v>
      </c>
      <c r="F229" s="55">
        <v>335249.98</v>
      </c>
      <c r="G229" s="55">
        <v>442.1</v>
      </c>
      <c r="H229" s="56">
        <f t="shared" si="12"/>
        <v>335692.07999999996</v>
      </c>
      <c r="I229" s="53">
        <v>679.7</v>
      </c>
      <c r="J229" s="55">
        <f t="shared" si="13"/>
        <v>493.88</v>
      </c>
      <c r="K229" s="55">
        <f t="shared" si="14"/>
        <v>343.10310711365491</v>
      </c>
      <c r="L229" s="56">
        <f t="shared" si="15"/>
        <v>4.1399999999999997</v>
      </c>
      <c r="M229" s="54">
        <v>123</v>
      </c>
    </row>
    <row r="230" spans="1:13" ht="15" customHeight="1" x14ac:dyDescent="0.55000000000000004">
      <c r="A230" s="52" t="s">
        <v>451</v>
      </c>
      <c r="B230" s="28" t="s">
        <v>227</v>
      </c>
      <c r="C230" s="53">
        <v>212</v>
      </c>
      <c r="D230" s="54">
        <v>32933</v>
      </c>
      <c r="E230" s="54">
        <v>1083</v>
      </c>
      <c r="F230" s="55">
        <v>147389.82</v>
      </c>
      <c r="G230" s="55">
        <v>414.71</v>
      </c>
      <c r="H230" s="56">
        <f t="shared" si="12"/>
        <v>147804.53</v>
      </c>
      <c r="I230" s="53">
        <v>85</v>
      </c>
      <c r="J230" s="55">
        <f t="shared" si="13"/>
        <v>1738.88</v>
      </c>
      <c r="K230" s="55">
        <f t="shared" si="14"/>
        <v>697.19117924528302</v>
      </c>
      <c r="L230" s="56">
        <f t="shared" si="15"/>
        <v>4.49</v>
      </c>
      <c r="M230" s="54">
        <v>84</v>
      </c>
    </row>
    <row r="231" spans="1:13" ht="15" customHeight="1" x14ac:dyDescent="0.55000000000000004">
      <c r="A231" s="52" t="s">
        <v>450</v>
      </c>
      <c r="B231" s="28" t="s">
        <v>228</v>
      </c>
      <c r="C231" s="53">
        <v>190.3</v>
      </c>
      <c r="D231" s="54">
        <v>58423</v>
      </c>
      <c r="E231" s="54">
        <v>5099</v>
      </c>
      <c r="F231" s="55">
        <v>97438.74</v>
      </c>
      <c r="G231" s="55">
        <v>883.44</v>
      </c>
      <c r="H231" s="56">
        <f t="shared" si="12"/>
        <v>98322.180000000008</v>
      </c>
      <c r="I231" s="53">
        <v>67.2</v>
      </c>
      <c r="J231" s="55">
        <f t="shared" si="13"/>
        <v>1463.13</v>
      </c>
      <c r="K231" s="55">
        <f t="shared" si="14"/>
        <v>516.66936416184967</v>
      </c>
      <c r="L231" s="56">
        <f t="shared" si="15"/>
        <v>1.68</v>
      </c>
      <c r="M231" s="54">
        <v>184</v>
      </c>
    </row>
    <row r="232" spans="1:13" ht="15" customHeight="1" x14ac:dyDescent="0.55000000000000004">
      <c r="A232" s="52" t="s">
        <v>449</v>
      </c>
      <c r="B232" s="28" t="s">
        <v>229</v>
      </c>
      <c r="C232" s="53">
        <v>918.7</v>
      </c>
      <c r="D232" s="54">
        <v>111650</v>
      </c>
      <c r="E232" s="54">
        <v>5752</v>
      </c>
      <c r="F232" s="55">
        <v>500750.29</v>
      </c>
      <c r="G232" s="55">
        <v>468.73</v>
      </c>
      <c r="H232" s="56">
        <f t="shared" si="12"/>
        <v>501219.01999999996</v>
      </c>
      <c r="I232" s="53">
        <v>451</v>
      </c>
      <c r="J232" s="55">
        <f t="shared" si="13"/>
        <v>1111.3499999999999</v>
      </c>
      <c r="K232" s="55">
        <f t="shared" si="14"/>
        <v>545.57420267769669</v>
      </c>
      <c r="L232" s="56">
        <f t="shared" si="15"/>
        <v>4.49</v>
      </c>
      <c r="M232" s="54">
        <v>227</v>
      </c>
    </row>
    <row r="233" spans="1:13" ht="15" customHeight="1" x14ac:dyDescent="0.55000000000000004">
      <c r="A233" s="52" t="s">
        <v>448</v>
      </c>
      <c r="B233" s="28" t="s">
        <v>230</v>
      </c>
      <c r="C233" s="53">
        <v>2328.5</v>
      </c>
      <c r="D233" s="54">
        <v>227509</v>
      </c>
      <c r="E233" s="54">
        <v>55387</v>
      </c>
      <c r="F233" s="55">
        <v>855905.15</v>
      </c>
      <c r="G233" s="55">
        <v>10081.93</v>
      </c>
      <c r="H233" s="56">
        <f t="shared" si="12"/>
        <v>865987.08000000007</v>
      </c>
      <c r="I233" s="53">
        <v>1431.5</v>
      </c>
      <c r="J233" s="55">
        <f t="shared" si="13"/>
        <v>604.95000000000005</v>
      </c>
      <c r="K233" s="55">
        <f t="shared" si="14"/>
        <v>371.9077002362036</v>
      </c>
      <c r="L233" s="56">
        <f t="shared" si="15"/>
        <v>3.81</v>
      </c>
      <c r="M233" s="54">
        <v>182</v>
      </c>
    </row>
    <row r="234" spans="1:13" ht="15" customHeight="1" x14ac:dyDescent="0.55000000000000004">
      <c r="A234" s="52" t="s">
        <v>447</v>
      </c>
      <c r="B234" s="28" t="s">
        <v>231</v>
      </c>
      <c r="C234" s="53">
        <v>4655</v>
      </c>
      <c r="D234" s="54">
        <v>124363</v>
      </c>
      <c r="E234" s="54">
        <v>44933</v>
      </c>
      <c r="F234" s="55">
        <v>1408476.29</v>
      </c>
      <c r="G234" s="55">
        <v>3057.41</v>
      </c>
      <c r="H234" s="56">
        <f t="shared" si="12"/>
        <v>1411533.7</v>
      </c>
      <c r="I234" s="53">
        <v>3967</v>
      </c>
      <c r="J234" s="55">
        <f t="shared" si="13"/>
        <v>355.82</v>
      </c>
      <c r="K234" s="55">
        <f t="shared" si="14"/>
        <v>303.22958109559613</v>
      </c>
      <c r="L234" s="56">
        <f t="shared" si="15"/>
        <v>11.35</v>
      </c>
      <c r="M234" s="54">
        <v>130</v>
      </c>
    </row>
    <row r="235" spans="1:13" ht="15" customHeight="1" x14ac:dyDescent="0.55000000000000004">
      <c r="A235" s="52" t="s">
        <v>446</v>
      </c>
      <c r="B235" s="28" t="s">
        <v>232</v>
      </c>
      <c r="C235" s="53">
        <v>696.9</v>
      </c>
      <c r="D235" s="54">
        <v>80592</v>
      </c>
      <c r="E235" s="54">
        <v>29845</v>
      </c>
      <c r="F235" s="55">
        <v>353410.25</v>
      </c>
      <c r="G235" s="55"/>
      <c r="H235" s="56">
        <f t="shared" si="12"/>
        <v>353410.25</v>
      </c>
      <c r="I235" s="53">
        <v>394</v>
      </c>
      <c r="J235" s="55">
        <f t="shared" si="13"/>
        <v>896.98</v>
      </c>
      <c r="K235" s="55">
        <f t="shared" si="14"/>
        <v>507.11759219400204</v>
      </c>
      <c r="L235" s="56">
        <f t="shared" si="15"/>
        <v>4.3899999999999997</v>
      </c>
      <c r="M235" s="54">
        <v>197</v>
      </c>
    </row>
    <row r="236" spans="1:13" ht="15" customHeight="1" x14ac:dyDescent="0.55000000000000004">
      <c r="A236" s="52" t="s">
        <v>445</v>
      </c>
      <c r="B236" s="28" t="s">
        <v>233</v>
      </c>
      <c r="C236" s="53">
        <v>211.7</v>
      </c>
      <c r="D236" s="54">
        <v>62153</v>
      </c>
      <c r="E236" s="54">
        <v>9905</v>
      </c>
      <c r="F236" s="55">
        <v>165652.95000000001</v>
      </c>
      <c r="G236" s="55"/>
      <c r="H236" s="56">
        <f t="shared" si="12"/>
        <v>165652.95000000001</v>
      </c>
      <c r="I236" s="53">
        <v>194.9</v>
      </c>
      <c r="J236" s="55">
        <f t="shared" si="13"/>
        <v>849.94</v>
      </c>
      <c r="K236" s="55">
        <f t="shared" si="14"/>
        <v>782.48913556920184</v>
      </c>
      <c r="L236" s="56">
        <f t="shared" si="15"/>
        <v>2.67</v>
      </c>
      <c r="M236" s="54">
        <v>125</v>
      </c>
    </row>
    <row r="237" spans="1:13" ht="15" customHeight="1" x14ac:dyDescent="0.55000000000000004">
      <c r="A237" s="52" t="s">
        <v>444</v>
      </c>
      <c r="B237" s="28" t="s">
        <v>234</v>
      </c>
      <c r="C237" s="53">
        <v>1070.9000000000001</v>
      </c>
      <c r="D237" s="54">
        <v>157106</v>
      </c>
      <c r="E237" s="54">
        <v>58782</v>
      </c>
      <c r="F237" s="55">
        <v>406607.61</v>
      </c>
      <c r="G237" s="55">
        <v>6706.82</v>
      </c>
      <c r="H237" s="56">
        <f t="shared" si="12"/>
        <v>413314.43</v>
      </c>
      <c r="I237" s="53">
        <v>342</v>
      </c>
      <c r="J237" s="55">
        <f t="shared" si="13"/>
        <v>1208.52</v>
      </c>
      <c r="K237" s="55">
        <f t="shared" si="14"/>
        <v>385.95053693155285</v>
      </c>
      <c r="L237" s="56">
        <f t="shared" si="15"/>
        <v>2.63</v>
      </c>
      <c r="M237" s="54">
        <v>192</v>
      </c>
    </row>
    <row r="238" spans="1:13" ht="15" customHeight="1" x14ac:dyDescent="0.55000000000000004">
      <c r="A238" s="52" t="s">
        <v>443</v>
      </c>
      <c r="B238" s="28" t="s">
        <v>235</v>
      </c>
      <c r="C238" s="53">
        <v>598.29999999999995</v>
      </c>
      <c r="D238" s="54">
        <v>150434</v>
      </c>
      <c r="E238" s="54">
        <v>18941</v>
      </c>
      <c r="F238" s="55">
        <v>459517.06</v>
      </c>
      <c r="G238" s="55"/>
      <c r="H238" s="56">
        <f t="shared" si="12"/>
        <v>459517.06</v>
      </c>
      <c r="I238" s="53">
        <v>476.9</v>
      </c>
      <c r="J238" s="55">
        <f t="shared" si="13"/>
        <v>963.55</v>
      </c>
      <c r="K238" s="55">
        <f t="shared" si="14"/>
        <v>768.03787397626616</v>
      </c>
      <c r="L238" s="56">
        <f t="shared" si="15"/>
        <v>3.05</v>
      </c>
      <c r="M238" s="54">
        <v>280</v>
      </c>
    </row>
    <row r="239" spans="1:13" ht="15" customHeight="1" x14ac:dyDescent="0.55000000000000004">
      <c r="A239" s="52" t="s">
        <v>442</v>
      </c>
      <c r="B239" s="28" t="s">
        <v>236</v>
      </c>
      <c r="C239" s="53">
        <v>2154.5</v>
      </c>
      <c r="D239" s="54">
        <v>195556</v>
      </c>
      <c r="E239" s="54">
        <v>47788</v>
      </c>
      <c r="F239" s="55">
        <v>595501.41</v>
      </c>
      <c r="G239" s="55">
        <v>129904.14</v>
      </c>
      <c r="H239" s="56">
        <f t="shared" si="12"/>
        <v>725405.55</v>
      </c>
      <c r="I239" s="53">
        <v>1858</v>
      </c>
      <c r="J239" s="55">
        <f t="shared" si="13"/>
        <v>390.42</v>
      </c>
      <c r="K239" s="55">
        <f t="shared" si="14"/>
        <v>336.69322348572757</v>
      </c>
      <c r="L239" s="56">
        <f t="shared" si="15"/>
        <v>3.71</v>
      </c>
      <c r="M239" s="54">
        <v>193</v>
      </c>
    </row>
    <row r="240" spans="1:13" ht="15" customHeight="1" x14ac:dyDescent="0.55000000000000004">
      <c r="A240" s="52" t="s">
        <v>441</v>
      </c>
      <c r="B240" s="28" t="s">
        <v>237</v>
      </c>
      <c r="C240" s="53">
        <v>1802.3999999999999</v>
      </c>
      <c r="D240" s="54">
        <v>94884</v>
      </c>
      <c r="E240" s="54">
        <v>45515</v>
      </c>
      <c r="F240" s="55">
        <v>622444.51</v>
      </c>
      <c r="G240" s="55">
        <v>3119.82</v>
      </c>
      <c r="H240" s="56">
        <f t="shared" si="12"/>
        <v>625564.32999999996</v>
      </c>
      <c r="I240" s="53">
        <v>578.6</v>
      </c>
      <c r="J240" s="55">
        <f t="shared" si="13"/>
        <v>1081.17</v>
      </c>
      <c r="K240" s="55">
        <f t="shared" si="14"/>
        <v>347.07297492232578</v>
      </c>
      <c r="L240" s="56">
        <f t="shared" si="15"/>
        <v>6.59</v>
      </c>
      <c r="M240" s="54">
        <v>123</v>
      </c>
    </row>
    <row r="241" spans="1:13" ht="15" customHeight="1" x14ac:dyDescent="0.55000000000000004">
      <c r="A241" s="52" t="s">
        <v>440</v>
      </c>
      <c r="B241" s="28" t="s">
        <v>238</v>
      </c>
      <c r="C241" s="53">
        <v>5036.7</v>
      </c>
      <c r="D241" s="54">
        <v>317514</v>
      </c>
      <c r="E241" s="54">
        <v>128658</v>
      </c>
      <c r="F241" s="55">
        <v>1338761.6399999999</v>
      </c>
      <c r="G241" s="55">
        <v>36403.550000000003</v>
      </c>
      <c r="H241" s="56">
        <f t="shared" si="12"/>
        <v>1375165.19</v>
      </c>
      <c r="I241" s="53">
        <v>4143.1000000000004</v>
      </c>
      <c r="J241" s="55">
        <f t="shared" si="13"/>
        <v>331.92</v>
      </c>
      <c r="K241" s="55">
        <f t="shared" si="14"/>
        <v>273.02900510254727</v>
      </c>
      <c r="L241" s="56">
        <f t="shared" si="15"/>
        <v>4.33</v>
      </c>
      <c r="M241" s="54">
        <v>42</v>
      </c>
    </row>
    <row r="242" spans="1:13" ht="15" customHeight="1" x14ac:dyDescent="0.55000000000000004">
      <c r="A242" s="52" t="s">
        <v>439</v>
      </c>
      <c r="B242" s="28" t="s">
        <v>239</v>
      </c>
      <c r="C242" s="53">
        <v>681</v>
      </c>
      <c r="D242" s="54">
        <v>68448</v>
      </c>
      <c r="E242" s="54">
        <v>24188</v>
      </c>
      <c r="F242" s="55">
        <v>205593.41</v>
      </c>
      <c r="G242" s="55">
        <v>937.46</v>
      </c>
      <c r="H242" s="56">
        <f t="shared" si="12"/>
        <v>206530.87</v>
      </c>
      <c r="I242" s="53">
        <v>295</v>
      </c>
      <c r="J242" s="55">
        <f t="shared" si="13"/>
        <v>700.1</v>
      </c>
      <c r="K242" s="55">
        <f t="shared" si="14"/>
        <v>303.27587371512482</v>
      </c>
      <c r="L242" s="56">
        <f t="shared" si="15"/>
        <v>3.02</v>
      </c>
      <c r="M242" s="54">
        <v>117</v>
      </c>
    </row>
    <row r="243" spans="1:13" ht="15" customHeight="1" x14ac:dyDescent="0.55000000000000004">
      <c r="A243" s="52" t="s">
        <v>438</v>
      </c>
      <c r="B243" s="28" t="s">
        <v>240</v>
      </c>
      <c r="C243" s="53">
        <v>665.40000000000009</v>
      </c>
      <c r="D243" s="54">
        <v>152442</v>
      </c>
      <c r="E243" s="54">
        <v>37107</v>
      </c>
      <c r="F243" s="55">
        <v>391154.35</v>
      </c>
      <c r="G243" s="55">
        <v>45617.01</v>
      </c>
      <c r="H243" s="56">
        <f t="shared" si="12"/>
        <v>436771.36</v>
      </c>
      <c r="I243" s="53">
        <v>325.8</v>
      </c>
      <c r="J243" s="55">
        <f t="shared" si="13"/>
        <v>1340.61</v>
      </c>
      <c r="K243" s="55">
        <f t="shared" si="14"/>
        <v>656.40420799519075</v>
      </c>
      <c r="L243" s="56">
        <f t="shared" si="15"/>
        <v>2.87</v>
      </c>
      <c r="M243" s="54">
        <v>387</v>
      </c>
    </row>
    <row r="244" spans="1:13" ht="15" customHeight="1" x14ac:dyDescent="0.55000000000000004">
      <c r="A244" s="52" t="s">
        <v>437</v>
      </c>
      <c r="B244" s="28" t="s">
        <v>241</v>
      </c>
      <c r="C244" s="53">
        <v>729</v>
      </c>
      <c r="D244" s="54">
        <v>52072</v>
      </c>
      <c r="E244" s="54">
        <v>14027</v>
      </c>
      <c r="F244" s="55">
        <v>161630.99</v>
      </c>
      <c r="G244" s="55"/>
      <c r="H244" s="56">
        <f t="shared" si="12"/>
        <v>161630.99</v>
      </c>
      <c r="I244" s="53">
        <v>227</v>
      </c>
      <c r="J244" s="55">
        <f t="shared" si="13"/>
        <v>712.03</v>
      </c>
      <c r="K244" s="55">
        <f t="shared" si="14"/>
        <v>221.71603566529492</v>
      </c>
      <c r="L244" s="56">
        <f t="shared" si="15"/>
        <v>3.1</v>
      </c>
      <c r="M244" s="54">
        <v>119</v>
      </c>
    </row>
    <row r="245" spans="1:13" ht="15" customHeight="1" x14ac:dyDescent="0.55000000000000004">
      <c r="A245" s="52" t="s">
        <v>436</v>
      </c>
      <c r="B245" s="28" t="s">
        <v>242</v>
      </c>
      <c r="C245" s="53">
        <v>574.4</v>
      </c>
      <c r="D245" s="54">
        <v>177688</v>
      </c>
      <c r="E245" s="54">
        <v>26919</v>
      </c>
      <c r="F245" s="55">
        <v>436807.92</v>
      </c>
      <c r="G245" s="55">
        <v>5869.8</v>
      </c>
      <c r="H245" s="56">
        <f t="shared" si="12"/>
        <v>442677.72</v>
      </c>
      <c r="I245" s="53">
        <v>551</v>
      </c>
      <c r="J245" s="55">
        <f t="shared" si="13"/>
        <v>803.41</v>
      </c>
      <c r="K245" s="55">
        <f t="shared" si="14"/>
        <v>770.67848189415042</v>
      </c>
      <c r="L245" s="56">
        <f t="shared" si="15"/>
        <v>2.4900000000000002</v>
      </c>
      <c r="M245" s="54">
        <v>283</v>
      </c>
    </row>
    <row r="246" spans="1:13" ht="15" customHeight="1" x14ac:dyDescent="0.55000000000000004">
      <c r="A246" s="52" t="s">
        <v>435</v>
      </c>
      <c r="B246" s="28" t="s">
        <v>243</v>
      </c>
      <c r="C246" s="53">
        <v>1032.5999999999999</v>
      </c>
      <c r="D246" s="54">
        <v>48443</v>
      </c>
      <c r="E246" s="54">
        <v>25219</v>
      </c>
      <c r="F246" s="55">
        <v>226012.5</v>
      </c>
      <c r="G246" s="55"/>
      <c r="H246" s="56">
        <f t="shared" si="12"/>
        <v>226012.5</v>
      </c>
      <c r="I246" s="53">
        <v>218</v>
      </c>
      <c r="J246" s="55">
        <f t="shared" si="13"/>
        <v>1036.75</v>
      </c>
      <c r="K246" s="55">
        <f t="shared" si="14"/>
        <v>218.87710633352705</v>
      </c>
      <c r="L246" s="56">
        <f t="shared" si="15"/>
        <v>4.67</v>
      </c>
      <c r="M246" s="54">
        <v>203</v>
      </c>
    </row>
    <row r="247" spans="1:13" ht="15" customHeight="1" x14ac:dyDescent="0.55000000000000004">
      <c r="A247" s="52" t="s">
        <v>434</v>
      </c>
      <c r="B247" s="28" t="s">
        <v>244</v>
      </c>
      <c r="C247" s="53">
        <v>314</v>
      </c>
      <c r="D247" s="54">
        <v>48368</v>
      </c>
      <c r="E247" s="54">
        <v>3598</v>
      </c>
      <c r="F247" s="55">
        <v>136662.26</v>
      </c>
      <c r="G247" s="55">
        <v>2401.9699999999998</v>
      </c>
      <c r="H247" s="56">
        <f t="shared" si="12"/>
        <v>139064.23000000001</v>
      </c>
      <c r="I247" s="53">
        <v>238</v>
      </c>
      <c r="J247" s="55">
        <f t="shared" si="13"/>
        <v>584.29999999999995</v>
      </c>
      <c r="K247" s="55">
        <f t="shared" si="14"/>
        <v>442.8797133757962</v>
      </c>
      <c r="L247" s="56">
        <f t="shared" si="15"/>
        <v>2.88</v>
      </c>
      <c r="M247" s="54">
        <v>178</v>
      </c>
    </row>
    <row r="248" spans="1:13" ht="15" customHeight="1" x14ac:dyDescent="0.55000000000000004">
      <c r="A248" s="52" t="s">
        <v>433</v>
      </c>
      <c r="B248" s="28" t="s">
        <v>245</v>
      </c>
      <c r="C248" s="53">
        <v>313.60000000000002</v>
      </c>
      <c r="D248" s="54">
        <v>43096</v>
      </c>
      <c r="E248" s="54">
        <v>21661</v>
      </c>
      <c r="F248" s="55">
        <v>158040.70000000001</v>
      </c>
      <c r="G248" s="55"/>
      <c r="H248" s="56">
        <f t="shared" si="12"/>
        <v>158040.70000000001</v>
      </c>
      <c r="I248" s="53">
        <v>241</v>
      </c>
      <c r="J248" s="55">
        <f t="shared" si="13"/>
        <v>655.77</v>
      </c>
      <c r="K248" s="55">
        <f t="shared" si="14"/>
        <v>503.95631377551018</v>
      </c>
      <c r="L248" s="56">
        <f t="shared" si="15"/>
        <v>3.67</v>
      </c>
      <c r="M248" s="54">
        <v>224</v>
      </c>
    </row>
    <row r="249" spans="1:13" ht="15" customHeight="1" x14ac:dyDescent="0.55000000000000004">
      <c r="A249" s="52" t="s">
        <v>432</v>
      </c>
      <c r="B249" s="28" t="s">
        <v>246</v>
      </c>
      <c r="C249" s="53">
        <v>695.2</v>
      </c>
      <c r="D249" s="54">
        <v>95065</v>
      </c>
      <c r="E249" s="54">
        <v>18315</v>
      </c>
      <c r="F249" s="55">
        <v>337815.09</v>
      </c>
      <c r="G249" s="55"/>
      <c r="H249" s="56">
        <f t="shared" si="12"/>
        <v>337815.09</v>
      </c>
      <c r="I249" s="53">
        <v>415</v>
      </c>
      <c r="J249" s="55">
        <f t="shared" si="13"/>
        <v>814.01</v>
      </c>
      <c r="K249" s="55">
        <f t="shared" si="14"/>
        <v>485.9250431530495</v>
      </c>
      <c r="L249" s="56">
        <f t="shared" si="15"/>
        <v>3.55</v>
      </c>
      <c r="M249" s="54">
        <v>227</v>
      </c>
    </row>
    <row r="250" spans="1:13" ht="15" customHeight="1" x14ac:dyDescent="0.55000000000000004">
      <c r="A250" s="52" t="s">
        <v>431</v>
      </c>
      <c r="B250" s="28" t="s">
        <v>247</v>
      </c>
      <c r="C250" s="53">
        <v>804</v>
      </c>
      <c r="D250" s="54">
        <v>57736</v>
      </c>
      <c r="E250" s="54">
        <v>10242</v>
      </c>
      <c r="F250" s="55">
        <v>42663.16</v>
      </c>
      <c r="G250" s="55">
        <v>117190.49</v>
      </c>
      <c r="H250" s="56">
        <f t="shared" si="12"/>
        <v>159853.65000000002</v>
      </c>
      <c r="I250" s="53">
        <v>172</v>
      </c>
      <c r="J250" s="55">
        <f t="shared" si="13"/>
        <v>929.38</v>
      </c>
      <c r="K250" s="55">
        <f t="shared" si="14"/>
        <v>198.82294776119406</v>
      </c>
      <c r="L250" s="56">
        <f t="shared" si="15"/>
        <v>2.77</v>
      </c>
      <c r="M250" s="54">
        <v>125</v>
      </c>
    </row>
    <row r="251" spans="1:13" ht="15" customHeight="1" x14ac:dyDescent="0.55000000000000004">
      <c r="A251" s="52" t="s">
        <v>430</v>
      </c>
      <c r="B251" s="28" t="s">
        <v>248</v>
      </c>
      <c r="C251" s="53">
        <v>1041.5999999999999</v>
      </c>
      <c r="D251" s="54">
        <v>115161</v>
      </c>
      <c r="E251" s="54">
        <v>35402</v>
      </c>
      <c r="F251" s="55">
        <v>304684.90999999997</v>
      </c>
      <c r="G251" s="55">
        <v>1767.64</v>
      </c>
      <c r="H251" s="56">
        <f t="shared" si="12"/>
        <v>306452.55</v>
      </c>
      <c r="I251" s="53">
        <v>588</v>
      </c>
      <c r="J251" s="55">
        <f t="shared" si="13"/>
        <v>521.17999999999995</v>
      </c>
      <c r="K251" s="55">
        <f t="shared" si="14"/>
        <v>294.21327764976962</v>
      </c>
      <c r="L251" s="56">
        <f t="shared" si="15"/>
        <v>2.66</v>
      </c>
      <c r="M251" s="54">
        <v>93</v>
      </c>
    </row>
    <row r="252" spans="1:13" ht="15" customHeight="1" x14ac:dyDescent="0.55000000000000004">
      <c r="A252" s="52" t="s">
        <v>429</v>
      </c>
      <c r="B252" s="28" t="s">
        <v>1195</v>
      </c>
      <c r="C252" s="53">
        <v>414</v>
      </c>
      <c r="D252" s="54">
        <v>63767</v>
      </c>
      <c r="E252" s="54">
        <v>13920</v>
      </c>
      <c r="F252" s="55">
        <v>219366.78</v>
      </c>
      <c r="G252" s="55">
        <v>937.46</v>
      </c>
      <c r="H252" s="56">
        <f t="shared" si="12"/>
        <v>220304.24</v>
      </c>
      <c r="I252" s="53">
        <v>162.1</v>
      </c>
      <c r="J252" s="55">
        <f t="shared" si="13"/>
        <v>1359.06</v>
      </c>
      <c r="K252" s="55">
        <f t="shared" si="14"/>
        <v>532.13584541062801</v>
      </c>
      <c r="L252" s="56">
        <f t="shared" si="15"/>
        <v>3.45</v>
      </c>
      <c r="M252" s="54">
        <v>205</v>
      </c>
    </row>
    <row r="253" spans="1:13" ht="15" customHeight="1" x14ac:dyDescent="0.55000000000000004">
      <c r="A253" s="52" t="s">
        <v>428</v>
      </c>
      <c r="B253" s="28" t="s">
        <v>249</v>
      </c>
      <c r="C253" s="53">
        <v>217</v>
      </c>
      <c r="D253" s="54">
        <v>49981</v>
      </c>
      <c r="E253" s="54">
        <v>5749</v>
      </c>
      <c r="F253" s="55">
        <v>182100.52</v>
      </c>
      <c r="G253" s="55">
        <v>2056.79</v>
      </c>
      <c r="H253" s="56">
        <f t="shared" si="12"/>
        <v>184157.31</v>
      </c>
      <c r="I253" s="53">
        <v>107.9</v>
      </c>
      <c r="J253" s="55">
        <f t="shared" si="13"/>
        <v>1706.74</v>
      </c>
      <c r="K253" s="55">
        <f t="shared" si="14"/>
        <v>848.65119815668197</v>
      </c>
      <c r="L253" s="56">
        <f t="shared" si="15"/>
        <v>3.68</v>
      </c>
      <c r="M253" s="54">
        <v>102</v>
      </c>
    </row>
    <row r="254" spans="1:13" ht="15" customHeight="1" x14ac:dyDescent="0.55000000000000004">
      <c r="A254" s="52" t="s">
        <v>427</v>
      </c>
      <c r="B254" s="28" t="s">
        <v>250</v>
      </c>
      <c r="C254" s="53">
        <v>577.79999999999995</v>
      </c>
      <c r="D254" s="54">
        <v>100943</v>
      </c>
      <c r="E254" s="54">
        <v>19543</v>
      </c>
      <c r="F254" s="55">
        <v>343202.9</v>
      </c>
      <c r="G254" s="55"/>
      <c r="H254" s="56">
        <f t="shared" si="12"/>
        <v>343202.9</v>
      </c>
      <c r="I254" s="53">
        <v>294.89999999999998</v>
      </c>
      <c r="J254" s="55">
        <f t="shared" si="13"/>
        <v>1163.79</v>
      </c>
      <c r="K254" s="55">
        <f t="shared" si="14"/>
        <v>593.98217376254763</v>
      </c>
      <c r="L254" s="56">
        <f t="shared" si="15"/>
        <v>3.4</v>
      </c>
      <c r="M254" s="54">
        <v>244</v>
      </c>
    </row>
    <row r="255" spans="1:13" ht="15" customHeight="1" x14ac:dyDescent="0.55000000000000004">
      <c r="A255" s="52" t="s">
        <v>426</v>
      </c>
      <c r="B255" s="28" t="s">
        <v>251</v>
      </c>
      <c r="C255" s="53">
        <v>1126.3</v>
      </c>
      <c r="D255" s="54">
        <v>92860</v>
      </c>
      <c r="E255" s="54">
        <v>106492</v>
      </c>
      <c r="F255" s="55">
        <v>432222.94</v>
      </c>
      <c r="G255" s="55">
        <v>15471.18</v>
      </c>
      <c r="H255" s="56">
        <f t="shared" si="12"/>
        <v>447694.12</v>
      </c>
      <c r="I255" s="53">
        <v>872.6</v>
      </c>
      <c r="J255" s="55">
        <f t="shared" si="13"/>
        <v>513.05999999999995</v>
      </c>
      <c r="K255" s="55">
        <f t="shared" si="14"/>
        <v>397.49100594868156</v>
      </c>
      <c r="L255" s="56">
        <f t="shared" si="15"/>
        <v>4.82</v>
      </c>
      <c r="M255" s="54">
        <v>21</v>
      </c>
    </row>
    <row r="256" spans="1:13" ht="15" customHeight="1" x14ac:dyDescent="0.55000000000000004">
      <c r="A256" s="52" t="s">
        <v>425</v>
      </c>
      <c r="B256" s="28" t="s">
        <v>252</v>
      </c>
      <c r="C256" s="53">
        <v>367</v>
      </c>
      <c r="D256" s="54">
        <v>61193</v>
      </c>
      <c r="E256" s="54">
        <v>4301</v>
      </c>
      <c r="F256" s="55">
        <v>205004.83</v>
      </c>
      <c r="G256" s="55">
        <v>2497.36</v>
      </c>
      <c r="H256" s="56">
        <f t="shared" si="12"/>
        <v>207502.18999999997</v>
      </c>
      <c r="I256" s="53">
        <v>241.5</v>
      </c>
      <c r="J256" s="55">
        <f t="shared" si="13"/>
        <v>859.22</v>
      </c>
      <c r="K256" s="55">
        <f t="shared" si="14"/>
        <v>565.40106267029967</v>
      </c>
      <c r="L256" s="56">
        <f t="shared" si="15"/>
        <v>3.39</v>
      </c>
      <c r="M256" s="54">
        <v>165</v>
      </c>
    </row>
    <row r="257" spans="1:13" ht="15" customHeight="1" x14ac:dyDescent="0.55000000000000004">
      <c r="A257" s="52" t="s">
        <v>424</v>
      </c>
      <c r="B257" s="28" t="s">
        <v>253</v>
      </c>
      <c r="C257" s="53">
        <v>260</v>
      </c>
      <c r="D257" s="54">
        <v>52102</v>
      </c>
      <c r="E257" s="54">
        <v>2801</v>
      </c>
      <c r="F257" s="55">
        <v>204405.81</v>
      </c>
      <c r="G257" s="55"/>
      <c r="H257" s="56">
        <f t="shared" si="12"/>
        <v>204405.81</v>
      </c>
      <c r="I257" s="53">
        <v>126</v>
      </c>
      <c r="J257" s="55">
        <f t="shared" si="13"/>
        <v>1622.27</v>
      </c>
      <c r="K257" s="55">
        <f t="shared" si="14"/>
        <v>786.1761923076923</v>
      </c>
      <c r="L257" s="56">
        <f t="shared" si="15"/>
        <v>3.92</v>
      </c>
      <c r="M257" s="54">
        <v>123</v>
      </c>
    </row>
    <row r="258" spans="1:13" ht="15" customHeight="1" x14ac:dyDescent="0.55000000000000004">
      <c r="A258" s="52" t="s">
        <v>423</v>
      </c>
      <c r="B258" s="28" t="s">
        <v>254</v>
      </c>
      <c r="C258" s="53">
        <v>1438.7</v>
      </c>
      <c r="D258" s="54">
        <v>181169</v>
      </c>
      <c r="E258" s="54">
        <v>48020</v>
      </c>
      <c r="F258" s="55">
        <v>397002.41</v>
      </c>
      <c r="G258" s="55">
        <v>13154.92</v>
      </c>
      <c r="H258" s="56">
        <f t="shared" si="12"/>
        <v>410157.32999999996</v>
      </c>
      <c r="I258" s="53">
        <v>441</v>
      </c>
      <c r="J258" s="55">
        <f t="shared" si="13"/>
        <v>930.06</v>
      </c>
      <c r="K258" s="55">
        <f t="shared" si="14"/>
        <v>285.08885104608322</v>
      </c>
      <c r="L258" s="56">
        <f t="shared" si="15"/>
        <v>2.2599999999999998</v>
      </c>
      <c r="M258" s="54">
        <v>64</v>
      </c>
    </row>
    <row r="259" spans="1:13" ht="15" customHeight="1" x14ac:dyDescent="0.55000000000000004">
      <c r="A259" s="52" t="s">
        <v>422</v>
      </c>
      <c r="B259" s="28" t="s">
        <v>255</v>
      </c>
      <c r="C259" s="53">
        <v>274</v>
      </c>
      <c r="D259" s="54">
        <v>36738</v>
      </c>
      <c r="E259" s="54">
        <v>26205</v>
      </c>
      <c r="F259" s="55">
        <v>117046.04</v>
      </c>
      <c r="G259" s="55"/>
      <c r="H259" s="56">
        <f t="shared" si="12"/>
        <v>117046.04</v>
      </c>
      <c r="I259" s="53">
        <v>96.1</v>
      </c>
      <c r="J259" s="55">
        <f t="shared" si="13"/>
        <v>1217.96</v>
      </c>
      <c r="K259" s="55">
        <f t="shared" si="14"/>
        <v>427.17532846715324</v>
      </c>
      <c r="L259" s="56">
        <f t="shared" si="15"/>
        <v>3.19</v>
      </c>
      <c r="M259" s="54">
        <v>217</v>
      </c>
    </row>
    <row r="260" spans="1:13" ht="15" customHeight="1" x14ac:dyDescent="0.55000000000000004">
      <c r="A260" s="52" t="s">
        <v>421</v>
      </c>
      <c r="B260" s="28" t="s">
        <v>1196</v>
      </c>
      <c r="C260" s="53">
        <v>704</v>
      </c>
      <c r="D260" s="54">
        <v>183080</v>
      </c>
      <c r="E260" s="54">
        <v>18063</v>
      </c>
      <c r="F260" s="55">
        <v>412907.83</v>
      </c>
      <c r="G260" s="55">
        <v>12499</v>
      </c>
      <c r="H260" s="56">
        <f t="shared" si="12"/>
        <v>425406.83</v>
      </c>
      <c r="I260" s="53">
        <v>371</v>
      </c>
      <c r="J260" s="55">
        <f t="shared" si="13"/>
        <v>1146.6500000000001</v>
      </c>
      <c r="K260" s="55">
        <f t="shared" si="14"/>
        <v>604.2710653409091</v>
      </c>
      <c r="L260" s="56">
        <f t="shared" si="15"/>
        <v>2.3199999999999998</v>
      </c>
      <c r="M260" s="54">
        <v>236</v>
      </c>
    </row>
    <row r="261" spans="1:13" ht="15" customHeight="1" x14ac:dyDescent="0.55000000000000004">
      <c r="A261" s="52" t="s">
        <v>420</v>
      </c>
      <c r="B261" s="28" t="s">
        <v>256</v>
      </c>
      <c r="C261" s="53">
        <v>1083.9000000000001</v>
      </c>
      <c r="D261" s="54">
        <v>89585</v>
      </c>
      <c r="E261" s="54">
        <v>42734</v>
      </c>
      <c r="F261" s="55">
        <v>337331.05</v>
      </c>
      <c r="G261" s="55">
        <v>25284.14</v>
      </c>
      <c r="H261" s="56">
        <f t="shared" si="12"/>
        <v>362615.19</v>
      </c>
      <c r="I261" s="53">
        <v>454</v>
      </c>
      <c r="J261" s="55">
        <f t="shared" si="13"/>
        <v>798.71</v>
      </c>
      <c r="K261" s="55">
        <f t="shared" si="14"/>
        <v>334.54672017713807</v>
      </c>
      <c r="L261" s="56">
        <f t="shared" si="15"/>
        <v>4.05</v>
      </c>
      <c r="M261" s="54">
        <v>187</v>
      </c>
    </row>
    <row r="262" spans="1:13" ht="15" customHeight="1" x14ac:dyDescent="0.55000000000000004">
      <c r="A262" s="52" t="s">
        <v>419</v>
      </c>
      <c r="B262" s="28" t="s">
        <v>257</v>
      </c>
      <c r="C262" s="53">
        <v>1050.7</v>
      </c>
      <c r="D262" s="54">
        <v>97300</v>
      </c>
      <c r="E262" s="54">
        <v>17400</v>
      </c>
      <c r="F262" s="55">
        <v>376138.01</v>
      </c>
      <c r="G262" s="55">
        <v>3119.04</v>
      </c>
      <c r="H262" s="56">
        <f t="shared" si="12"/>
        <v>379257.05</v>
      </c>
      <c r="I262" s="53">
        <v>567</v>
      </c>
      <c r="J262" s="55">
        <f t="shared" si="13"/>
        <v>668.88</v>
      </c>
      <c r="K262" s="55">
        <f t="shared" si="14"/>
        <v>360.95655277434088</v>
      </c>
      <c r="L262" s="56">
        <f t="shared" si="15"/>
        <v>3.9</v>
      </c>
      <c r="M262" s="54">
        <v>248</v>
      </c>
    </row>
    <row r="263" spans="1:13" ht="15" customHeight="1" x14ac:dyDescent="0.55000000000000004">
      <c r="A263" s="52" t="s">
        <v>418</v>
      </c>
      <c r="B263" s="28" t="s">
        <v>258</v>
      </c>
      <c r="C263" s="53">
        <v>750.2</v>
      </c>
      <c r="D263" s="54">
        <v>80315</v>
      </c>
      <c r="E263" s="54">
        <v>23410</v>
      </c>
      <c r="F263" s="55">
        <v>352257.96</v>
      </c>
      <c r="G263" s="55">
        <v>5245.23</v>
      </c>
      <c r="H263" s="56">
        <f t="shared" ref="H263:H326" si="16">F263+G263</f>
        <v>357503.19</v>
      </c>
      <c r="I263" s="53">
        <v>299</v>
      </c>
      <c r="J263" s="55">
        <f t="shared" ref="J263:J326" si="17">ROUND((H263/I263),2)</f>
        <v>1195.6600000000001</v>
      </c>
      <c r="K263" s="55">
        <f t="shared" ref="K263:K326" si="18">H263/C263</f>
        <v>476.5438416422287</v>
      </c>
      <c r="L263" s="56">
        <f t="shared" ref="L263:L326" si="19">ROUND((H263/D263),2)</f>
        <v>4.45</v>
      </c>
      <c r="M263" s="54">
        <v>239</v>
      </c>
    </row>
    <row r="264" spans="1:13" ht="15" customHeight="1" x14ac:dyDescent="0.55000000000000004">
      <c r="A264" s="52" t="s">
        <v>417</v>
      </c>
      <c r="B264" s="28" t="s">
        <v>259</v>
      </c>
      <c r="C264" s="53">
        <v>373.6</v>
      </c>
      <c r="D264" s="54">
        <v>78122</v>
      </c>
      <c r="E264" s="54">
        <v>15798</v>
      </c>
      <c r="F264" s="55">
        <v>266903.92</v>
      </c>
      <c r="G264" s="55"/>
      <c r="H264" s="56">
        <f t="shared" si="16"/>
        <v>266903.92</v>
      </c>
      <c r="I264" s="53">
        <v>136</v>
      </c>
      <c r="J264" s="55">
        <f t="shared" si="17"/>
        <v>1962.53</v>
      </c>
      <c r="K264" s="55">
        <f t="shared" si="18"/>
        <v>714.41092077087785</v>
      </c>
      <c r="L264" s="56">
        <f t="shared" si="19"/>
        <v>3.42</v>
      </c>
      <c r="M264" s="54">
        <v>177</v>
      </c>
    </row>
    <row r="265" spans="1:13" ht="15" customHeight="1" x14ac:dyDescent="0.55000000000000004">
      <c r="A265" s="52" t="s">
        <v>416</v>
      </c>
      <c r="B265" s="28" t="s">
        <v>260</v>
      </c>
      <c r="C265" s="53">
        <v>554.5</v>
      </c>
      <c r="D265" s="54">
        <v>52995</v>
      </c>
      <c r="E265" s="54">
        <v>18225</v>
      </c>
      <c r="F265" s="55">
        <v>192030.1</v>
      </c>
      <c r="G265" s="55"/>
      <c r="H265" s="56">
        <f t="shared" si="16"/>
        <v>192030.1</v>
      </c>
      <c r="I265" s="53">
        <v>353</v>
      </c>
      <c r="J265" s="55">
        <f t="shared" si="17"/>
        <v>543.99</v>
      </c>
      <c r="K265" s="55">
        <f t="shared" si="18"/>
        <v>346.31217312894501</v>
      </c>
      <c r="L265" s="56">
        <f t="shared" si="19"/>
        <v>3.62</v>
      </c>
      <c r="M265" s="54">
        <v>170</v>
      </c>
    </row>
    <row r="266" spans="1:13" ht="15" customHeight="1" x14ac:dyDescent="0.55000000000000004">
      <c r="A266" s="52" t="s">
        <v>415</v>
      </c>
      <c r="B266" s="28" t="s">
        <v>261</v>
      </c>
      <c r="C266" s="53">
        <v>1334.7</v>
      </c>
      <c r="D266" s="54">
        <v>94192</v>
      </c>
      <c r="E266" s="54">
        <v>31922</v>
      </c>
      <c r="F266" s="55">
        <v>266747.59000000003</v>
      </c>
      <c r="G266" s="55">
        <v>108100.77</v>
      </c>
      <c r="H266" s="56">
        <f t="shared" si="16"/>
        <v>374848.36000000004</v>
      </c>
      <c r="I266" s="53">
        <v>1075.9000000000001</v>
      </c>
      <c r="J266" s="55">
        <f t="shared" si="17"/>
        <v>348.4</v>
      </c>
      <c r="K266" s="55">
        <f t="shared" si="18"/>
        <v>280.84840038960067</v>
      </c>
      <c r="L266" s="56">
        <f t="shared" si="19"/>
        <v>3.98</v>
      </c>
      <c r="M266" s="54">
        <v>107</v>
      </c>
    </row>
    <row r="267" spans="1:13" ht="15" customHeight="1" x14ac:dyDescent="0.55000000000000004">
      <c r="A267" s="52" t="s">
        <v>414</v>
      </c>
      <c r="B267" s="28" t="s">
        <v>262</v>
      </c>
      <c r="C267" s="53">
        <v>483</v>
      </c>
      <c r="D267" s="54">
        <v>78219</v>
      </c>
      <c r="E267" s="54">
        <v>31483</v>
      </c>
      <c r="F267" s="55">
        <v>283532.53999999998</v>
      </c>
      <c r="G267" s="55"/>
      <c r="H267" s="56">
        <f t="shared" si="16"/>
        <v>283532.53999999998</v>
      </c>
      <c r="I267" s="53">
        <v>297</v>
      </c>
      <c r="J267" s="55">
        <f t="shared" si="17"/>
        <v>954.66</v>
      </c>
      <c r="K267" s="55">
        <f t="shared" si="18"/>
        <v>587.02389233954443</v>
      </c>
      <c r="L267" s="56">
        <f t="shared" si="19"/>
        <v>3.62</v>
      </c>
      <c r="M267" s="54">
        <v>194</v>
      </c>
    </row>
    <row r="268" spans="1:13" ht="15" customHeight="1" x14ac:dyDescent="0.55000000000000004">
      <c r="A268" s="52" t="s">
        <v>413</v>
      </c>
      <c r="B268" s="28" t="s">
        <v>263</v>
      </c>
      <c r="C268" s="53">
        <v>14556.300000000001</v>
      </c>
      <c r="D268" s="54">
        <v>408869</v>
      </c>
      <c r="E268" s="54">
        <v>365798</v>
      </c>
      <c r="F268" s="55">
        <v>2294689.31</v>
      </c>
      <c r="G268" s="55">
        <v>128446.13</v>
      </c>
      <c r="H268" s="56">
        <f t="shared" si="16"/>
        <v>2423135.44</v>
      </c>
      <c r="I268" s="53">
        <v>4305</v>
      </c>
      <c r="J268" s="55">
        <f t="shared" si="17"/>
        <v>562.87</v>
      </c>
      <c r="K268" s="55">
        <f t="shared" si="18"/>
        <v>166.46643996070429</v>
      </c>
      <c r="L268" s="56">
        <f t="shared" si="19"/>
        <v>5.93</v>
      </c>
      <c r="M268" s="54">
        <v>64</v>
      </c>
    </row>
    <row r="269" spans="1:13" ht="15" customHeight="1" x14ac:dyDescent="0.55000000000000004">
      <c r="A269" s="52" t="s">
        <v>412</v>
      </c>
      <c r="B269" s="28" t="s">
        <v>340</v>
      </c>
      <c r="C269" s="53">
        <v>946.8</v>
      </c>
      <c r="D269" s="54">
        <v>189906</v>
      </c>
      <c r="E269" s="54">
        <v>23581</v>
      </c>
      <c r="F269" s="55">
        <v>515135.79</v>
      </c>
      <c r="G269" s="55">
        <v>9801.51</v>
      </c>
      <c r="H269" s="56">
        <f t="shared" si="16"/>
        <v>524937.29999999993</v>
      </c>
      <c r="I269" s="53">
        <v>463</v>
      </c>
      <c r="J269" s="55">
        <f t="shared" si="17"/>
        <v>1133.77</v>
      </c>
      <c r="K269" s="55">
        <f t="shared" si="18"/>
        <v>554.43314321926482</v>
      </c>
      <c r="L269" s="56">
        <f t="shared" si="19"/>
        <v>2.76</v>
      </c>
      <c r="M269" s="54">
        <v>432</v>
      </c>
    </row>
    <row r="270" spans="1:13" ht="15" customHeight="1" x14ac:dyDescent="0.55000000000000004">
      <c r="A270" s="52" t="s">
        <v>411</v>
      </c>
      <c r="B270" s="28" t="s">
        <v>264</v>
      </c>
      <c r="C270" s="53">
        <v>1397.1</v>
      </c>
      <c r="D270" s="54">
        <v>73080</v>
      </c>
      <c r="E270" s="54">
        <v>38030</v>
      </c>
      <c r="F270" s="55">
        <v>337423.16</v>
      </c>
      <c r="G270" s="55">
        <v>1766.87</v>
      </c>
      <c r="H270" s="56">
        <f t="shared" si="16"/>
        <v>339190.02999999997</v>
      </c>
      <c r="I270" s="53">
        <v>955</v>
      </c>
      <c r="J270" s="55">
        <f t="shared" si="17"/>
        <v>355.17</v>
      </c>
      <c r="K270" s="55">
        <f t="shared" si="18"/>
        <v>242.78149738744543</v>
      </c>
      <c r="L270" s="56">
        <f t="shared" si="19"/>
        <v>4.6399999999999997</v>
      </c>
      <c r="M270" s="54">
        <v>110</v>
      </c>
    </row>
    <row r="271" spans="1:13" ht="15" customHeight="1" x14ac:dyDescent="0.55000000000000004">
      <c r="A271" s="52" t="s">
        <v>410</v>
      </c>
      <c r="B271" s="28" t="s">
        <v>265</v>
      </c>
      <c r="C271" s="53">
        <v>540.9</v>
      </c>
      <c r="D271" s="54">
        <v>98278</v>
      </c>
      <c r="E271" s="54">
        <v>21569</v>
      </c>
      <c r="F271" s="55">
        <v>280291.74</v>
      </c>
      <c r="G271" s="55"/>
      <c r="H271" s="56">
        <f t="shared" si="16"/>
        <v>280291.74</v>
      </c>
      <c r="I271" s="53">
        <v>321.10000000000002</v>
      </c>
      <c r="J271" s="55">
        <f t="shared" si="17"/>
        <v>872.91</v>
      </c>
      <c r="K271" s="55">
        <f t="shared" si="18"/>
        <v>518.19511924570156</v>
      </c>
      <c r="L271" s="56">
        <f t="shared" si="19"/>
        <v>2.85</v>
      </c>
      <c r="M271" s="54">
        <v>151</v>
      </c>
    </row>
    <row r="272" spans="1:13" ht="15" customHeight="1" x14ac:dyDescent="0.55000000000000004">
      <c r="A272" s="52" t="s">
        <v>409</v>
      </c>
      <c r="B272" s="28" t="s">
        <v>266</v>
      </c>
      <c r="C272" s="53">
        <v>629.9</v>
      </c>
      <c r="D272" s="54">
        <v>88411</v>
      </c>
      <c r="E272" s="54">
        <v>23057</v>
      </c>
      <c r="F272" s="55">
        <v>366446.72</v>
      </c>
      <c r="G272" s="55">
        <v>442.1</v>
      </c>
      <c r="H272" s="56">
        <f t="shared" si="16"/>
        <v>366888.81999999995</v>
      </c>
      <c r="I272" s="53">
        <v>293</v>
      </c>
      <c r="J272" s="55">
        <f t="shared" si="17"/>
        <v>1252.18</v>
      </c>
      <c r="K272" s="55">
        <f t="shared" si="18"/>
        <v>582.45565962851242</v>
      </c>
      <c r="L272" s="56">
        <f t="shared" si="19"/>
        <v>4.1500000000000004</v>
      </c>
      <c r="M272" s="54">
        <v>203</v>
      </c>
    </row>
    <row r="273" spans="1:13" ht="15" customHeight="1" x14ac:dyDescent="0.55000000000000004">
      <c r="A273" s="52" t="s">
        <v>408</v>
      </c>
      <c r="B273" s="28" t="s">
        <v>267</v>
      </c>
      <c r="C273" s="53">
        <v>573.70000000000005</v>
      </c>
      <c r="D273" s="54">
        <v>142288</v>
      </c>
      <c r="E273" s="54">
        <v>6273</v>
      </c>
      <c r="F273" s="55">
        <v>443647.65</v>
      </c>
      <c r="G273" s="55">
        <v>883.44</v>
      </c>
      <c r="H273" s="56">
        <f t="shared" si="16"/>
        <v>444531.09</v>
      </c>
      <c r="I273" s="53">
        <v>435</v>
      </c>
      <c r="J273" s="55">
        <f t="shared" si="17"/>
        <v>1021.91</v>
      </c>
      <c r="K273" s="55">
        <f t="shared" si="18"/>
        <v>774.8493812096915</v>
      </c>
      <c r="L273" s="56">
        <f t="shared" si="19"/>
        <v>3.12</v>
      </c>
      <c r="M273" s="54">
        <v>226</v>
      </c>
    </row>
    <row r="274" spans="1:13" ht="15" customHeight="1" x14ac:dyDescent="0.55000000000000004">
      <c r="A274" s="52" t="s">
        <v>407</v>
      </c>
      <c r="B274" s="28" t="s">
        <v>268</v>
      </c>
      <c r="C274" s="53">
        <v>195</v>
      </c>
      <c r="D274" s="54">
        <v>31304</v>
      </c>
      <c r="E274" s="54">
        <v>8425</v>
      </c>
      <c r="F274" s="55">
        <v>93715.15</v>
      </c>
      <c r="G274" s="55">
        <v>235.13</v>
      </c>
      <c r="H274" s="56">
        <f t="shared" si="16"/>
        <v>93950.28</v>
      </c>
      <c r="I274" s="53">
        <v>102</v>
      </c>
      <c r="J274" s="55">
        <f t="shared" si="17"/>
        <v>921.08</v>
      </c>
      <c r="K274" s="55">
        <f t="shared" si="18"/>
        <v>481.79630769230766</v>
      </c>
      <c r="L274" s="56">
        <f t="shared" si="19"/>
        <v>3</v>
      </c>
      <c r="M274" s="54">
        <v>143</v>
      </c>
    </row>
    <row r="275" spans="1:13" ht="15" customHeight="1" x14ac:dyDescent="0.55000000000000004">
      <c r="A275" s="52" t="s">
        <v>406</v>
      </c>
      <c r="B275" s="28" t="s">
        <v>269</v>
      </c>
      <c r="C275" s="53">
        <v>1541.1</v>
      </c>
      <c r="D275" s="54">
        <v>186139</v>
      </c>
      <c r="E275" s="54">
        <v>39057</v>
      </c>
      <c r="F275" s="55">
        <v>638662.56000000006</v>
      </c>
      <c r="G275" s="55">
        <v>1352.17</v>
      </c>
      <c r="H275" s="56">
        <f t="shared" si="16"/>
        <v>640014.7300000001</v>
      </c>
      <c r="I275" s="53">
        <v>1273</v>
      </c>
      <c r="J275" s="55">
        <f t="shared" si="17"/>
        <v>502.76</v>
      </c>
      <c r="K275" s="55">
        <f t="shared" si="18"/>
        <v>415.29733956265017</v>
      </c>
      <c r="L275" s="56">
        <f t="shared" si="19"/>
        <v>3.44</v>
      </c>
      <c r="M275" s="54">
        <v>262</v>
      </c>
    </row>
    <row r="276" spans="1:13" ht="15" customHeight="1" x14ac:dyDescent="0.55000000000000004">
      <c r="A276" s="52" t="s">
        <v>405</v>
      </c>
      <c r="B276" s="28" t="s">
        <v>1304</v>
      </c>
      <c r="C276" s="53">
        <v>611.5</v>
      </c>
      <c r="D276" s="54">
        <v>102321</v>
      </c>
      <c r="E276" s="54">
        <v>51037</v>
      </c>
      <c r="F276" s="55">
        <v>267910.53999999998</v>
      </c>
      <c r="G276" s="55">
        <v>6544.11</v>
      </c>
      <c r="H276" s="56">
        <f t="shared" si="16"/>
        <v>274454.64999999997</v>
      </c>
      <c r="I276" s="53">
        <v>303.7</v>
      </c>
      <c r="J276" s="55">
        <f t="shared" si="17"/>
        <v>903.7</v>
      </c>
      <c r="K276" s="55">
        <f t="shared" si="18"/>
        <v>448.82199509403102</v>
      </c>
      <c r="L276" s="56">
        <f t="shared" si="19"/>
        <v>2.68</v>
      </c>
      <c r="M276" s="54">
        <v>303</v>
      </c>
    </row>
    <row r="277" spans="1:13" ht="15" customHeight="1" x14ac:dyDescent="0.55000000000000004">
      <c r="A277" s="52" t="s">
        <v>404</v>
      </c>
      <c r="B277" s="28" t="s">
        <v>271</v>
      </c>
      <c r="C277" s="53">
        <v>499</v>
      </c>
      <c r="D277" s="54">
        <v>124250</v>
      </c>
      <c r="E277" s="54">
        <v>39966</v>
      </c>
      <c r="F277" s="55">
        <v>252497.41</v>
      </c>
      <c r="G277" s="55"/>
      <c r="H277" s="56">
        <f t="shared" si="16"/>
        <v>252497.41</v>
      </c>
      <c r="I277" s="53">
        <v>506.9</v>
      </c>
      <c r="J277" s="55">
        <f t="shared" si="17"/>
        <v>498.12</v>
      </c>
      <c r="K277" s="55">
        <f t="shared" si="18"/>
        <v>506.00683366733466</v>
      </c>
      <c r="L277" s="56">
        <f t="shared" si="19"/>
        <v>2.0299999999999998</v>
      </c>
      <c r="M277" s="54">
        <v>175</v>
      </c>
    </row>
    <row r="278" spans="1:13" ht="15" customHeight="1" x14ac:dyDescent="0.55000000000000004">
      <c r="A278" s="52" t="s">
        <v>403</v>
      </c>
      <c r="B278" s="28" t="s">
        <v>272</v>
      </c>
      <c r="C278" s="53">
        <v>6894.4</v>
      </c>
      <c r="D278" s="54">
        <v>492128</v>
      </c>
      <c r="E278" s="54">
        <v>328392</v>
      </c>
      <c r="F278" s="55">
        <v>2267798.31</v>
      </c>
      <c r="G278" s="55">
        <v>94510.27</v>
      </c>
      <c r="H278" s="56">
        <f t="shared" si="16"/>
        <v>2362308.58</v>
      </c>
      <c r="I278" s="53">
        <v>3865.7</v>
      </c>
      <c r="J278" s="55">
        <f t="shared" si="17"/>
        <v>611.09</v>
      </c>
      <c r="K278" s="55">
        <f t="shared" si="18"/>
        <v>342.64164829426784</v>
      </c>
      <c r="L278" s="56">
        <f t="shared" si="19"/>
        <v>4.8</v>
      </c>
      <c r="M278" s="54">
        <v>110</v>
      </c>
    </row>
    <row r="279" spans="1:13" ht="15" customHeight="1" x14ac:dyDescent="0.55000000000000004">
      <c r="A279" s="52" t="s">
        <v>402</v>
      </c>
      <c r="B279" s="28" t="s">
        <v>273</v>
      </c>
      <c r="C279" s="53">
        <v>1957.5</v>
      </c>
      <c r="D279" s="54">
        <v>99681</v>
      </c>
      <c r="E279" s="54">
        <v>87866</v>
      </c>
      <c r="F279" s="55">
        <v>397337.35</v>
      </c>
      <c r="G279" s="55"/>
      <c r="H279" s="56">
        <f t="shared" si="16"/>
        <v>397337.35</v>
      </c>
      <c r="I279" s="53">
        <v>1050.9000000000001</v>
      </c>
      <c r="J279" s="55">
        <f t="shared" si="17"/>
        <v>378.09</v>
      </c>
      <c r="K279" s="55">
        <f t="shared" si="18"/>
        <v>202.98204342273306</v>
      </c>
      <c r="L279" s="56">
        <f t="shared" si="19"/>
        <v>3.99</v>
      </c>
      <c r="M279" s="54">
        <v>105</v>
      </c>
    </row>
    <row r="280" spans="1:13" ht="15" customHeight="1" x14ac:dyDescent="0.55000000000000004">
      <c r="A280" s="52" t="s">
        <v>401</v>
      </c>
      <c r="B280" s="28" t="s">
        <v>274</v>
      </c>
      <c r="C280" s="53">
        <v>1167.7</v>
      </c>
      <c r="D280" s="54">
        <v>64221</v>
      </c>
      <c r="E280" s="54">
        <v>19780</v>
      </c>
      <c r="F280" s="55">
        <v>394403.83</v>
      </c>
      <c r="G280" s="55">
        <v>2073.5300000000002</v>
      </c>
      <c r="H280" s="56">
        <f t="shared" si="16"/>
        <v>396477.36000000004</v>
      </c>
      <c r="I280" s="53">
        <v>430</v>
      </c>
      <c r="J280" s="55">
        <f t="shared" si="17"/>
        <v>922.04</v>
      </c>
      <c r="K280" s="55">
        <f t="shared" si="18"/>
        <v>339.5370043675602</v>
      </c>
      <c r="L280" s="56">
        <f t="shared" si="19"/>
        <v>6.17</v>
      </c>
      <c r="M280" s="54">
        <v>99</v>
      </c>
    </row>
    <row r="281" spans="1:13" ht="15" customHeight="1" x14ac:dyDescent="0.55000000000000004">
      <c r="A281" s="52" t="s">
        <v>400</v>
      </c>
      <c r="B281" s="28" t="s">
        <v>275</v>
      </c>
      <c r="C281" s="53">
        <v>382.1</v>
      </c>
      <c r="D281" s="54">
        <v>36367</v>
      </c>
      <c r="E281" s="54">
        <v>13706</v>
      </c>
      <c r="F281" s="55">
        <v>110158.75</v>
      </c>
      <c r="G281" s="55">
        <v>3354.17</v>
      </c>
      <c r="H281" s="56">
        <f t="shared" si="16"/>
        <v>113512.92</v>
      </c>
      <c r="I281" s="53">
        <v>76</v>
      </c>
      <c r="J281" s="55">
        <f t="shared" si="17"/>
        <v>1493.59</v>
      </c>
      <c r="K281" s="55">
        <f t="shared" si="18"/>
        <v>297.07647212771525</v>
      </c>
      <c r="L281" s="56">
        <f t="shared" si="19"/>
        <v>3.12</v>
      </c>
      <c r="M281" s="54">
        <v>58</v>
      </c>
    </row>
    <row r="282" spans="1:13" ht="15" customHeight="1" x14ac:dyDescent="0.55000000000000004">
      <c r="A282" s="52" t="s">
        <v>399</v>
      </c>
      <c r="B282" s="28" t="s">
        <v>276</v>
      </c>
      <c r="C282" s="53">
        <v>172.1</v>
      </c>
      <c r="D282" s="54">
        <v>23769</v>
      </c>
      <c r="E282" s="54">
        <v>8952</v>
      </c>
      <c r="F282" s="55">
        <v>58151.73</v>
      </c>
      <c r="G282" s="55"/>
      <c r="H282" s="56">
        <f t="shared" si="16"/>
        <v>58151.73</v>
      </c>
      <c r="I282" s="53">
        <v>54</v>
      </c>
      <c r="J282" s="55">
        <f t="shared" si="17"/>
        <v>1076.8800000000001</v>
      </c>
      <c r="K282" s="55">
        <f t="shared" si="18"/>
        <v>337.89500290528764</v>
      </c>
      <c r="L282" s="56">
        <f t="shared" si="19"/>
        <v>2.4500000000000002</v>
      </c>
      <c r="M282" s="54">
        <v>80</v>
      </c>
    </row>
    <row r="283" spans="1:13" ht="15" customHeight="1" x14ac:dyDescent="0.55000000000000004">
      <c r="A283" s="52" t="s">
        <v>398</v>
      </c>
      <c r="B283" s="28" t="s">
        <v>277</v>
      </c>
      <c r="C283" s="53">
        <v>599</v>
      </c>
      <c r="D283" s="54">
        <v>83416</v>
      </c>
      <c r="E283" s="54">
        <v>19254</v>
      </c>
      <c r="F283" s="55">
        <v>235585.59</v>
      </c>
      <c r="G283" s="55"/>
      <c r="H283" s="56">
        <f t="shared" si="16"/>
        <v>235585.59</v>
      </c>
      <c r="I283" s="53">
        <v>471</v>
      </c>
      <c r="J283" s="55">
        <f t="shared" si="17"/>
        <v>500.18</v>
      </c>
      <c r="K283" s="55">
        <f t="shared" si="18"/>
        <v>393.29814691151921</v>
      </c>
      <c r="L283" s="56">
        <f t="shared" si="19"/>
        <v>2.82</v>
      </c>
      <c r="M283" s="54">
        <v>201</v>
      </c>
    </row>
    <row r="284" spans="1:13" ht="15" customHeight="1" x14ac:dyDescent="0.55000000000000004">
      <c r="A284" s="52" t="s">
        <v>397</v>
      </c>
      <c r="B284" s="28" t="s">
        <v>278</v>
      </c>
      <c r="C284" s="53">
        <v>2385.5</v>
      </c>
      <c r="D284" s="54">
        <v>89632</v>
      </c>
      <c r="E284" s="54">
        <v>55639</v>
      </c>
      <c r="F284" s="55">
        <v>394940.59</v>
      </c>
      <c r="G284" s="55"/>
      <c r="H284" s="56">
        <f t="shared" si="16"/>
        <v>394940.59</v>
      </c>
      <c r="I284" s="53">
        <v>1768.5</v>
      </c>
      <c r="J284" s="55">
        <f t="shared" si="17"/>
        <v>223.32</v>
      </c>
      <c r="K284" s="55">
        <f t="shared" si="18"/>
        <v>165.55883043387132</v>
      </c>
      <c r="L284" s="56">
        <f t="shared" si="19"/>
        <v>4.41</v>
      </c>
      <c r="M284" s="54">
        <v>85</v>
      </c>
    </row>
    <row r="285" spans="1:13" ht="15" customHeight="1" x14ac:dyDescent="0.55000000000000004">
      <c r="A285" s="52" t="s">
        <v>396</v>
      </c>
      <c r="B285" s="28" t="s">
        <v>279</v>
      </c>
      <c r="C285" s="53">
        <v>141.69999999999999</v>
      </c>
      <c r="D285" s="54">
        <v>21100</v>
      </c>
      <c r="E285" s="54">
        <v>13238</v>
      </c>
      <c r="F285" s="55">
        <v>77796</v>
      </c>
      <c r="G285" s="55"/>
      <c r="H285" s="56">
        <f t="shared" si="16"/>
        <v>77796</v>
      </c>
      <c r="I285" s="53">
        <v>39</v>
      </c>
      <c r="J285" s="55">
        <f t="shared" si="17"/>
        <v>1994.77</v>
      </c>
      <c r="K285" s="55">
        <f t="shared" si="18"/>
        <v>549.01905434015532</v>
      </c>
      <c r="L285" s="56">
        <f t="shared" si="19"/>
        <v>3.69</v>
      </c>
      <c r="M285" s="54">
        <v>80</v>
      </c>
    </row>
    <row r="286" spans="1:13" ht="15" customHeight="1" x14ac:dyDescent="0.55000000000000004">
      <c r="A286" s="52" t="s">
        <v>395</v>
      </c>
      <c r="B286" s="28" t="s">
        <v>280</v>
      </c>
      <c r="C286" s="53">
        <v>962.4</v>
      </c>
      <c r="D286" s="54">
        <v>120699</v>
      </c>
      <c r="E286" s="54">
        <v>41319</v>
      </c>
      <c r="F286" s="55">
        <v>407106.77</v>
      </c>
      <c r="G286" s="55">
        <v>1352.17</v>
      </c>
      <c r="H286" s="56">
        <f t="shared" si="16"/>
        <v>408458.94</v>
      </c>
      <c r="I286" s="53">
        <v>562</v>
      </c>
      <c r="J286" s="55">
        <f t="shared" si="17"/>
        <v>726.8</v>
      </c>
      <c r="K286" s="55">
        <f t="shared" si="18"/>
        <v>424.41701995012471</v>
      </c>
      <c r="L286" s="56">
        <f t="shared" si="19"/>
        <v>3.38</v>
      </c>
      <c r="M286" s="54">
        <v>229</v>
      </c>
    </row>
    <row r="287" spans="1:13" ht="15" customHeight="1" x14ac:dyDescent="0.55000000000000004">
      <c r="A287" s="52" t="s">
        <v>394</v>
      </c>
      <c r="B287" s="28" t="s">
        <v>341</v>
      </c>
      <c r="C287" s="53">
        <v>818.8</v>
      </c>
      <c r="D287" s="54">
        <v>178245</v>
      </c>
      <c r="E287" s="54">
        <v>24836</v>
      </c>
      <c r="F287" s="55">
        <v>444771.36</v>
      </c>
      <c r="G287" s="55">
        <v>468.73</v>
      </c>
      <c r="H287" s="56">
        <f t="shared" si="16"/>
        <v>445240.08999999997</v>
      </c>
      <c r="I287" s="53">
        <v>398.6</v>
      </c>
      <c r="J287" s="55">
        <f t="shared" si="17"/>
        <v>1117.01</v>
      </c>
      <c r="K287" s="55">
        <f t="shared" si="18"/>
        <v>543.77148265754761</v>
      </c>
      <c r="L287" s="56">
        <f t="shared" si="19"/>
        <v>2.5</v>
      </c>
      <c r="M287" s="54">
        <v>217</v>
      </c>
    </row>
    <row r="288" spans="1:13" ht="15" customHeight="1" x14ac:dyDescent="0.55000000000000004">
      <c r="A288" s="52" t="s">
        <v>393</v>
      </c>
      <c r="B288" s="28" t="s">
        <v>281</v>
      </c>
      <c r="C288" s="53">
        <v>877.1</v>
      </c>
      <c r="D288" s="54">
        <v>65459</v>
      </c>
      <c r="E288" s="54">
        <v>34556</v>
      </c>
      <c r="F288" s="55">
        <v>296033.61</v>
      </c>
      <c r="G288" s="55"/>
      <c r="H288" s="56">
        <f t="shared" si="16"/>
        <v>296033.61</v>
      </c>
      <c r="I288" s="53">
        <v>364.4</v>
      </c>
      <c r="J288" s="55">
        <f t="shared" si="17"/>
        <v>812.39</v>
      </c>
      <c r="K288" s="55">
        <f t="shared" si="18"/>
        <v>337.51409189374073</v>
      </c>
      <c r="L288" s="56">
        <f t="shared" si="19"/>
        <v>4.5199999999999996</v>
      </c>
      <c r="M288" s="54">
        <v>138</v>
      </c>
    </row>
    <row r="289" spans="1:13" ht="15" customHeight="1" x14ac:dyDescent="0.55000000000000004">
      <c r="A289" s="52" t="s">
        <v>392</v>
      </c>
      <c r="B289" s="28" t="s">
        <v>282</v>
      </c>
      <c r="C289" s="53">
        <v>631.1</v>
      </c>
      <c r="D289" s="54">
        <v>71313</v>
      </c>
      <c r="E289" s="54">
        <v>25055</v>
      </c>
      <c r="F289" s="55">
        <v>293438.40000000002</v>
      </c>
      <c r="G289" s="55">
        <v>3615.17</v>
      </c>
      <c r="H289" s="56">
        <f t="shared" si="16"/>
        <v>297053.57</v>
      </c>
      <c r="I289" s="53">
        <v>438.4</v>
      </c>
      <c r="J289" s="55">
        <f t="shared" si="17"/>
        <v>677.59</v>
      </c>
      <c r="K289" s="55">
        <f t="shared" si="18"/>
        <v>470.69176041831724</v>
      </c>
      <c r="L289" s="56">
        <f t="shared" si="19"/>
        <v>4.17</v>
      </c>
      <c r="M289" s="54">
        <v>99</v>
      </c>
    </row>
    <row r="290" spans="1:13" ht="15" customHeight="1" x14ac:dyDescent="0.55000000000000004">
      <c r="A290" s="52" t="s">
        <v>391</v>
      </c>
      <c r="B290" s="28" t="s">
        <v>283</v>
      </c>
      <c r="C290" s="53">
        <v>641</v>
      </c>
      <c r="D290" s="54">
        <v>102377</v>
      </c>
      <c r="E290" s="54">
        <v>34125</v>
      </c>
      <c r="F290" s="55">
        <v>356093.34</v>
      </c>
      <c r="G290" s="55">
        <v>414.71</v>
      </c>
      <c r="H290" s="56">
        <f t="shared" si="16"/>
        <v>356508.05000000005</v>
      </c>
      <c r="I290" s="53">
        <v>542</v>
      </c>
      <c r="J290" s="55">
        <f t="shared" si="17"/>
        <v>657.76</v>
      </c>
      <c r="K290" s="55">
        <f t="shared" si="18"/>
        <v>556.17480499219971</v>
      </c>
      <c r="L290" s="56">
        <f t="shared" si="19"/>
        <v>3.48</v>
      </c>
      <c r="M290" s="54">
        <v>179</v>
      </c>
    </row>
    <row r="291" spans="1:13" ht="15" customHeight="1" x14ac:dyDescent="0.55000000000000004">
      <c r="A291" s="52" t="s">
        <v>390</v>
      </c>
      <c r="B291" s="28" t="s">
        <v>284</v>
      </c>
      <c r="C291" s="53">
        <v>285.8</v>
      </c>
      <c r="D291" s="54">
        <v>47944</v>
      </c>
      <c r="E291" s="54">
        <v>7622</v>
      </c>
      <c r="F291" s="55">
        <v>154060.67000000001</v>
      </c>
      <c r="G291" s="55">
        <v>1118.56</v>
      </c>
      <c r="H291" s="56">
        <f t="shared" si="16"/>
        <v>155179.23000000001</v>
      </c>
      <c r="I291" s="53">
        <v>225</v>
      </c>
      <c r="J291" s="55">
        <f t="shared" si="17"/>
        <v>689.69</v>
      </c>
      <c r="K291" s="55">
        <f t="shared" si="18"/>
        <v>542.96441567529746</v>
      </c>
      <c r="L291" s="56">
        <f t="shared" si="19"/>
        <v>3.24</v>
      </c>
      <c r="M291" s="54">
        <v>128</v>
      </c>
    </row>
    <row r="292" spans="1:13" ht="15" customHeight="1" x14ac:dyDescent="0.55000000000000004">
      <c r="A292" s="52" t="s">
        <v>389</v>
      </c>
      <c r="B292" s="28" t="s">
        <v>285</v>
      </c>
      <c r="C292" s="53">
        <v>410</v>
      </c>
      <c r="D292" s="54">
        <v>32486</v>
      </c>
      <c r="E292" s="54">
        <v>11269</v>
      </c>
      <c r="F292" s="55">
        <v>117297.63</v>
      </c>
      <c r="G292" s="55">
        <v>1298.1400000000001</v>
      </c>
      <c r="H292" s="56">
        <f t="shared" si="16"/>
        <v>118595.77</v>
      </c>
      <c r="I292" s="53">
        <v>135</v>
      </c>
      <c r="J292" s="55">
        <f t="shared" si="17"/>
        <v>878.49</v>
      </c>
      <c r="K292" s="55">
        <f t="shared" si="18"/>
        <v>289.2579756097561</v>
      </c>
      <c r="L292" s="56">
        <f t="shared" si="19"/>
        <v>3.65</v>
      </c>
      <c r="M292" s="54">
        <v>105</v>
      </c>
    </row>
    <row r="293" spans="1:13" ht="15" customHeight="1" x14ac:dyDescent="0.55000000000000004">
      <c r="A293" s="52" t="s">
        <v>388</v>
      </c>
      <c r="B293" s="28" t="s">
        <v>286</v>
      </c>
      <c r="C293" s="53">
        <v>343</v>
      </c>
      <c r="D293" s="54">
        <v>83535</v>
      </c>
      <c r="E293" s="54">
        <v>14052</v>
      </c>
      <c r="F293" s="55">
        <v>221251.56</v>
      </c>
      <c r="G293" s="55">
        <v>23387.919999999998</v>
      </c>
      <c r="H293" s="56">
        <f t="shared" si="16"/>
        <v>244639.47999999998</v>
      </c>
      <c r="I293" s="53">
        <v>279.2</v>
      </c>
      <c r="J293" s="55">
        <f t="shared" si="17"/>
        <v>876.22</v>
      </c>
      <c r="K293" s="55">
        <f t="shared" si="18"/>
        <v>713.23463556851311</v>
      </c>
      <c r="L293" s="56">
        <f t="shared" si="19"/>
        <v>2.93</v>
      </c>
      <c r="M293" s="54">
        <v>169</v>
      </c>
    </row>
    <row r="294" spans="1:13" ht="15" customHeight="1" x14ac:dyDescent="0.55000000000000004">
      <c r="A294" s="52" t="s">
        <v>387</v>
      </c>
      <c r="B294" s="28" t="s">
        <v>287</v>
      </c>
      <c r="C294" s="53">
        <v>332.4</v>
      </c>
      <c r="D294" s="54">
        <v>61127</v>
      </c>
      <c r="E294" s="54">
        <v>12029</v>
      </c>
      <c r="F294" s="55">
        <v>167047.74</v>
      </c>
      <c r="G294" s="55">
        <v>5402.34</v>
      </c>
      <c r="H294" s="56">
        <f t="shared" si="16"/>
        <v>172450.08</v>
      </c>
      <c r="I294" s="53">
        <v>325.10000000000002</v>
      </c>
      <c r="J294" s="55">
        <f t="shared" si="17"/>
        <v>530.45000000000005</v>
      </c>
      <c r="K294" s="55">
        <f t="shared" si="18"/>
        <v>518.80288808664261</v>
      </c>
      <c r="L294" s="56">
        <f t="shared" si="19"/>
        <v>2.82</v>
      </c>
      <c r="M294" s="54">
        <v>119</v>
      </c>
    </row>
    <row r="295" spans="1:13" ht="15" customHeight="1" x14ac:dyDescent="0.55000000000000004">
      <c r="A295" s="52" t="s">
        <v>386</v>
      </c>
      <c r="B295" s="28" t="s">
        <v>288</v>
      </c>
      <c r="C295" s="53">
        <v>135</v>
      </c>
      <c r="D295" s="54">
        <v>32025</v>
      </c>
      <c r="E295" s="54">
        <v>2998</v>
      </c>
      <c r="F295" s="55">
        <v>111578.02</v>
      </c>
      <c r="G295" s="55">
        <v>3032.42</v>
      </c>
      <c r="H295" s="56">
        <f t="shared" si="16"/>
        <v>114610.44</v>
      </c>
      <c r="I295" s="53">
        <v>40</v>
      </c>
      <c r="J295" s="55">
        <f t="shared" si="17"/>
        <v>2865.26</v>
      </c>
      <c r="K295" s="55">
        <f t="shared" si="18"/>
        <v>848.9662222222222</v>
      </c>
      <c r="L295" s="56">
        <f t="shared" si="19"/>
        <v>3.58</v>
      </c>
      <c r="M295" s="54">
        <v>103</v>
      </c>
    </row>
    <row r="296" spans="1:13" ht="15" customHeight="1" x14ac:dyDescent="0.55000000000000004">
      <c r="A296" s="52" t="s">
        <v>385</v>
      </c>
      <c r="B296" s="28" t="s">
        <v>289</v>
      </c>
      <c r="C296" s="53">
        <v>719</v>
      </c>
      <c r="D296" s="54">
        <v>93451</v>
      </c>
      <c r="E296" s="54">
        <v>19923</v>
      </c>
      <c r="F296" s="55">
        <v>338108.36</v>
      </c>
      <c r="G296" s="55">
        <v>4885.92</v>
      </c>
      <c r="H296" s="56">
        <f t="shared" si="16"/>
        <v>342994.27999999997</v>
      </c>
      <c r="I296" s="53">
        <v>588</v>
      </c>
      <c r="J296" s="55">
        <f t="shared" si="17"/>
        <v>583.32000000000005</v>
      </c>
      <c r="K296" s="55">
        <f t="shared" si="18"/>
        <v>477.043504867872</v>
      </c>
      <c r="L296" s="56">
        <f t="shared" si="19"/>
        <v>3.67</v>
      </c>
      <c r="M296" s="54">
        <v>140</v>
      </c>
    </row>
    <row r="297" spans="1:13" ht="15" customHeight="1" x14ac:dyDescent="0.55000000000000004">
      <c r="A297" s="52" t="s">
        <v>384</v>
      </c>
      <c r="B297" s="28" t="s">
        <v>290</v>
      </c>
      <c r="C297" s="53">
        <v>1054.4000000000001</v>
      </c>
      <c r="D297" s="54">
        <v>146954</v>
      </c>
      <c r="E297" s="54">
        <v>63478</v>
      </c>
      <c r="F297" s="55">
        <v>444685.6</v>
      </c>
      <c r="G297" s="55">
        <v>4885.92</v>
      </c>
      <c r="H297" s="56">
        <f t="shared" si="16"/>
        <v>449571.51999999996</v>
      </c>
      <c r="I297" s="53">
        <v>410.6</v>
      </c>
      <c r="J297" s="55">
        <f t="shared" si="17"/>
        <v>1094.9100000000001</v>
      </c>
      <c r="K297" s="55">
        <f t="shared" si="18"/>
        <v>426.37663125948399</v>
      </c>
      <c r="L297" s="56">
        <f t="shared" si="19"/>
        <v>3.06</v>
      </c>
      <c r="M297" s="54">
        <v>255</v>
      </c>
    </row>
    <row r="298" spans="1:13" ht="15" customHeight="1" x14ac:dyDescent="0.55000000000000004">
      <c r="A298" s="52" t="s">
        <v>383</v>
      </c>
      <c r="B298" s="28" t="s">
        <v>291</v>
      </c>
      <c r="C298" s="53">
        <v>393.4</v>
      </c>
      <c r="D298" s="54">
        <v>60257</v>
      </c>
      <c r="E298" s="54">
        <v>2641</v>
      </c>
      <c r="F298" s="55">
        <v>213902.42</v>
      </c>
      <c r="G298" s="55">
        <v>3716.37</v>
      </c>
      <c r="H298" s="56">
        <f t="shared" si="16"/>
        <v>217618.79</v>
      </c>
      <c r="I298" s="53">
        <v>182</v>
      </c>
      <c r="J298" s="55">
        <f t="shared" si="17"/>
        <v>1195.71</v>
      </c>
      <c r="K298" s="55">
        <f t="shared" si="18"/>
        <v>553.17435180477889</v>
      </c>
      <c r="L298" s="56">
        <f t="shared" si="19"/>
        <v>3.61</v>
      </c>
      <c r="M298" s="54">
        <v>133</v>
      </c>
    </row>
    <row r="299" spans="1:13" ht="15" customHeight="1" x14ac:dyDescent="0.55000000000000004">
      <c r="A299" s="52" t="s">
        <v>382</v>
      </c>
      <c r="B299" s="28" t="s">
        <v>292</v>
      </c>
      <c r="C299" s="53">
        <v>3372.5</v>
      </c>
      <c r="D299" s="54">
        <v>113967</v>
      </c>
      <c r="E299" s="54">
        <v>69630</v>
      </c>
      <c r="F299" s="55">
        <v>771371.14</v>
      </c>
      <c r="G299" s="55">
        <v>101046.28</v>
      </c>
      <c r="H299" s="56">
        <f t="shared" si="16"/>
        <v>872417.42</v>
      </c>
      <c r="I299" s="53">
        <v>1278.2</v>
      </c>
      <c r="J299" s="55">
        <f t="shared" si="17"/>
        <v>682.54</v>
      </c>
      <c r="K299" s="55">
        <f t="shared" si="18"/>
        <v>258.68566938472947</v>
      </c>
      <c r="L299" s="56">
        <f t="shared" si="19"/>
        <v>7.66</v>
      </c>
      <c r="M299" s="54">
        <v>6</v>
      </c>
    </row>
    <row r="300" spans="1:13" ht="15" customHeight="1" x14ac:dyDescent="0.55000000000000004">
      <c r="A300" s="52" t="s">
        <v>380</v>
      </c>
      <c r="B300" s="28" t="s">
        <v>1234</v>
      </c>
      <c r="C300" s="53">
        <v>643</v>
      </c>
      <c r="D300" s="54">
        <v>249646</v>
      </c>
      <c r="E300" s="54">
        <v>30361</v>
      </c>
      <c r="F300" s="55">
        <v>542463.01</v>
      </c>
      <c r="G300" s="55"/>
      <c r="H300" s="56">
        <f t="shared" si="16"/>
        <v>542463.01</v>
      </c>
      <c r="I300" s="53">
        <v>630.9</v>
      </c>
      <c r="J300" s="55">
        <f t="shared" si="17"/>
        <v>859.82</v>
      </c>
      <c r="K300" s="55">
        <f t="shared" si="18"/>
        <v>843.64387247278387</v>
      </c>
      <c r="L300" s="56">
        <f t="shared" si="19"/>
        <v>2.17</v>
      </c>
      <c r="M300" s="54">
        <v>375</v>
      </c>
    </row>
    <row r="301" spans="1:13" ht="15" customHeight="1" x14ac:dyDescent="0.55000000000000004">
      <c r="A301" s="52" t="s">
        <v>379</v>
      </c>
      <c r="B301" s="28" t="s">
        <v>295</v>
      </c>
      <c r="C301" s="53">
        <v>724.3</v>
      </c>
      <c r="D301" s="54">
        <v>48462</v>
      </c>
      <c r="E301" s="54">
        <v>24178</v>
      </c>
      <c r="F301" s="55">
        <v>214730.83</v>
      </c>
      <c r="G301" s="55">
        <v>15234.53</v>
      </c>
      <c r="H301" s="56">
        <f t="shared" si="16"/>
        <v>229965.36</v>
      </c>
      <c r="I301" s="53">
        <v>581</v>
      </c>
      <c r="J301" s="55">
        <f t="shared" si="17"/>
        <v>395.81</v>
      </c>
      <c r="K301" s="55">
        <f t="shared" si="18"/>
        <v>317.50015187077179</v>
      </c>
      <c r="L301" s="56">
        <f t="shared" si="19"/>
        <v>4.75</v>
      </c>
      <c r="M301" s="54">
        <v>61</v>
      </c>
    </row>
    <row r="302" spans="1:13" ht="15" customHeight="1" x14ac:dyDescent="0.55000000000000004">
      <c r="A302" s="52" t="s">
        <v>378</v>
      </c>
      <c r="B302" s="28" t="s">
        <v>296</v>
      </c>
      <c r="C302" s="53">
        <v>303</v>
      </c>
      <c r="D302" s="54">
        <v>38086</v>
      </c>
      <c r="E302" s="54">
        <v>6678</v>
      </c>
      <c r="F302" s="55">
        <v>268278.43</v>
      </c>
      <c r="G302" s="55"/>
      <c r="H302" s="56">
        <f t="shared" si="16"/>
        <v>268278.43</v>
      </c>
      <c r="I302" s="53">
        <v>129.5</v>
      </c>
      <c r="J302" s="55">
        <f t="shared" si="17"/>
        <v>2071.65</v>
      </c>
      <c r="K302" s="55">
        <f t="shared" si="18"/>
        <v>885.40735973597361</v>
      </c>
      <c r="L302" s="56">
        <f t="shared" si="19"/>
        <v>7.04</v>
      </c>
      <c r="M302" s="54">
        <v>160</v>
      </c>
    </row>
    <row r="303" spans="1:13" ht="15" customHeight="1" x14ac:dyDescent="0.55000000000000004">
      <c r="A303" s="52" t="s">
        <v>377</v>
      </c>
      <c r="B303" s="28" t="s">
        <v>297</v>
      </c>
      <c r="C303" s="53">
        <v>1505.6</v>
      </c>
      <c r="D303" s="54">
        <v>144407</v>
      </c>
      <c r="E303" s="54">
        <v>88158</v>
      </c>
      <c r="F303" s="55">
        <v>442459.41</v>
      </c>
      <c r="G303" s="55">
        <v>9069.5</v>
      </c>
      <c r="H303" s="56">
        <f t="shared" si="16"/>
        <v>451528.91</v>
      </c>
      <c r="I303" s="53">
        <v>536</v>
      </c>
      <c r="J303" s="55">
        <f t="shared" si="17"/>
        <v>842.4</v>
      </c>
      <c r="K303" s="55">
        <f t="shared" si="18"/>
        <v>299.89964798087141</v>
      </c>
      <c r="L303" s="56">
        <f t="shared" si="19"/>
        <v>3.13</v>
      </c>
      <c r="M303" s="54">
        <v>235</v>
      </c>
    </row>
    <row r="304" spans="1:13" ht="15" customHeight="1" x14ac:dyDescent="0.55000000000000004">
      <c r="A304" s="52" t="s">
        <v>376</v>
      </c>
      <c r="B304" s="28" t="s">
        <v>298</v>
      </c>
      <c r="C304" s="53">
        <v>482.1</v>
      </c>
      <c r="D304" s="54">
        <v>106280</v>
      </c>
      <c r="E304" s="54">
        <v>31435</v>
      </c>
      <c r="F304" s="55">
        <v>152112.85999999999</v>
      </c>
      <c r="G304" s="55">
        <v>468.73</v>
      </c>
      <c r="H304" s="56">
        <f t="shared" si="16"/>
        <v>152581.59</v>
      </c>
      <c r="I304" s="53">
        <v>310</v>
      </c>
      <c r="J304" s="55">
        <f t="shared" si="17"/>
        <v>492.2</v>
      </c>
      <c r="K304" s="55">
        <f t="shared" si="18"/>
        <v>316.493652769135</v>
      </c>
      <c r="L304" s="56">
        <f t="shared" si="19"/>
        <v>1.44</v>
      </c>
      <c r="M304" s="54">
        <v>128</v>
      </c>
    </row>
    <row r="305" spans="1:13" ht="15" customHeight="1" x14ac:dyDescent="0.55000000000000004">
      <c r="A305" s="52" t="s">
        <v>375</v>
      </c>
      <c r="B305" s="28" t="s">
        <v>333</v>
      </c>
      <c r="C305" s="53">
        <v>834.5</v>
      </c>
      <c r="D305" s="54">
        <v>146887</v>
      </c>
      <c r="E305" s="54">
        <v>27573</v>
      </c>
      <c r="F305" s="55">
        <v>411167.67</v>
      </c>
      <c r="G305" s="55">
        <v>14812.98</v>
      </c>
      <c r="H305" s="56">
        <f t="shared" si="16"/>
        <v>425980.64999999997</v>
      </c>
      <c r="I305" s="53">
        <v>514</v>
      </c>
      <c r="J305" s="55">
        <f t="shared" si="17"/>
        <v>828.76</v>
      </c>
      <c r="K305" s="55">
        <f t="shared" si="18"/>
        <v>510.46213301378066</v>
      </c>
      <c r="L305" s="56">
        <f t="shared" si="19"/>
        <v>2.9</v>
      </c>
      <c r="M305" s="54">
        <v>283</v>
      </c>
    </row>
    <row r="306" spans="1:13" ht="15" customHeight="1" x14ac:dyDescent="0.55000000000000004">
      <c r="A306" s="52" t="s">
        <v>374</v>
      </c>
      <c r="B306" s="28" t="s">
        <v>299</v>
      </c>
      <c r="C306" s="53">
        <v>619.1</v>
      </c>
      <c r="D306" s="54">
        <v>41777</v>
      </c>
      <c r="E306" s="54">
        <v>34054</v>
      </c>
      <c r="F306" s="55">
        <v>145293.66</v>
      </c>
      <c r="G306" s="55"/>
      <c r="H306" s="56">
        <f t="shared" si="16"/>
        <v>145293.66</v>
      </c>
      <c r="I306" s="53">
        <v>344</v>
      </c>
      <c r="J306" s="55">
        <f t="shared" si="17"/>
        <v>422.37</v>
      </c>
      <c r="K306" s="55">
        <f t="shared" si="18"/>
        <v>234.68528509126151</v>
      </c>
      <c r="L306" s="56">
        <f t="shared" si="19"/>
        <v>3.48</v>
      </c>
      <c r="M306" s="54">
        <v>122</v>
      </c>
    </row>
    <row r="307" spans="1:13" ht="15" customHeight="1" x14ac:dyDescent="0.55000000000000004">
      <c r="A307" s="52" t="s">
        <v>373</v>
      </c>
      <c r="B307" s="28" t="s">
        <v>300</v>
      </c>
      <c r="C307" s="53">
        <v>678.6</v>
      </c>
      <c r="D307" s="54">
        <v>64938</v>
      </c>
      <c r="E307" s="54">
        <v>31430</v>
      </c>
      <c r="F307" s="55">
        <v>162228.54</v>
      </c>
      <c r="G307" s="55"/>
      <c r="H307" s="56">
        <f t="shared" si="16"/>
        <v>162228.54</v>
      </c>
      <c r="I307" s="53">
        <v>212.9</v>
      </c>
      <c r="J307" s="55">
        <f t="shared" si="17"/>
        <v>761.99</v>
      </c>
      <c r="K307" s="55">
        <f t="shared" si="18"/>
        <v>239.06357206012379</v>
      </c>
      <c r="L307" s="56">
        <f t="shared" si="19"/>
        <v>2.5</v>
      </c>
      <c r="M307" s="54">
        <v>130</v>
      </c>
    </row>
    <row r="308" spans="1:13" ht="15" customHeight="1" x14ac:dyDescent="0.55000000000000004">
      <c r="A308" s="52" t="s">
        <v>372</v>
      </c>
      <c r="B308" s="28" t="s">
        <v>301</v>
      </c>
      <c r="C308" s="53">
        <v>1713.9</v>
      </c>
      <c r="D308" s="54">
        <v>108470</v>
      </c>
      <c r="E308" s="54">
        <v>74022</v>
      </c>
      <c r="F308" s="55">
        <v>476235.36</v>
      </c>
      <c r="G308" s="55">
        <v>23814.92</v>
      </c>
      <c r="H308" s="56">
        <f t="shared" si="16"/>
        <v>500050.27999999997</v>
      </c>
      <c r="I308" s="53">
        <v>476.7</v>
      </c>
      <c r="J308" s="55">
        <f t="shared" si="17"/>
        <v>1048.98</v>
      </c>
      <c r="K308" s="55">
        <f t="shared" si="18"/>
        <v>291.76164303634982</v>
      </c>
      <c r="L308" s="56">
        <f t="shared" si="19"/>
        <v>4.6100000000000003</v>
      </c>
      <c r="M308" s="54">
        <v>208</v>
      </c>
    </row>
    <row r="309" spans="1:13" ht="15" customHeight="1" x14ac:dyDescent="0.55000000000000004">
      <c r="A309" s="52" t="s">
        <v>371</v>
      </c>
      <c r="B309" s="28" t="s">
        <v>302</v>
      </c>
      <c r="C309" s="53">
        <v>10772.6</v>
      </c>
      <c r="D309" s="54">
        <v>984611</v>
      </c>
      <c r="E309" s="54">
        <v>98275</v>
      </c>
      <c r="F309" s="55">
        <v>4141907.05</v>
      </c>
      <c r="G309" s="55">
        <v>129128.28</v>
      </c>
      <c r="H309" s="56">
        <f t="shared" si="16"/>
        <v>4271035.33</v>
      </c>
      <c r="I309" s="53">
        <v>5699.9</v>
      </c>
      <c r="J309" s="55">
        <f t="shared" si="17"/>
        <v>749.32</v>
      </c>
      <c r="K309" s="55">
        <f t="shared" si="18"/>
        <v>396.47209865770566</v>
      </c>
      <c r="L309" s="56">
        <f t="shared" si="19"/>
        <v>4.34</v>
      </c>
      <c r="M309" s="54">
        <v>150</v>
      </c>
    </row>
    <row r="310" spans="1:13" ht="15" customHeight="1" x14ac:dyDescent="0.55000000000000004">
      <c r="A310" s="52" t="s">
        <v>370</v>
      </c>
      <c r="B310" s="28" t="s">
        <v>303</v>
      </c>
      <c r="C310" s="53">
        <v>11197.2</v>
      </c>
      <c r="D310" s="54">
        <v>545951</v>
      </c>
      <c r="E310" s="54">
        <v>272599</v>
      </c>
      <c r="F310" s="55">
        <v>2854987.29</v>
      </c>
      <c r="G310" s="55">
        <v>329183.81</v>
      </c>
      <c r="H310" s="56">
        <f t="shared" si="16"/>
        <v>3184171.1</v>
      </c>
      <c r="I310" s="53">
        <v>6312</v>
      </c>
      <c r="J310" s="55">
        <f t="shared" si="17"/>
        <v>504.46</v>
      </c>
      <c r="K310" s="55">
        <f t="shared" si="18"/>
        <v>284.3720840924517</v>
      </c>
      <c r="L310" s="56">
        <f t="shared" si="19"/>
        <v>5.83</v>
      </c>
      <c r="M310" s="54">
        <v>53</v>
      </c>
    </row>
    <row r="311" spans="1:13" ht="15" customHeight="1" x14ac:dyDescent="0.55000000000000004">
      <c r="A311" s="52" t="s">
        <v>369</v>
      </c>
      <c r="B311" s="28" t="s">
        <v>304</v>
      </c>
      <c r="C311" s="53">
        <v>2115.9</v>
      </c>
      <c r="D311" s="54">
        <v>133200</v>
      </c>
      <c r="E311" s="54">
        <v>101807</v>
      </c>
      <c r="F311" s="55">
        <v>443807.79</v>
      </c>
      <c r="G311" s="55"/>
      <c r="H311" s="56">
        <f t="shared" si="16"/>
        <v>443807.79</v>
      </c>
      <c r="I311" s="53">
        <v>1910</v>
      </c>
      <c r="J311" s="55">
        <f t="shared" si="17"/>
        <v>232.36</v>
      </c>
      <c r="K311" s="55">
        <f t="shared" si="18"/>
        <v>209.74894371189563</v>
      </c>
      <c r="L311" s="56">
        <f t="shared" si="19"/>
        <v>3.33</v>
      </c>
      <c r="M311" s="54">
        <v>162</v>
      </c>
    </row>
    <row r="312" spans="1:13" ht="15" customHeight="1" x14ac:dyDescent="0.55000000000000004">
      <c r="A312" s="52" t="s">
        <v>368</v>
      </c>
      <c r="B312" s="28" t="s">
        <v>305</v>
      </c>
      <c r="C312" s="53">
        <v>572.29999999999995</v>
      </c>
      <c r="D312" s="54">
        <v>85801</v>
      </c>
      <c r="E312" s="54">
        <v>17243</v>
      </c>
      <c r="F312" s="55">
        <v>283765.56</v>
      </c>
      <c r="G312" s="55"/>
      <c r="H312" s="56">
        <f t="shared" si="16"/>
        <v>283765.56</v>
      </c>
      <c r="I312" s="53">
        <v>377</v>
      </c>
      <c r="J312" s="55">
        <f t="shared" si="17"/>
        <v>752.69</v>
      </c>
      <c r="K312" s="55">
        <f t="shared" si="18"/>
        <v>495.83358378472832</v>
      </c>
      <c r="L312" s="56">
        <f t="shared" si="19"/>
        <v>3.31</v>
      </c>
      <c r="M312" s="54">
        <v>351</v>
      </c>
    </row>
    <row r="313" spans="1:13" ht="15" customHeight="1" x14ac:dyDescent="0.55000000000000004">
      <c r="A313" s="52" t="s">
        <v>367</v>
      </c>
      <c r="B313" s="28" t="s">
        <v>306</v>
      </c>
      <c r="C313" s="53">
        <v>1530.6</v>
      </c>
      <c r="D313" s="54">
        <v>134386</v>
      </c>
      <c r="E313" s="54">
        <v>50660</v>
      </c>
      <c r="F313" s="55">
        <v>635203.81000000006</v>
      </c>
      <c r="G313" s="55">
        <v>937.46</v>
      </c>
      <c r="H313" s="56">
        <f t="shared" si="16"/>
        <v>636141.27</v>
      </c>
      <c r="I313" s="53">
        <v>1241.9000000000001</v>
      </c>
      <c r="J313" s="55">
        <f t="shared" si="17"/>
        <v>512.23</v>
      </c>
      <c r="K313" s="55">
        <f t="shared" si="18"/>
        <v>415.61562132497062</v>
      </c>
      <c r="L313" s="56">
        <f t="shared" si="19"/>
        <v>4.7300000000000004</v>
      </c>
      <c r="M313" s="54">
        <v>197</v>
      </c>
    </row>
    <row r="314" spans="1:13" ht="15" customHeight="1" x14ac:dyDescent="0.55000000000000004">
      <c r="A314" s="52" t="s">
        <v>366</v>
      </c>
      <c r="B314" s="28" t="s">
        <v>307</v>
      </c>
      <c r="C314" s="53">
        <v>284.39999999999998</v>
      </c>
      <c r="D314" s="54">
        <v>69047</v>
      </c>
      <c r="E314" s="54">
        <v>10969</v>
      </c>
      <c r="F314" s="55">
        <v>210581.27</v>
      </c>
      <c r="G314" s="55">
        <v>6707.58</v>
      </c>
      <c r="H314" s="56">
        <f t="shared" si="16"/>
        <v>217288.84999999998</v>
      </c>
      <c r="I314" s="53">
        <v>133.69999999999999</v>
      </c>
      <c r="J314" s="55">
        <f t="shared" si="17"/>
        <v>1625.2</v>
      </c>
      <c r="K314" s="55">
        <f t="shared" si="18"/>
        <v>764.02549226441624</v>
      </c>
      <c r="L314" s="56">
        <f t="shared" si="19"/>
        <v>3.15</v>
      </c>
      <c r="M314" s="54">
        <v>202</v>
      </c>
    </row>
    <row r="315" spans="1:13" ht="15" customHeight="1" x14ac:dyDescent="0.55000000000000004">
      <c r="A315" s="52" t="s">
        <v>365</v>
      </c>
      <c r="B315" s="28" t="s">
        <v>308</v>
      </c>
      <c r="C315" s="53">
        <v>736.2</v>
      </c>
      <c r="D315" s="54">
        <v>66684</v>
      </c>
      <c r="E315" s="54">
        <v>29555</v>
      </c>
      <c r="F315" s="55">
        <v>297508.96999999997</v>
      </c>
      <c r="G315" s="55">
        <v>1406.19</v>
      </c>
      <c r="H315" s="56">
        <f t="shared" si="16"/>
        <v>298915.15999999997</v>
      </c>
      <c r="I315" s="53">
        <v>271</v>
      </c>
      <c r="J315" s="55">
        <f t="shared" si="17"/>
        <v>1103.01</v>
      </c>
      <c r="K315" s="55">
        <f t="shared" si="18"/>
        <v>406.0243955446889</v>
      </c>
      <c r="L315" s="56">
        <f t="shared" si="19"/>
        <v>4.4800000000000004</v>
      </c>
      <c r="M315" s="54">
        <v>123</v>
      </c>
    </row>
    <row r="316" spans="1:13" ht="15" customHeight="1" x14ac:dyDescent="0.55000000000000004">
      <c r="A316" s="52" t="s">
        <v>364</v>
      </c>
      <c r="B316" s="28" t="s">
        <v>309</v>
      </c>
      <c r="C316" s="53">
        <v>473.3</v>
      </c>
      <c r="D316" s="54">
        <v>924</v>
      </c>
      <c r="E316" s="54">
        <v>17875</v>
      </c>
      <c r="F316" s="55">
        <v>4225.97</v>
      </c>
      <c r="G316" s="55">
        <v>2903.7</v>
      </c>
      <c r="H316" s="56">
        <f t="shared" si="16"/>
        <v>7129.67</v>
      </c>
      <c r="I316" s="53">
        <v>4</v>
      </c>
      <c r="J316" s="55">
        <f t="shared" si="17"/>
        <v>1782.42</v>
      </c>
      <c r="K316" s="55">
        <f t="shared" si="18"/>
        <v>15.063743925628565</v>
      </c>
      <c r="L316" s="56">
        <f t="shared" si="19"/>
        <v>7.72</v>
      </c>
      <c r="M316" s="54">
        <v>2</v>
      </c>
    </row>
    <row r="317" spans="1:13" ht="15" customHeight="1" x14ac:dyDescent="0.55000000000000004">
      <c r="A317" s="52" t="s">
        <v>363</v>
      </c>
      <c r="B317" s="28" t="s">
        <v>310</v>
      </c>
      <c r="C317" s="53">
        <v>254</v>
      </c>
      <c r="D317" s="54">
        <v>33072</v>
      </c>
      <c r="E317" s="54">
        <v>7076</v>
      </c>
      <c r="F317" s="55">
        <v>109761.01</v>
      </c>
      <c r="G317" s="55">
        <v>883.44</v>
      </c>
      <c r="H317" s="56">
        <f t="shared" si="16"/>
        <v>110644.45</v>
      </c>
      <c r="I317" s="53">
        <v>126.8</v>
      </c>
      <c r="J317" s="55">
        <f t="shared" si="17"/>
        <v>872.59</v>
      </c>
      <c r="K317" s="55">
        <f t="shared" si="18"/>
        <v>435.6080708661417</v>
      </c>
      <c r="L317" s="56">
        <f t="shared" si="19"/>
        <v>3.35</v>
      </c>
      <c r="M317" s="54">
        <v>124</v>
      </c>
    </row>
    <row r="318" spans="1:13" ht="15" customHeight="1" x14ac:dyDescent="0.55000000000000004">
      <c r="A318" s="52" t="s">
        <v>362</v>
      </c>
      <c r="B318" s="28" t="s">
        <v>311</v>
      </c>
      <c r="C318" s="53">
        <v>1438.5</v>
      </c>
      <c r="D318" s="54">
        <v>132089</v>
      </c>
      <c r="E318" s="54">
        <v>32476</v>
      </c>
      <c r="F318" s="55">
        <v>513247.12</v>
      </c>
      <c r="G318" s="55">
        <v>1110</v>
      </c>
      <c r="H318" s="56">
        <f t="shared" si="16"/>
        <v>514357.12</v>
      </c>
      <c r="I318" s="53">
        <v>790.9</v>
      </c>
      <c r="J318" s="55">
        <f t="shared" si="17"/>
        <v>650.34</v>
      </c>
      <c r="K318" s="55">
        <f t="shared" si="18"/>
        <v>357.56490789016334</v>
      </c>
      <c r="L318" s="56">
        <f t="shared" si="19"/>
        <v>3.89</v>
      </c>
      <c r="M318" s="54">
        <v>237</v>
      </c>
    </row>
    <row r="319" spans="1:13" ht="15" customHeight="1" x14ac:dyDescent="0.55000000000000004">
      <c r="A319" s="52" t="s">
        <v>361</v>
      </c>
      <c r="B319" s="28" t="s">
        <v>312</v>
      </c>
      <c r="C319" s="53">
        <v>8936.9000000000015</v>
      </c>
      <c r="D319" s="54">
        <v>374609</v>
      </c>
      <c r="E319" s="54">
        <v>219129</v>
      </c>
      <c r="F319" s="55">
        <v>2137960.13</v>
      </c>
      <c r="G319" s="55">
        <v>195087.9</v>
      </c>
      <c r="H319" s="56">
        <f t="shared" si="16"/>
        <v>2333048.0299999998</v>
      </c>
      <c r="I319" s="53">
        <v>3570.8</v>
      </c>
      <c r="J319" s="55">
        <f t="shared" si="17"/>
        <v>653.37</v>
      </c>
      <c r="K319" s="55">
        <f t="shared" si="18"/>
        <v>261.05786458391606</v>
      </c>
      <c r="L319" s="56">
        <f t="shared" si="19"/>
        <v>6.23</v>
      </c>
      <c r="M319" s="54">
        <v>37</v>
      </c>
    </row>
    <row r="320" spans="1:13" ht="15" customHeight="1" x14ac:dyDescent="0.55000000000000004">
      <c r="A320" s="52" t="s">
        <v>360</v>
      </c>
      <c r="B320" s="28" t="s">
        <v>313</v>
      </c>
      <c r="C320" s="53">
        <v>3089.2999999999997</v>
      </c>
      <c r="D320" s="54">
        <v>583432</v>
      </c>
      <c r="E320" s="54">
        <v>90528</v>
      </c>
      <c r="F320" s="55">
        <v>1575957.95</v>
      </c>
      <c r="G320" s="55">
        <v>15504.66</v>
      </c>
      <c r="H320" s="56">
        <f t="shared" si="16"/>
        <v>1591462.6099999999</v>
      </c>
      <c r="I320" s="53">
        <v>2504</v>
      </c>
      <c r="J320" s="55">
        <f t="shared" si="17"/>
        <v>635.57000000000005</v>
      </c>
      <c r="K320" s="55">
        <f t="shared" si="18"/>
        <v>515.15314472534226</v>
      </c>
      <c r="L320" s="56">
        <f t="shared" si="19"/>
        <v>2.73</v>
      </c>
      <c r="M320" s="54">
        <v>555</v>
      </c>
    </row>
    <row r="321" spans="1:13" ht="15" customHeight="1" x14ac:dyDescent="0.55000000000000004">
      <c r="A321" s="52" t="s">
        <v>359</v>
      </c>
      <c r="B321" s="28" t="s">
        <v>314</v>
      </c>
      <c r="C321" s="53">
        <v>341.7</v>
      </c>
      <c r="D321" s="54">
        <v>55289</v>
      </c>
      <c r="E321" s="54">
        <v>24506</v>
      </c>
      <c r="F321" s="55">
        <v>155437.6</v>
      </c>
      <c r="G321" s="55"/>
      <c r="H321" s="56">
        <f t="shared" si="16"/>
        <v>155437.6</v>
      </c>
      <c r="I321" s="53">
        <v>267</v>
      </c>
      <c r="J321" s="55">
        <f t="shared" si="17"/>
        <v>582.16</v>
      </c>
      <c r="K321" s="55">
        <f t="shared" si="18"/>
        <v>454.89493707930939</v>
      </c>
      <c r="L321" s="56">
        <f t="shared" si="19"/>
        <v>2.81</v>
      </c>
      <c r="M321" s="54">
        <v>360</v>
      </c>
    </row>
    <row r="322" spans="1:13" ht="15" customHeight="1" x14ac:dyDescent="0.55000000000000004">
      <c r="A322" s="52" t="s">
        <v>358</v>
      </c>
      <c r="B322" s="28" t="s">
        <v>315</v>
      </c>
      <c r="C322" s="53">
        <v>1332.8</v>
      </c>
      <c r="D322" s="54">
        <v>80259</v>
      </c>
      <c r="E322" s="54">
        <v>32483</v>
      </c>
      <c r="F322" s="55">
        <v>239263.61</v>
      </c>
      <c r="G322" s="55">
        <v>468.73</v>
      </c>
      <c r="H322" s="56">
        <f t="shared" si="16"/>
        <v>239732.34</v>
      </c>
      <c r="I322" s="53">
        <v>347.5</v>
      </c>
      <c r="J322" s="55">
        <f t="shared" si="17"/>
        <v>689.88</v>
      </c>
      <c r="K322" s="55">
        <f t="shared" si="18"/>
        <v>179.87120348139257</v>
      </c>
      <c r="L322" s="56">
        <f t="shared" si="19"/>
        <v>2.99</v>
      </c>
      <c r="M322" s="54">
        <v>148</v>
      </c>
    </row>
    <row r="323" spans="1:13" ht="15" customHeight="1" x14ac:dyDescent="0.55000000000000004">
      <c r="A323" s="52" t="s">
        <v>357</v>
      </c>
      <c r="B323" s="28" t="s">
        <v>316</v>
      </c>
      <c r="C323" s="53">
        <v>938.2</v>
      </c>
      <c r="D323" s="54">
        <v>159335</v>
      </c>
      <c r="E323" s="54">
        <v>16040</v>
      </c>
      <c r="F323" s="55">
        <v>502555.77</v>
      </c>
      <c r="G323" s="55">
        <v>37266.44</v>
      </c>
      <c r="H323" s="56">
        <f t="shared" si="16"/>
        <v>539822.21</v>
      </c>
      <c r="I323" s="53">
        <v>927.3</v>
      </c>
      <c r="J323" s="55">
        <f t="shared" si="17"/>
        <v>582.14</v>
      </c>
      <c r="K323" s="55">
        <f t="shared" si="18"/>
        <v>575.38073971434653</v>
      </c>
      <c r="L323" s="56">
        <f t="shared" si="19"/>
        <v>3.39</v>
      </c>
      <c r="M323" s="54">
        <v>248</v>
      </c>
    </row>
    <row r="324" spans="1:13" ht="15" customHeight="1" x14ac:dyDescent="0.55000000000000004">
      <c r="A324" s="52" t="s">
        <v>356</v>
      </c>
      <c r="B324" s="28" t="s">
        <v>317</v>
      </c>
      <c r="C324" s="53">
        <v>870.1</v>
      </c>
      <c r="D324" s="54">
        <v>119564</v>
      </c>
      <c r="E324" s="54">
        <v>41542</v>
      </c>
      <c r="F324" s="55">
        <v>414189.09</v>
      </c>
      <c r="G324" s="55">
        <v>1298.1400000000001</v>
      </c>
      <c r="H324" s="56">
        <f t="shared" si="16"/>
        <v>415487.23000000004</v>
      </c>
      <c r="I324" s="53">
        <v>579.5</v>
      </c>
      <c r="J324" s="55">
        <f t="shared" si="17"/>
        <v>716.98</v>
      </c>
      <c r="K324" s="55">
        <f t="shared" si="18"/>
        <v>477.51664176531438</v>
      </c>
      <c r="L324" s="56">
        <f t="shared" si="19"/>
        <v>3.48</v>
      </c>
      <c r="M324" s="54">
        <v>198</v>
      </c>
    </row>
    <row r="325" spans="1:13" ht="15" customHeight="1" x14ac:dyDescent="0.55000000000000004">
      <c r="A325" s="52" t="s">
        <v>355</v>
      </c>
      <c r="B325" s="28" t="s">
        <v>318</v>
      </c>
      <c r="C325" s="53">
        <v>629.9</v>
      </c>
      <c r="D325" s="54">
        <v>57280</v>
      </c>
      <c r="E325" s="54">
        <v>13908</v>
      </c>
      <c r="F325" s="55">
        <v>263725.28000000003</v>
      </c>
      <c r="G325" s="55">
        <v>1766.87</v>
      </c>
      <c r="H325" s="56">
        <f t="shared" si="16"/>
        <v>265492.15000000002</v>
      </c>
      <c r="I325" s="53">
        <v>376</v>
      </c>
      <c r="J325" s="55">
        <f t="shared" si="17"/>
        <v>706.1</v>
      </c>
      <c r="K325" s="55">
        <f t="shared" si="18"/>
        <v>421.48301317669478</v>
      </c>
      <c r="L325" s="56">
        <f t="shared" si="19"/>
        <v>4.63</v>
      </c>
      <c r="M325" s="54">
        <v>189</v>
      </c>
    </row>
    <row r="326" spans="1:13" ht="15" customHeight="1" x14ac:dyDescent="0.55000000000000004">
      <c r="A326" s="52" t="s">
        <v>354</v>
      </c>
      <c r="B326" s="28" t="s">
        <v>319</v>
      </c>
      <c r="C326" s="53">
        <v>827.8</v>
      </c>
      <c r="D326" s="54">
        <v>82103</v>
      </c>
      <c r="E326" s="54">
        <v>18139</v>
      </c>
      <c r="F326" s="55">
        <v>275033.40999999997</v>
      </c>
      <c r="G326" s="55">
        <v>50146.720000000001</v>
      </c>
      <c r="H326" s="56">
        <f t="shared" si="16"/>
        <v>325180.13</v>
      </c>
      <c r="I326" s="53">
        <v>285</v>
      </c>
      <c r="J326" s="55">
        <f t="shared" si="17"/>
        <v>1140.98</v>
      </c>
      <c r="K326" s="55">
        <f t="shared" si="18"/>
        <v>392.82451075138925</v>
      </c>
      <c r="L326" s="56">
        <f t="shared" si="19"/>
        <v>3.96</v>
      </c>
      <c r="M326" s="54">
        <v>154</v>
      </c>
    </row>
    <row r="327" spans="1:13" ht="15" customHeight="1" x14ac:dyDescent="0.55000000000000004">
      <c r="A327" s="52" t="s">
        <v>353</v>
      </c>
      <c r="B327" s="28" t="s">
        <v>320</v>
      </c>
      <c r="C327" s="53">
        <v>563.5</v>
      </c>
      <c r="D327" s="54">
        <v>169446</v>
      </c>
      <c r="E327" s="54">
        <v>12720</v>
      </c>
      <c r="F327" s="55">
        <v>440698.3</v>
      </c>
      <c r="G327" s="55">
        <v>4831.8900000000003</v>
      </c>
      <c r="H327" s="56">
        <f t="shared" ref="H327:H335" si="20">F327+G327</f>
        <v>445530.19</v>
      </c>
      <c r="I327" s="53">
        <v>369</v>
      </c>
      <c r="J327" s="55">
        <f t="shared" ref="J327:J336" si="21">ROUND((H327/I327),2)</f>
        <v>1207.4000000000001</v>
      </c>
      <c r="K327" s="55">
        <f t="shared" ref="K327:K335" si="22">H327/C327</f>
        <v>790.64807453416154</v>
      </c>
      <c r="L327" s="56">
        <f t="shared" ref="L327:L336" si="23">ROUND((H327/D327),2)</f>
        <v>2.63</v>
      </c>
      <c r="M327" s="54">
        <v>231</v>
      </c>
    </row>
    <row r="328" spans="1:13" ht="15" customHeight="1" x14ac:dyDescent="0.55000000000000004">
      <c r="A328" s="52" t="s">
        <v>352</v>
      </c>
      <c r="B328" s="28" t="s">
        <v>321</v>
      </c>
      <c r="C328" s="53">
        <v>204.3</v>
      </c>
      <c r="D328" s="54">
        <v>26576</v>
      </c>
      <c r="E328" s="54">
        <v>6125</v>
      </c>
      <c r="F328" s="55">
        <v>49210.78</v>
      </c>
      <c r="G328" s="55">
        <v>442.1</v>
      </c>
      <c r="H328" s="56">
        <f t="shared" si="20"/>
        <v>49652.88</v>
      </c>
      <c r="I328" s="53">
        <v>57</v>
      </c>
      <c r="J328" s="55">
        <f t="shared" si="21"/>
        <v>871.1</v>
      </c>
      <c r="K328" s="55">
        <f t="shared" si="22"/>
        <v>243.03906020558</v>
      </c>
      <c r="L328" s="56">
        <f t="shared" si="23"/>
        <v>1.87</v>
      </c>
      <c r="M328" s="54">
        <v>99</v>
      </c>
    </row>
    <row r="329" spans="1:13" ht="15" customHeight="1" x14ac:dyDescent="0.55000000000000004">
      <c r="A329" s="52" t="s">
        <v>351</v>
      </c>
      <c r="B329" s="28" t="s">
        <v>322</v>
      </c>
      <c r="C329" s="53">
        <v>1100.4000000000001</v>
      </c>
      <c r="D329" s="54">
        <v>178117</v>
      </c>
      <c r="E329" s="54">
        <v>39213</v>
      </c>
      <c r="F329" s="55">
        <v>496395.62</v>
      </c>
      <c r="G329" s="55">
        <v>700.99</v>
      </c>
      <c r="H329" s="56">
        <f t="shared" si="20"/>
        <v>497096.61</v>
      </c>
      <c r="I329" s="53">
        <v>424.9</v>
      </c>
      <c r="J329" s="55">
        <f t="shared" si="21"/>
        <v>1169.9100000000001</v>
      </c>
      <c r="K329" s="55">
        <f t="shared" si="22"/>
        <v>451.7417393675027</v>
      </c>
      <c r="L329" s="56">
        <f t="shared" si="23"/>
        <v>2.79</v>
      </c>
      <c r="M329" s="54">
        <v>202</v>
      </c>
    </row>
    <row r="330" spans="1:13" ht="15" customHeight="1" x14ac:dyDescent="0.55000000000000004">
      <c r="A330" s="52" t="s">
        <v>350</v>
      </c>
      <c r="B330" s="28" t="s">
        <v>323</v>
      </c>
      <c r="C330" s="53">
        <v>838.3</v>
      </c>
      <c r="D330" s="54">
        <v>50127</v>
      </c>
      <c r="E330" s="54">
        <v>25516</v>
      </c>
      <c r="F330" s="55">
        <v>199399.58</v>
      </c>
      <c r="G330" s="55"/>
      <c r="H330" s="56">
        <f t="shared" si="20"/>
        <v>199399.58</v>
      </c>
      <c r="I330" s="53">
        <v>270.39999999999998</v>
      </c>
      <c r="J330" s="55">
        <f t="shared" si="21"/>
        <v>737.42</v>
      </c>
      <c r="K330" s="55">
        <f t="shared" si="22"/>
        <v>237.86183943695573</v>
      </c>
      <c r="L330" s="56">
        <f t="shared" si="23"/>
        <v>3.98</v>
      </c>
      <c r="M330" s="54">
        <v>97</v>
      </c>
    </row>
    <row r="331" spans="1:13" ht="15" customHeight="1" x14ac:dyDescent="0.55000000000000004">
      <c r="A331" s="52" t="s">
        <v>349</v>
      </c>
      <c r="B331" s="28" t="s">
        <v>324</v>
      </c>
      <c r="C331" s="53">
        <v>321.3</v>
      </c>
      <c r="D331" s="54">
        <v>35244</v>
      </c>
      <c r="E331" s="54">
        <v>10934</v>
      </c>
      <c r="F331" s="55">
        <v>100250.6</v>
      </c>
      <c r="G331" s="55"/>
      <c r="H331" s="56">
        <f t="shared" si="20"/>
        <v>100250.6</v>
      </c>
      <c r="I331" s="53">
        <v>162.9</v>
      </c>
      <c r="J331" s="55">
        <f t="shared" si="21"/>
        <v>615.41</v>
      </c>
      <c r="K331" s="55">
        <f t="shared" si="22"/>
        <v>312.01556178026766</v>
      </c>
      <c r="L331" s="56">
        <f t="shared" si="23"/>
        <v>2.84</v>
      </c>
      <c r="M331" s="54">
        <v>93</v>
      </c>
    </row>
    <row r="332" spans="1:13" ht="15" customHeight="1" x14ac:dyDescent="0.55000000000000004">
      <c r="A332" s="52" t="s">
        <v>348</v>
      </c>
      <c r="B332" s="28" t="s">
        <v>325</v>
      </c>
      <c r="C332" s="53">
        <v>1717.9</v>
      </c>
      <c r="D332" s="54">
        <v>204436</v>
      </c>
      <c r="E332" s="54">
        <v>48544</v>
      </c>
      <c r="F332" s="55">
        <v>767581.79</v>
      </c>
      <c r="G332" s="55">
        <v>4355.55</v>
      </c>
      <c r="H332" s="56">
        <f t="shared" si="20"/>
        <v>771937.34000000008</v>
      </c>
      <c r="I332" s="53">
        <v>1180</v>
      </c>
      <c r="J332" s="55">
        <f t="shared" si="21"/>
        <v>654.17999999999995</v>
      </c>
      <c r="K332" s="55">
        <f t="shared" si="22"/>
        <v>449.34940334128879</v>
      </c>
      <c r="L332" s="56">
        <f t="shared" si="23"/>
        <v>3.78</v>
      </c>
      <c r="M332" s="54">
        <v>289</v>
      </c>
    </row>
    <row r="333" spans="1:13" ht="15" customHeight="1" x14ac:dyDescent="0.55000000000000004">
      <c r="A333" s="52" t="s">
        <v>347</v>
      </c>
      <c r="B333" s="28" t="s">
        <v>326</v>
      </c>
      <c r="C333" s="53">
        <v>466</v>
      </c>
      <c r="D333" s="54">
        <v>53419</v>
      </c>
      <c r="E333" s="54">
        <v>16152</v>
      </c>
      <c r="F333" s="55">
        <v>156888.51</v>
      </c>
      <c r="G333" s="55"/>
      <c r="H333" s="56">
        <f t="shared" si="20"/>
        <v>156888.51</v>
      </c>
      <c r="I333" s="53">
        <v>178</v>
      </c>
      <c r="J333" s="55">
        <f t="shared" si="21"/>
        <v>881.4</v>
      </c>
      <c r="K333" s="55">
        <f t="shared" si="22"/>
        <v>336.67062231759661</v>
      </c>
      <c r="L333" s="56">
        <f t="shared" si="23"/>
        <v>2.94</v>
      </c>
      <c r="M333" s="54">
        <v>151</v>
      </c>
    </row>
    <row r="334" spans="1:13" ht="15" customHeight="1" x14ac:dyDescent="0.55000000000000004">
      <c r="A334" s="52" t="s">
        <v>346</v>
      </c>
      <c r="B334" s="28" t="s">
        <v>327</v>
      </c>
      <c r="C334" s="53">
        <v>550.6</v>
      </c>
      <c r="D334" s="54">
        <v>71681</v>
      </c>
      <c r="E334" s="54">
        <v>16692</v>
      </c>
      <c r="F334" s="55">
        <v>298695.58</v>
      </c>
      <c r="G334" s="55">
        <v>1380.32</v>
      </c>
      <c r="H334" s="56">
        <f t="shared" si="20"/>
        <v>300075.90000000002</v>
      </c>
      <c r="I334" s="53">
        <v>327</v>
      </c>
      <c r="J334" s="55">
        <f t="shared" si="21"/>
        <v>917.66</v>
      </c>
      <c r="K334" s="55">
        <f t="shared" si="22"/>
        <v>544.99800217944062</v>
      </c>
      <c r="L334" s="56">
        <f t="shared" si="23"/>
        <v>4.1900000000000004</v>
      </c>
      <c r="M334" s="54">
        <v>167</v>
      </c>
    </row>
    <row r="335" spans="1:13" ht="15" customHeight="1" thickBot="1" x14ac:dyDescent="0.6">
      <c r="A335" s="57" t="s">
        <v>345</v>
      </c>
      <c r="B335" s="58" t="s">
        <v>328</v>
      </c>
      <c r="C335" s="59">
        <v>934.5</v>
      </c>
      <c r="D335" s="60">
        <v>89218</v>
      </c>
      <c r="E335" s="60">
        <v>24002</v>
      </c>
      <c r="F335" s="61">
        <v>366222.74</v>
      </c>
      <c r="G335" s="61">
        <v>18299.55</v>
      </c>
      <c r="H335" s="62">
        <f t="shared" si="20"/>
        <v>384522.29</v>
      </c>
      <c r="I335" s="59">
        <v>322</v>
      </c>
      <c r="J335" s="61">
        <f t="shared" si="21"/>
        <v>1194.17</v>
      </c>
      <c r="K335" s="61">
        <f t="shared" si="22"/>
        <v>411.47382557517386</v>
      </c>
      <c r="L335" s="62">
        <f t="shared" si="23"/>
        <v>4.3099999999999996</v>
      </c>
      <c r="M335" s="60">
        <v>97</v>
      </c>
    </row>
    <row r="336" spans="1:13" ht="15" customHeight="1" thickBot="1" x14ac:dyDescent="0.6">
      <c r="B336" s="63" t="s">
        <v>1197</v>
      </c>
      <c r="C336" s="64">
        <f>SUM(C6:C335)</f>
        <v>487429.99999999988</v>
      </c>
      <c r="D336" s="65">
        <f t="shared" ref="D336:I336" si="24">SUM(D6:D335)</f>
        <v>41257696</v>
      </c>
      <c r="E336" s="65">
        <f t="shared" si="24"/>
        <v>14528005</v>
      </c>
      <c r="F336" s="66">
        <f t="shared" si="24"/>
        <v>164488480.73000002</v>
      </c>
      <c r="G336" s="66">
        <f t="shared" si="24"/>
        <v>4967178.0799999991</v>
      </c>
      <c r="H336" s="66">
        <f t="shared" si="24"/>
        <v>169455658.81000006</v>
      </c>
      <c r="I336" s="64">
        <f t="shared" si="24"/>
        <v>243329.09999999998</v>
      </c>
      <c r="J336" s="67">
        <f t="shared" si="21"/>
        <v>696.41</v>
      </c>
      <c r="K336" s="68">
        <f>H336/C336</f>
        <v>347.65127056192705</v>
      </c>
      <c r="L336" s="66">
        <f t="shared" si="23"/>
        <v>4.1100000000000003</v>
      </c>
      <c r="M336" s="69">
        <f t="shared" ref="M336" si="25">SUM(M6:M335)</f>
        <v>55841</v>
      </c>
    </row>
    <row r="337" spans="1:1" ht="15" customHeight="1" x14ac:dyDescent="0.55000000000000004"/>
    <row r="338" spans="1:1" ht="15" customHeight="1" x14ac:dyDescent="0.55000000000000004"/>
    <row r="339" spans="1:1" ht="15" customHeight="1" x14ac:dyDescent="0.55000000000000004">
      <c r="A339" s="25" t="s">
        <v>1305</v>
      </c>
    </row>
    <row r="340" spans="1:1" x14ac:dyDescent="0.55000000000000004">
      <c r="A340" s="25" t="s">
        <v>1198</v>
      </c>
    </row>
    <row r="341" spans="1:1" x14ac:dyDescent="0.55000000000000004">
      <c r="A341" s="25" t="s">
        <v>1199</v>
      </c>
    </row>
    <row r="342" spans="1:1" x14ac:dyDescent="0.55000000000000004">
      <c r="A342" s="25" t="s">
        <v>1200</v>
      </c>
    </row>
    <row r="343" spans="1:1" x14ac:dyDescent="0.55000000000000004">
      <c r="A343" s="25" t="s">
        <v>1201</v>
      </c>
    </row>
    <row r="344" spans="1:1" x14ac:dyDescent="0.55000000000000004">
      <c r="A344" s="25" t="s">
        <v>1202</v>
      </c>
    </row>
    <row r="345" spans="1:1" x14ac:dyDescent="0.55000000000000004">
      <c r="A345" s="25" t="s">
        <v>1203</v>
      </c>
    </row>
    <row r="346" spans="1:1" x14ac:dyDescent="0.55000000000000004">
      <c r="A346" s="25" t="s">
        <v>1204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0"/>
  <sheetViews>
    <sheetView workbookViewId="0">
      <pane xSplit="7" ySplit="1" topLeftCell="H308" activePane="bottomRight" state="frozen"/>
      <selection pane="topRight" activeCell="H1" sqref="H1"/>
      <selection pane="bottomLeft" activeCell="A2" sqref="A2"/>
      <selection pane="bottomRight" activeCell="L336" sqref="L336"/>
    </sheetView>
  </sheetViews>
  <sheetFormatPr defaultRowHeight="14.4" x14ac:dyDescent="0.55000000000000004"/>
  <cols>
    <col min="1" max="1" width="10.26171875" customWidth="1"/>
    <col min="3" max="3" width="5" bestFit="1" customWidth="1"/>
    <col min="4" max="5" width="8.68359375" bestFit="1" customWidth="1"/>
    <col min="6" max="6" width="14.68359375" bestFit="1" customWidth="1"/>
    <col min="7" max="7" width="32.26171875" bestFit="1" customWidth="1"/>
    <col min="8" max="8" width="22.26171875" customWidth="1"/>
    <col min="9" max="9" width="18.15625" bestFit="1" customWidth="1"/>
    <col min="10" max="10" width="14" bestFit="1" customWidth="1"/>
    <col min="11" max="11" width="12.68359375" customWidth="1"/>
    <col min="12" max="12" width="12.68359375" bestFit="1" customWidth="1"/>
    <col min="13" max="13" width="20.15625" customWidth="1"/>
    <col min="14" max="14" width="12.68359375" bestFit="1" customWidth="1"/>
    <col min="17" max="17" width="14.83984375" customWidth="1"/>
  </cols>
  <sheetData>
    <row r="1" spans="1:18" s="27" customFormat="1" ht="51" customHeight="1" x14ac:dyDescent="0.55000000000000004">
      <c r="A1" s="26" t="s">
        <v>1023</v>
      </c>
      <c r="B1" s="26" t="s">
        <v>1024</v>
      </c>
      <c r="C1" s="26" t="s">
        <v>1025</v>
      </c>
      <c r="D1" s="26" t="s">
        <v>1026</v>
      </c>
      <c r="E1" s="26" t="s">
        <v>1027</v>
      </c>
      <c r="F1" s="26" t="s">
        <v>1028</v>
      </c>
      <c r="G1" s="26" t="s">
        <v>684</v>
      </c>
      <c r="H1" s="27" t="s">
        <v>1029</v>
      </c>
      <c r="I1" s="27" t="s">
        <v>1030</v>
      </c>
      <c r="J1" s="27" t="s">
        <v>1031</v>
      </c>
      <c r="K1" s="27" t="s">
        <v>1034</v>
      </c>
      <c r="L1" s="27" t="s">
        <v>1350</v>
      </c>
      <c r="M1" s="27" t="s">
        <v>1354</v>
      </c>
      <c r="N1" s="27" t="s">
        <v>1355</v>
      </c>
      <c r="O1" s="27" t="s">
        <v>1353</v>
      </c>
      <c r="Q1" s="27" t="s">
        <v>1361</v>
      </c>
      <c r="R1" s="27" t="s">
        <v>1353</v>
      </c>
    </row>
    <row r="2" spans="1:18" x14ac:dyDescent="0.55000000000000004">
      <c r="A2">
        <v>2019</v>
      </c>
      <c r="B2" t="s">
        <v>686</v>
      </c>
      <c r="C2" t="s">
        <v>682</v>
      </c>
      <c r="F2" t="s">
        <v>682</v>
      </c>
      <c r="G2" s="28" t="s">
        <v>687</v>
      </c>
      <c r="H2" s="29">
        <f>INDEX(TransportationData!$A$6:$M$338,MATCH(FinalPayment_NoReorg!$F2,TransportationData!$A$6:$A$338,0),3)</f>
        <v>309</v>
      </c>
      <c r="I2" s="30">
        <f>INDEX(TransportationData!$A$6:$M$338,MATCH(FinalPayment_NoReorg!$F2,TransportationData!$A$6:$A$338,0),8)</f>
        <v>296657.07</v>
      </c>
      <c r="J2" s="28">
        <f>ROUND(I2/H2,2)</f>
        <v>960.06</v>
      </c>
      <c r="K2" s="31">
        <f t="shared" ref="K2:K65" si="0">$L$336</f>
        <v>347.65</v>
      </c>
      <c r="L2" s="32">
        <f>IF(J2&gt;K2,ROUND((J2-K2)*H2,0),0)</f>
        <v>189235</v>
      </c>
      <c r="M2" s="9">
        <f>ROUND((I2-L2)/H2,2)</f>
        <v>347.64</v>
      </c>
      <c r="N2" s="5">
        <f>IF(ROUND(H2*$N$336,0)&gt;I2-L2,ROUND(I2-L2,0),ROUND(H2*$N$336,0))</f>
        <v>253</v>
      </c>
      <c r="O2" s="8">
        <f>ROUND((I2-L2-N2)/H2,2)</f>
        <v>346.83</v>
      </c>
      <c r="Q2" s="5">
        <f t="shared" ref="Q2:Q66" si="1">IF(ROUND($H2*$N$340,0)&gt;$I2-$L2-N2,ROUND($I2-$L2-$N2,0),ROUND($H2*$N$340,0))</f>
        <v>0</v>
      </c>
      <c r="R2" s="8">
        <f t="shared" ref="R2:R67" si="2">ROUND(($I2-$L2-$N2-$Q2)/$H2,2)</f>
        <v>346.83</v>
      </c>
    </row>
    <row r="3" spans="1:18" x14ac:dyDescent="0.55000000000000004">
      <c r="A3">
        <v>2019</v>
      </c>
      <c r="B3" t="s">
        <v>686</v>
      </c>
      <c r="C3" t="s">
        <v>681</v>
      </c>
      <c r="F3" t="s">
        <v>681</v>
      </c>
      <c r="G3" s="28" t="s">
        <v>688</v>
      </c>
      <c r="H3" s="29">
        <f>INDEX(TransportationData!$A$6:$M$338,MATCH(FinalPayment_NoReorg!$F3,TransportationData!$A$6:$A$338,0),3)</f>
        <v>1797.8</v>
      </c>
      <c r="I3" s="30">
        <f>INDEX(TransportationData!$A$6:$M$338,MATCH(FinalPayment_NoReorg!$F3,TransportationData!$A$6:$A$338,0),8)</f>
        <v>702002.47000000009</v>
      </c>
      <c r="J3" s="28">
        <f t="shared" ref="J3:J66" si="3">ROUND(I3/H3,2)</f>
        <v>390.48</v>
      </c>
      <c r="K3" s="31">
        <f t="shared" si="0"/>
        <v>347.65</v>
      </c>
      <c r="L3" s="32">
        <f t="shared" ref="L3:L65" si="4">IF(J3&gt;K3,ROUND((J3-K3)*H3,0),0)</f>
        <v>77000</v>
      </c>
      <c r="M3" s="9">
        <f t="shared" ref="M3:M66" si="5">ROUND((I3-L3)/H3,2)</f>
        <v>347.65</v>
      </c>
      <c r="N3" s="5">
        <f t="shared" ref="N3:N65" si="6">IF(ROUND(H3*$N$336,0)&gt;I3-L3,ROUND(I3-L3,0),ROUND(H3*$N$336,0))</f>
        <v>1472</v>
      </c>
      <c r="O3" s="8">
        <f t="shared" ref="O3:O66" si="7">ROUND((I3-L3-N3)/H3,2)</f>
        <v>346.83</v>
      </c>
      <c r="Q3" s="5">
        <f t="shared" si="1"/>
        <v>0</v>
      </c>
      <c r="R3" s="8">
        <f t="shared" si="2"/>
        <v>346.83</v>
      </c>
    </row>
    <row r="4" spans="1:18" x14ac:dyDescent="0.55000000000000004">
      <c r="A4">
        <v>2019</v>
      </c>
      <c r="B4" t="s">
        <v>689</v>
      </c>
      <c r="C4" t="s">
        <v>683</v>
      </c>
      <c r="F4" t="s">
        <v>683</v>
      </c>
      <c r="G4" s="28" t="s">
        <v>17</v>
      </c>
      <c r="H4" s="29">
        <f>INDEX(TransportationData!$A$6:$M$338,MATCH(FinalPayment_NoReorg!$F4,TransportationData!$A$6:$A$338,0),3)</f>
        <v>646.40000000000009</v>
      </c>
      <c r="I4" s="30">
        <f>INDEX(TransportationData!$A$6:$M$338,MATCH(FinalPayment_NoReorg!$F4,TransportationData!$A$6:$A$338,0),8)</f>
        <v>406587.94</v>
      </c>
      <c r="J4" s="28">
        <f t="shared" si="3"/>
        <v>629</v>
      </c>
      <c r="K4" s="31">
        <f t="shared" si="0"/>
        <v>347.65</v>
      </c>
      <c r="L4" s="32">
        <f t="shared" si="4"/>
        <v>181865</v>
      </c>
      <c r="M4" s="9">
        <f t="shared" si="5"/>
        <v>347.65</v>
      </c>
      <c r="N4" s="5">
        <f t="shared" si="6"/>
        <v>529</v>
      </c>
      <c r="O4" s="8">
        <f t="shared" si="7"/>
        <v>346.83</v>
      </c>
      <c r="Q4" s="5">
        <f t="shared" si="1"/>
        <v>0</v>
      </c>
      <c r="R4" s="8">
        <f t="shared" si="2"/>
        <v>346.83</v>
      </c>
    </row>
    <row r="5" spans="1:18" x14ac:dyDescent="0.55000000000000004">
      <c r="A5">
        <v>2019</v>
      </c>
      <c r="B5" t="s">
        <v>690</v>
      </c>
      <c r="C5" t="s">
        <v>661</v>
      </c>
      <c r="D5" t="s">
        <v>1306</v>
      </c>
      <c r="F5" t="s">
        <v>661</v>
      </c>
      <c r="G5" s="28" t="s">
        <v>691</v>
      </c>
      <c r="H5" s="29">
        <f>INDEX(TransportationData!$A$6:$M$338,MATCH(FinalPayment_NoReorg!$F5,TransportationData!$A$6:$A$338,0),3)</f>
        <v>784.6</v>
      </c>
      <c r="I5" s="30">
        <f>INDEX(TransportationData!$A$6:$M$338,MATCH(FinalPayment_NoReorg!$F5,TransportationData!$A$6:$A$338,0),8)</f>
        <v>367115.26</v>
      </c>
      <c r="J5" s="28">
        <f t="shared" si="3"/>
        <v>467.9</v>
      </c>
      <c r="K5" s="31">
        <f t="shared" si="0"/>
        <v>347.65</v>
      </c>
      <c r="L5" s="32">
        <f t="shared" si="4"/>
        <v>94348</v>
      </c>
      <c r="M5" s="9">
        <f t="shared" si="5"/>
        <v>347.65</v>
      </c>
      <c r="N5" s="5">
        <f t="shared" si="6"/>
        <v>642</v>
      </c>
      <c r="O5" s="8">
        <f t="shared" si="7"/>
        <v>346.83</v>
      </c>
      <c r="Q5" s="5">
        <f t="shared" si="1"/>
        <v>0</v>
      </c>
      <c r="R5" s="8">
        <f t="shared" si="2"/>
        <v>346.83</v>
      </c>
    </row>
    <row r="6" spans="1:18" x14ac:dyDescent="0.55000000000000004">
      <c r="A6">
        <v>2019</v>
      </c>
      <c r="B6" t="s">
        <v>692</v>
      </c>
      <c r="C6" t="s">
        <v>680</v>
      </c>
      <c r="F6" t="s">
        <v>680</v>
      </c>
      <c r="G6" s="28" t="s">
        <v>693</v>
      </c>
      <c r="H6" s="29">
        <f>INDEX(TransportationData!$A$6:$M$338,MATCH(FinalPayment_NoReorg!$F6,TransportationData!$A$6:$A$338,0),3)</f>
        <v>563.29999999999995</v>
      </c>
      <c r="I6" s="30">
        <f>INDEX(TransportationData!$A$6:$M$338,MATCH(FinalPayment_NoReorg!$F6,TransportationData!$A$6:$A$338,0),8)</f>
        <v>349305.36000000004</v>
      </c>
      <c r="J6" s="28">
        <f t="shared" si="3"/>
        <v>620.11</v>
      </c>
      <c r="K6" s="31">
        <f t="shared" si="0"/>
        <v>347.65</v>
      </c>
      <c r="L6" s="32">
        <f t="shared" si="4"/>
        <v>153477</v>
      </c>
      <c r="M6" s="9">
        <f t="shared" si="5"/>
        <v>347.64</v>
      </c>
      <c r="N6" s="5">
        <f t="shared" si="6"/>
        <v>461</v>
      </c>
      <c r="O6" s="8">
        <f t="shared" si="7"/>
        <v>346.83</v>
      </c>
      <c r="Q6" s="5">
        <f t="shared" si="1"/>
        <v>0</v>
      </c>
      <c r="R6" s="8">
        <f t="shared" si="2"/>
        <v>346.83</v>
      </c>
    </row>
    <row r="7" spans="1:18" x14ac:dyDescent="0.55000000000000004">
      <c r="A7">
        <v>2019</v>
      </c>
      <c r="B7" t="s">
        <v>694</v>
      </c>
      <c r="C7" t="s">
        <v>679</v>
      </c>
      <c r="F7" t="s">
        <v>679</v>
      </c>
      <c r="G7" s="28" t="s">
        <v>695</v>
      </c>
      <c r="H7" s="29">
        <f>INDEX(TransportationData!$A$6:$M$338,MATCH(FinalPayment_NoReorg!$F7,TransportationData!$A$6:$A$338,0),3)</f>
        <v>202.2</v>
      </c>
      <c r="I7" s="30">
        <f>INDEX(TransportationData!$A$6:$M$338,MATCH(FinalPayment_NoReorg!$F7,TransportationData!$A$6:$A$338,0),8)</f>
        <v>184165.47</v>
      </c>
      <c r="J7" s="28">
        <f t="shared" si="3"/>
        <v>910.81</v>
      </c>
      <c r="K7" s="31">
        <f t="shared" si="0"/>
        <v>347.65</v>
      </c>
      <c r="L7" s="32">
        <f t="shared" si="4"/>
        <v>113871</v>
      </c>
      <c r="M7" s="9">
        <f t="shared" si="5"/>
        <v>347.65</v>
      </c>
      <c r="N7" s="5">
        <f t="shared" si="6"/>
        <v>166</v>
      </c>
      <c r="O7" s="8">
        <f t="shared" si="7"/>
        <v>346.83</v>
      </c>
      <c r="Q7" s="5">
        <f t="shared" si="1"/>
        <v>0</v>
      </c>
      <c r="R7" s="8">
        <f t="shared" si="2"/>
        <v>346.83</v>
      </c>
    </row>
    <row r="8" spans="1:18" x14ac:dyDescent="0.55000000000000004">
      <c r="A8">
        <v>2019</v>
      </c>
      <c r="B8" t="s">
        <v>696</v>
      </c>
      <c r="C8" t="s">
        <v>678</v>
      </c>
      <c r="F8" t="s">
        <v>678</v>
      </c>
      <c r="G8" s="28" t="s">
        <v>697</v>
      </c>
      <c r="H8" s="29">
        <f>INDEX(TransportationData!$A$6:$M$338,MATCH(FinalPayment_NoReorg!$F8,TransportationData!$A$6:$A$338,0),3)</f>
        <v>1163.4000000000001</v>
      </c>
      <c r="I8" s="30">
        <f>INDEX(TransportationData!$A$6:$M$338,MATCH(FinalPayment_NoReorg!$F8,TransportationData!$A$6:$A$338,0),8)</f>
        <v>433834.76</v>
      </c>
      <c r="J8" s="28">
        <f t="shared" si="3"/>
        <v>372.9</v>
      </c>
      <c r="K8" s="31">
        <f t="shared" si="0"/>
        <v>347.65</v>
      </c>
      <c r="L8" s="32">
        <f t="shared" si="4"/>
        <v>29376</v>
      </c>
      <c r="M8" s="9">
        <f t="shared" si="5"/>
        <v>347.65</v>
      </c>
      <c r="N8" s="5">
        <f t="shared" si="6"/>
        <v>952</v>
      </c>
      <c r="O8" s="8">
        <f t="shared" si="7"/>
        <v>346.83</v>
      </c>
      <c r="Q8" s="5">
        <f t="shared" si="1"/>
        <v>0</v>
      </c>
      <c r="R8" s="8">
        <f t="shared" si="2"/>
        <v>346.83</v>
      </c>
    </row>
    <row r="9" spans="1:18" x14ac:dyDescent="0.55000000000000004">
      <c r="A9">
        <v>2019</v>
      </c>
      <c r="B9" t="s">
        <v>698</v>
      </c>
      <c r="C9" t="s">
        <v>677</v>
      </c>
      <c r="F9" t="s">
        <v>677</v>
      </c>
      <c r="G9" s="28" t="s">
        <v>699</v>
      </c>
      <c r="H9" s="29">
        <f>INDEX(TransportationData!$A$6:$M$338,MATCH(FinalPayment_NoReorg!$F9,TransportationData!$A$6:$A$338,0),3)</f>
        <v>514.20000000000005</v>
      </c>
      <c r="I9" s="30">
        <f>INDEX(TransportationData!$A$6:$M$338,MATCH(FinalPayment_NoReorg!$F9,TransportationData!$A$6:$A$338,0),8)</f>
        <v>324479.28000000003</v>
      </c>
      <c r="J9" s="28">
        <f t="shared" si="3"/>
        <v>631.04</v>
      </c>
      <c r="K9" s="31">
        <f t="shared" si="0"/>
        <v>347.65</v>
      </c>
      <c r="L9" s="32">
        <f t="shared" si="4"/>
        <v>145719</v>
      </c>
      <c r="M9" s="9">
        <f t="shared" si="5"/>
        <v>347.65</v>
      </c>
      <c r="N9" s="5">
        <f t="shared" si="6"/>
        <v>421</v>
      </c>
      <c r="O9" s="8">
        <f t="shared" si="7"/>
        <v>346.83</v>
      </c>
      <c r="Q9" s="5">
        <f t="shared" si="1"/>
        <v>0</v>
      </c>
      <c r="R9" s="8">
        <f t="shared" si="2"/>
        <v>346.83</v>
      </c>
    </row>
    <row r="10" spans="1:18" x14ac:dyDescent="0.55000000000000004">
      <c r="A10">
        <v>2019</v>
      </c>
      <c r="B10" t="s">
        <v>689</v>
      </c>
      <c r="C10" t="s">
        <v>676</v>
      </c>
      <c r="F10" t="s">
        <v>676</v>
      </c>
      <c r="G10" s="28" t="s">
        <v>700</v>
      </c>
      <c r="H10" s="29">
        <f>INDEX(TransportationData!$A$6:$M$338,MATCH(FinalPayment_NoReorg!$F10,TransportationData!$A$6:$A$338,0),3)</f>
        <v>274.2</v>
      </c>
      <c r="I10" s="30">
        <f>INDEX(TransportationData!$A$6:$M$338,MATCH(FinalPayment_NoReorg!$F10,TransportationData!$A$6:$A$338,0),8)</f>
        <v>139211.82999999999</v>
      </c>
      <c r="J10" s="28">
        <f t="shared" si="3"/>
        <v>507.7</v>
      </c>
      <c r="K10" s="31">
        <f t="shared" si="0"/>
        <v>347.65</v>
      </c>
      <c r="L10" s="32">
        <f t="shared" si="4"/>
        <v>43886</v>
      </c>
      <c r="M10" s="9">
        <f t="shared" si="5"/>
        <v>347.65</v>
      </c>
      <c r="N10" s="5">
        <f t="shared" si="6"/>
        <v>224</v>
      </c>
      <c r="O10" s="8">
        <f t="shared" si="7"/>
        <v>346.83</v>
      </c>
      <c r="Q10" s="5">
        <f t="shared" si="1"/>
        <v>0</v>
      </c>
      <c r="R10" s="8">
        <f t="shared" si="2"/>
        <v>346.83</v>
      </c>
    </row>
    <row r="11" spans="1:18" x14ac:dyDescent="0.55000000000000004">
      <c r="A11">
        <v>2019</v>
      </c>
      <c r="B11" t="s">
        <v>694</v>
      </c>
      <c r="C11" t="s">
        <v>675</v>
      </c>
      <c r="D11" t="s">
        <v>701</v>
      </c>
      <c r="F11" t="s">
        <v>675</v>
      </c>
      <c r="G11" s="28" t="s">
        <v>702</v>
      </c>
      <c r="H11" s="29">
        <f>INDEX(TransportationData!$A$6:$M$338,MATCH(FinalPayment_NoReorg!$F11,TransportationData!$A$6:$A$338,0),3)</f>
        <v>1279.8</v>
      </c>
      <c r="I11" s="30">
        <f>INDEX(TransportationData!$A$6:$M$338,MATCH(FinalPayment_NoReorg!$F11,TransportationData!$A$6:$A$338,0),8)</f>
        <v>582849.97</v>
      </c>
      <c r="J11" s="28">
        <f t="shared" si="3"/>
        <v>455.42</v>
      </c>
      <c r="K11" s="31">
        <f t="shared" si="0"/>
        <v>347.65</v>
      </c>
      <c r="L11" s="32">
        <f t="shared" si="4"/>
        <v>137924</v>
      </c>
      <c r="M11" s="9">
        <f t="shared" si="5"/>
        <v>347.65</v>
      </c>
      <c r="N11" s="5">
        <f t="shared" si="6"/>
        <v>1048</v>
      </c>
      <c r="O11" s="8">
        <f t="shared" si="7"/>
        <v>346.83</v>
      </c>
      <c r="Q11" s="5">
        <f t="shared" si="1"/>
        <v>0</v>
      </c>
      <c r="R11" s="8">
        <f t="shared" si="2"/>
        <v>346.83</v>
      </c>
    </row>
    <row r="12" spans="1:18" x14ac:dyDescent="0.55000000000000004">
      <c r="A12">
        <v>2019</v>
      </c>
      <c r="B12" t="s">
        <v>703</v>
      </c>
      <c r="C12" t="s">
        <v>674</v>
      </c>
      <c r="F12" t="s">
        <v>674</v>
      </c>
      <c r="G12" s="28" t="s">
        <v>704</v>
      </c>
      <c r="H12" s="29">
        <f>INDEX(TransportationData!$A$6:$M$338,MATCH(FinalPayment_NoReorg!$F12,TransportationData!$A$6:$A$338,0),3)</f>
        <v>1092.3000000000002</v>
      </c>
      <c r="I12" s="30">
        <f>INDEX(TransportationData!$A$6:$M$338,MATCH(FinalPayment_NoReorg!$F12,TransportationData!$A$6:$A$338,0),8)</f>
        <v>716625</v>
      </c>
      <c r="J12" s="28">
        <f t="shared" si="3"/>
        <v>656.07</v>
      </c>
      <c r="K12" s="31">
        <f t="shared" si="0"/>
        <v>347.65</v>
      </c>
      <c r="L12" s="32">
        <f t="shared" si="4"/>
        <v>336887</v>
      </c>
      <c r="M12" s="9">
        <f t="shared" si="5"/>
        <v>347.65</v>
      </c>
      <c r="N12" s="5">
        <f t="shared" si="6"/>
        <v>894</v>
      </c>
      <c r="O12" s="8">
        <f t="shared" si="7"/>
        <v>346.83</v>
      </c>
      <c r="Q12" s="5">
        <f t="shared" si="1"/>
        <v>0</v>
      </c>
      <c r="R12" s="8">
        <f t="shared" si="2"/>
        <v>346.83</v>
      </c>
    </row>
    <row r="13" spans="1:18" x14ac:dyDescent="0.55000000000000004">
      <c r="A13">
        <v>2019</v>
      </c>
      <c r="B13" t="s">
        <v>694</v>
      </c>
      <c r="C13" t="s">
        <v>672</v>
      </c>
      <c r="D13" t="s">
        <v>662</v>
      </c>
      <c r="F13" t="s">
        <v>672</v>
      </c>
      <c r="G13" s="28" t="s">
        <v>1307</v>
      </c>
      <c r="H13" s="29">
        <f>INDEX(TransportationData!$A$6:$M$338,MATCH(FinalPayment_NoReorg!$F13,TransportationData!$A$6:$A$338,0),3)</f>
        <v>812.9</v>
      </c>
      <c r="I13" s="30">
        <f>INDEX(TransportationData!$A$6:$M$338,MATCH(FinalPayment_NoReorg!$F13,TransportationData!$A$6:$A$338,0),8)</f>
        <v>335358.53999999998</v>
      </c>
      <c r="J13" s="28">
        <f t="shared" si="3"/>
        <v>412.55</v>
      </c>
      <c r="K13" s="31">
        <f t="shared" si="0"/>
        <v>347.65</v>
      </c>
      <c r="L13" s="32">
        <f t="shared" si="4"/>
        <v>52757</v>
      </c>
      <c r="M13" s="9">
        <f t="shared" si="5"/>
        <v>347.65</v>
      </c>
      <c r="N13" s="5">
        <f t="shared" si="6"/>
        <v>665</v>
      </c>
      <c r="O13" s="8">
        <f t="shared" si="7"/>
        <v>346.83</v>
      </c>
      <c r="Q13" s="5">
        <f t="shared" si="1"/>
        <v>0</v>
      </c>
      <c r="R13" s="8">
        <f t="shared" si="2"/>
        <v>346.83</v>
      </c>
    </row>
    <row r="14" spans="1:18" x14ac:dyDescent="0.55000000000000004">
      <c r="A14">
        <v>2019</v>
      </c>
      <c r="B14" t="s">
        <v>686</v>
      </c>
      <c r="C14" t="s">
        <v>671</v>
      </c>
      <c r="F14" t="s">
        <v>671</v>
      </c>
      <c r="G14" s="28" t="s">
        <v>705</v>
      </c>
      <c r="H14" s="29">
        <f>INDEX(TransportationData!$A$6:$M$338,MATCH(FinalPayment_NoReorg!$F14,TransportationData!$A$6:$A$338,0),3)</f>
        <v>4387.3999999999996</v>
      </c>
      <c r="I14" s="30">
        <f>INDEX(TransportationData!$A$6:$M$338,MATCH(FinalPayment_NoReorg!$F14,TransportationData!$A$6:$A$338,0),8)</f>
        <v>2377347.4500000002</v>
      </c>
      <c r="J14" s="28">
        <f t="shared" si="3"/>
        <v>541.86</v>
      </c>
      <c r="K14" s="31">
        <f t="shared" si="0"/>
        <v>347.65</v>
      </c>
      <c r="L14" s="32">
        <f>IF(J14&gt;K14,ROUND((J14-K14)*H14,0),0)</f>
        <v>852077</v>
      </c>
      <c r="M14" s="9">
        <f t="shared" si="5"/>
        <v>347.65</v>
      </c>
      <c r="N14" s="5">
        <f t="shared" si="6"/>
        <v>3591</v>
      </c>
      <c r="O14" s="8">
        <f t="shared" si="7"/>
        <v>346.83</v>
      </c>
      <c r="Q14" s="5">
        <f t="shared" si="1"/>
        <v>0</v>
      </c>
      <c r="R14" s="8">
        <f t="shared" si="2"/>
        <v>346.83</v>
      </c>
    </row>
    <row r="15" spans="1:18" x14ac:dyDescent="0.55000000000000004">
      <c r="A15">
        <v>2019</v>
      </c>
      <c r="B15" t="s">
        <v>698</v>
      </c>
      <c r="C15" t="s">
        <v>670</v>
      </c>
      <c r="F15" t="s">
        <v>670</v>
      </c>
      <c r="G15" s="28" t="s">
        <v>706</v>
      </c>
      <c r="H15" s="29">
        <f>INDEX(TransportationData!$A$6:$M$338,MATCH(FinalPayment_NoReorg!$F15,TransportationData!$A$6:$A$338,0),3)</f>
        <v>1266.8</v>
      </c>
      <c r="I15" s="30">
        <f>INDEX(TransportationData!$A$6:$M$338,MATCH(FinalPayment_NoReorg!$F15,TransportationData!$A$6:$A$338,0),8)</f>
        <v>419976.46</v>
      </c>
      <c r="J15" s="28">
        <f t="shared" si="3"/>
        <v>331.53</v>
      </c>
      <c r="K15" s="31">
        <f t="shared" si="0"/>
        <v>347.65</v>
      </c>
      <c r="L15" s="32">
        <f t="shared" si="4"/>
        <v>0</v>
      </c>
      <c r="M15" s="9">
        <f t="shared" si="5"/>
        <v>331.53</v>
      </c>
      <c r="N15" s="5">
        <f t="shared" si="6"/>
        <v>1037</v>
      </c>
      <c r="O15" s="8">
        <f t="shared" si="7"/>
        <v>330.71</v>
      </c>
      <c r="Q15" s="5">
        <f t="shared" si="1"/>
        <v>0</v>
      </c>
      <c r="R15" s="8">
        <f t="shared" si="2"/>
        <v>330.71</v>
      </c>
    </row>
    <row r="16" spans="1:18" x14ac:dyDescent="0.55000000000000004">
      <c r="A16">
        <v>2019</v>
      </c>
      <c r="B16" t="s">
        <v>707</v>
      </c>
      <c r="C16" t="s">
        <v>669</v>
      </c>
      <c r="F16" t="s">
        <v>669</v>
      </c>
      <c r="G16" s="28" t="s">
        <v>708</v>
      </c>
      <c r="H16" s="29">
        <f>INDEX(TransportationData!$A$6:$M$338,MATCH(FinalPayment_NoReorg!$F16,TransportationData!$A$6:$A$338,0),3)</f>
        <v>240.3</v>
      </c>
      <c r="I16" s="30">
        <f>INDEX(TransportationData!$A$6:$M$338,MATCH(FinalPayment_NoReorg!$F16,TransportationData!$A$6:$A$338,0),8)</f>
        <v>153977.78</v>
      </c>
      <c r="J16" s="28">
        <f t="shared" si="3"/>
        <v>640.77</v>
      </c>
      <c r="K16" s="31">
        <f t="shared" si="0"/>
        <v>347.65</v>
      </c>
      <c r="L16" s="32">
        <f t="shared" si="4"/>
        <v>70437</v>
      </c>
      <c r="M16" s="9">
        <f t="shared" si="5"/>
        <v>347.65</v>
      </c>
      <c r="N16" s="5">
        <f t="shared" si="6"/>
        <v>197</v>
      </c>
      <c r="O16" s="8">
        <f t="shared" si="7"/>
        <v>346.83</v>
      </c>
      <c r="Q16" s="5">
        <f t="shared" si="1"/>
        <v>0</v>
      </c>
      <c r="R16" s="8">
        <f t="shared" si="2"/>
        <v>346.83</v>
      </c>
    </row>
    <row r="17" spans="1:18" x14ac:dyDescent="0.55000000000000004">
      <c r="A17">
        <v>2019</v>
      </c>
      <c r="B17" t="s">
        <v>686</v>
      </c>
      <c r="C17" t="s">
        <v>668</v>
      </c>
      <c r="F17" t="s">
        <v>668</v>
      </c>
      <c r="G17" s="28" t="s">
        <v>709</v>
      </c>
      <c r="H17" s="29">
        <f>INDEX(TransportationData!$A$6:$M$338,MATCH(FinalPayment_NoReorg!$F17,TransportationData!$A$6:$A$338,0),3)</f>
        <v>11976.6</v>
      </c>
      <c r="I17" s="30">
        <f>INDEX(TransportationData!$A$6:$M$338,MATCH(FinalPayment_NoReorg!$F17,TransportationData!$A$6:$A$338,0),8)</f>
        <v>3235079.21</v>
      </c>
      <c r="J17" s="28">
        <f t="shared" si="3"/>
        <v>270.12</v>
      </c>
      <c r="K17" s="31">
        <f t="shared" si="0"/>
        <v>347.65</v>
      </c>
      <c r="L17" s="32">
        <f t="shared" si="4"/>
        <v>0</v>
      </c>
      <c r="M17" s="9">
        <f t="shared" si="5"/>
        <v>270.12</v>
      </c>
      <c r="N17" s="5">
        <f t="shared" si="6"/>
        <v>9804</v>
      </c>
      <c r="O17" s="8">
        <f t="shared" si="7"/>
        <v>269.3</v>
      </c>
      <c r="Q17" s="5">
        <f t="shared" si="1"/>
        <v>0</v>
      </c>
      <c r="R17" s="8">
        <f t="shared" si="2"/>
        <v>269.3</v>
      </c>
    </row>
    <row r="18" spans="1:18" x14ac:dyDescent="0.55000000000000004">
      <c r="A18">
        <v>2019</v>
      </c>
      <c r="B18" t="s">
        <v>689</v>
      </c>
      <c r="C18" t="s">
        <v>667</v>
      </c>
      <c r="F18" t="s">
        <v>667</v>
      </c>
      <c r="G18" s="28" t="s">
        <v>710</v>
      </c>
      <c r="H18" s="29">
        <f>INDEX(TransportationData!$A$6:$M$338,MATCH(FinalPayment_NoReorg!$F18,TransportationData!$A$6:$A$338,0),3)</f>
        <v>803.3</v>
      </c>
      <c r="I18" s="30">
        <f>INDEX(TransportationData!$A$6:$M$338,MATCH(FinalPayment_NoReorg!$F18,TransportationData!$A$6:$A$338,0),8)</f>
        <v>317788.23</v>
      </c>
      <c r="J18" s="28">
        <f t="shared" si="3"/>
        <v>395.6</v>
      </c>
      <c r="K18" s="31">
        <f t="shared" si="0"/>
        <v>347.65</v>
      </c>
      <c r="L18" s="32">
        <f t="shared" si="4"/>
        <v>38518</v>
      </c>
      <c r="M18" s="9">
        <f t="shared" si="5"/>
        <v>347.65</v>
      </c>
      <c r="N18" s="5">
        <f t="shared" si="6"/>
        <v>658</v>
      </c>
      <c r="O18" s="8">
        <f t="shared" si="7"/>
        <v>346.83</v>
      </c>
      <c r="Q18" s="5">
        <f t="shared" si="1"/>
        <v>0</v>
      </c>
      <c r="R18" s="8">
        <f t="shared" si="2"/>
        <v>346.83</v>
      </c>
    </row>
    <row r="19" spans="1:18" x14ac:dyDescent="0.55000000000000004">
      <c r="A19">
        <v>2019</v>
      </c>
      <c r="B19" t="s">
        <v>692</v>
      </c>
      <c r="C19" t="s">
        <v>665</v>
      </c>
      <c r="F19" t="s">
        <v>665</v>
      </c>
      <c r="G19" s="28" t="s">
        <v>711</v>
      </c>
      <c r="H19" s="29">
        <f>INDEX(TransportationData!$A$6:$M$338,MATCH(FinalPayment_NoReorg!$F19,TransportationData!$A$6:$A$338,0),3)</f>
        <v>278</v>
      </c>
      <c r="I19" s="30">
        <f>INDEX(TransportationData!$A$6:$M$338,MATCH(FinalPayment_NoReorg!$F19,TransportationData!$A$6:$A$338,0),8)</f>
        <v>187721.67</v>
      </c>
      <c r="J19" s="28">
        <f t="shared" si="3"/>
        <v>675.26</v>
      </c>
      <c r="K19" s="31">
        <f t="shared" si="0"/>
        <v>347.65</v>
      </c>
      <c r="L19" s="32">
        <f t="shared" si="4"/>
        <v>91076</v>
      </c>
      <c r="M19" s="9">
        <f t="shared" si="5"/>
        <v>347.65</v>
      </c>
      <c r="N19" s="5">
        <f t="shared" si="6"/>
        <v>228</v>
      </c>
      <c r="O19" s="8">
        <f t="shared" si="7"/>
        <v>346.83</v>
      </c>
      <c r="Q19" s="5">
        <f t="shared" si="1"/>
        <v>0</v>
      </c>
      <c r="R19" s="8">
        <f t="shared" si="2"/>
        <v>346.83</v>
      </c>
    </row>
    <row r="20" spans="1:18" x14ac:dyDescent="0.55000000000000004">
      <c r="A20">
        <v>2019</v>
      </c>
      <c r="B20" t="s">
        <v>690</v>
      </c>
      <c r="C20" t="s">
        <v>664</v>
      </c>
      <c r="F20" t="s">
        <v>664</v>
      </c>
      <c r="G20" s="28" t="s">
        <v>712</v>
      </c>
      <c r="H20" s="29">
        <f>INDEX(TransportationData!$A$6:$M$338,MATCH(FinalPayment_NoReorg!$F20,TransportationData!$A$6:$A$338,0),3)</f>
        <v>1328.8</v>
      </c>
      <c r="I20" s="30">
        <f>INDEX(TransportationData!$A$6:$M$338,MATCH(FinalPayment_NoReorg!$F20,TransportationData!$A$6:$A$338,0),8)</f>
        <v>284789.26</v>
      </c>
      <c r="J20" s="28">
        <f t="shared" si="3"/>
        <v>214.32</v>
      </c>
      <c r="K20" s="31">
        <f t="shared" si="0"/>
        <v>347.65</v>
      </c>
      <c r="L20" s="32">
        <f t="shared" si="4"/>
        <v>0</v>
      </c>
      <c r="M20" s="9">
        <f t="shared" si="5"/>
        <v>214.32</v>
      </c>
      <c r="N20" s="5">
        <f t="shared" si="6"/>
        <v>1088</v>
      </c>
      <c r="O20" s="8">
        <f t="shared" si="7"/>
        <v>213.5</v>
      </c>
      <c r="Q20" s="5">
        <f t="shared" si="1"/>
        <v>0</v>
      </c>
      <c r="R20" s="8">
        <f t="shared" si="2"/>
        <v>213.5</v>
      </c>
    </row>
    <row r="21" spans="1:18" x14ac:dyDescent="0.55000000000000004">
      <c r="A21">
        <v>2019</v>
      </c>
      <c r="B21" t="s">
        <v>686</v>
      </c>
      <c r="C21" t="s">
        <v>663</v>
      </c>
      <c r="F21" t="s">
        <v>663</v>
      </c>
      <c r="G21" s="28" t="s">
        <v>713</v>
      </c>
      <c r="H21" s="29">
        <f>INDEX(TransportationData!$A$6:$M$338,MATCH(FinalPayment_NoReorg!$F21,TransportationData!$A$6:$A$338,0),3)</f>
        <v>498.9</v>
      </c>
      <c r="I21" s="30">
        <f>INDEX(TransportationData!$A$6:$M$338,MATCH(FinalPayment_NoReorg!$F21,TransportationData!$A$6:$A$338,0),8)</f>
        <v>197519.41</v>
      </c>
      <c r="J21" s="28">
        <f t="shared" si="3"/>
        <v>395.91</v>
      </c>
      <c r="K21" s="31">
        <f t="shared" si="0"/>
        <v>347.65</v>
      </c>
      <c r="L21" s="32">
        <f t="shared" si="4"/>
        <v>24077</v>
      </c>
      <c r="M21" s="9">
        <f t="shared" si="5"/>
        <v>347.65</v>
      </c>
      <c r="N21" s="5">
        <f t="shared" si="6"/>
        <v>408</v>
      </c>
      <c r="O21" s="8">
        <f t="shared" si="7"/>
        <v>346.83</v>
      </c>
      <c r="Q21" s="5">
        <f t="shared" si="1"/>
        <v>0</v>
      </c>
      <c r="R21" s="8">
        <f t="shared" si="2"/>
        <v>346.83</v>
      </c>
    </row>
    <row r="22" spans="1:18" x14ac:dyDescent="0.55000000000000004">
      <c r="A22">
        <v>2019</v>
      </c>
      <c r="B22" t="s">
        <v>686</v>
      </c>
      <c r="C22" t="s">
        <v>660</v>
      </c>
      <c r="F22" t="s">
        <v>660</v>
      </c>
      <c r="G22" s="28" t="s">
        <v>714</v>
      </c>
      <c r="H22" s="29">
        <f>INDEX(TransportationData!$A$6:$M$338,MATCH(FinalPayment_NoReorg!$F22,TransportationData!$A$6:$A$338,0),3)</f>
        <v>1622.3</v>
      </c>
      <c r="I22" s="30">
        <f>INDEX(TransportationData!$A$6:$M$338,MATCH(FinalPayment_NoReorg!$F22,TransportationData!$A$6:$A$338,0),8)</f>
        <v>621027.94000000006</v>
      </c>
      <c r="J22" s="28">
        <f t="shared" si="3"/>
        <v>382.81</v>
      </c>
      <c r="K22" s="31">
        <f t="shared" si="0"/>
        <v>347.65</v>
      </c>
      <c r="L22" s="32">
        <f t="shared" si="4"/>
        <v>57040</v>
      </c>
      <c r="M22" s="9">
        <f t="shared" si="5"/>
        <v>347.65</v>
      </c>
      <c r="N22" s="5">
        <f t="shared" si="6"/>
        <v>1328</v>
      </c>
      <c r="O22" s="8">
        <f t="shared" si="7"/>
        <v>346.83</v>
      </c>
      <c r="Q22" s="5">
        <f t="shared" si="1"/>
        <v>0</v>
      </c>
      <c r="R22" s="8">
        <f t="shared" si="2"/>
        <v>346.83</v>
      </c>
    </row>
    <row r="23" spans="1:18" x14ac:dyDescent="0.55000000000000004">
      <c r="A23">
        <v>2019</v>
      </c>
      <c r="B23" t="s">
        <v>686</v>
      </c>
      <c r="C23" t="s">
        <v>658</v>
      </c>
      <c r="F23" t="s">
        <v>658</v>
      </c>
      <c r="G23" s="28" t="s">
        <v>715</v>
      </c>
      <c r="H23" s="29">
        <f>INDEX(TransportationData!$A$6:$M$338,MATCH(FinalPayment_NoReorg!$F23,TransportationData!$A$6:$A$338,0),3)</f>
        <v>309.10000000000002</v>
      </c>
      <c r="I23" s="30">
        <f>INDEX(TransportationData!$A$6:$M$338,MATCH(FinalPayment_NoReorg!$F23,TransportationData!$A$6:$A$338,0),8)</f>
        <v>143200.99</v>
      </c>
      <c r="J23" s="28">
        <f t="shared" si="3"/>
        <v>463.28</v>
      </c>
      <c r="K23" s="31">
        <f t="shared" si="0"/>
        <v>347.65</v>
      </c>
      <c r="L23" s="32">
        <f t="shared" si="4"/>
        <v>35741</v>
      </c>
      <c r="M23" s="9">
        <f t="shared" si="5"/>
        <v>347.65</v>
      </c>
      <c r="N23" s="5">
        <f t="shared" si="6"/>
        <v>253</v>
      </c>
      <c r="O23" s="8">
        <f t="shared" si="7"/>
        <v>346.84</v>
      </c>
      <c r="Q23" s="5">
        <f t="shared" si="1"/>
        <v>0</v>
      </c>
      <c r="R23" s="8">
        <f t="shared" si="2"/>
        <v>346.84</v>
      </c>
    </row>
    <row r="24" spans="1:18" x14ac:dyDescent="0.55000000000000004">
      <c r="A24">
        <v>2019</v>
      </c>
      <c r="B24" t="s">
        <v>689</v>
      </c>
      <c r="C24" t="s">
        <v>657</v>
      </c>
      <c r="F24" t="s">
        <v>657</v>
      </c>
      <c r="G24" s="28" t="s">
        <v>40</v>
      </c>
      <c r="H24" s="29">
        <f>INDEX(TransportationData!$A$6:$M$338,MATCH(FinalPayment_NoReorg!$F24,TransportationData!$A$6:$A$338,0),3)</f>
        <v>520.20000000000005</v>
      </c>
      <c r="I24" s="30">
        <f>INDEX(TransportationData!$A$6:$M$338,MATCH(FinalPayment_NoReorg!$F24,TransportationData!$A$6:$A$338,0),8)</f>
        <v>314851.98</v>
      </c>
      <c r="J24" s="28">
        <f t="shared" si="3"/>
        <v>605.25</v>
      </c>
      <c r="K24" s="31">
        <f t="shared" si="0"/>
        <v>347.65</v>
      </c>
      <c r="L24" s="32">
        <f t="shared" si="4"/>
        <v>134004</v>
      </c>
      <c r="M24" s="9">
        <f t="shared" si="5"/>
        <v>347.65</v>
      </c>
      <c r="N24" s="5">
        <f t="shared" si="6"/>
        <v>426</v>
      </c>
      <c r="O24" s="8">
        <f t="shared" si="7"/>
        <v>346.83</v>
      </c>
      <c r="Q24" s="5">
        <f t="shared" si="1"/>
        <v>0</v>
      </c>
      <c r="R24" s="8">
        <f t="shared" si="2"/>
        <v>346.83</v>
      </c>
    </row>
    <row r="25" spans="1:18" x14ac:dyDescent="0.55000000000000004">
      <c r="A25">
        <v>2019</v>
      </c>
      <c r="B25" t="s">
        <v>690</v>
      </c>
      <c r="C25" t="s">
        <v>656</v>
      </c>
      <c r="F25" t="s">
        <v>656</v>
      </c>
      <c r="G25" s="28" t="s">
        <v>716</v>
      </c>
      <c r="H25" s="29">
        <f>INDEX(TransportationData!$A$6:$M$338,MATCH(FinalPayment_NoReorg!$F25,TransportationData!$A$6:$A$338,0),3)</f>
        <v>473.6</v>
      </c>
      <c r="I25" s="30">
        <f>INDEX(TransportationData!$A$6:$M$338,MATCH(FinalPayment_NoReorg!$F25,TransportationData!$A$6:$A$338,0),8)</f>
        <v>200097.15</v>
      </c>
      <c r="J25" s="28">
        <f t="shared" si="3"/>
        <v>422.5</v>
      </c>
      <c r="K25" s="31">
        <f t="shared" si="0"/>
        <v>347.65</v>
      </c>
      <c r="L25" s="32">
        <f t="shared" si="4"/>
        <v>35449</v>
      </c>
      <c r="M25" s="9">
        <f t="shared" si="5"/>
        <v>347.65</v>
      </c>
      <c r="N25" s="5">
        <f t="shared" si="6"/>
        <v>388</v>
      </c>
      <c r="O25" s="8">
        <f t="shared" si="7"/>
        <v>346.83</v>
      </c>
      <c r="Q25" s="5">
        <f t="shared" si="1"/>
        <v>0</v>
      </c>
      <c r="R25" s="8">
        <f t="shared" si="2"/>
        <v>346.83</v>
      </c>
    </row>
    <row r="26" spans="1:18" x14ac:dyDescent="0.55000000000000004">
      <c r="A26">
        <v>2019</v>
      </c>
      <c r="B26" t="s">
        <v>698</v>
      </c>
      <c r="C26" t="s">
        <v>655</v>
      </c>
      <c r="F26" t="s">
        <v>655</v>
      </c>
      <c r="G26" s="28" t="s">
        <v>717</v>
      </c>
      <c r="H26" s="29">
        <f>INDEX(TransportationData!$A$6:$M$338,MATCH(FinalPayment_NoReorg!$F26,TransportationData!$A$6:$A$338,0),3)</f>
        <v>488.4</v>
      </c>
      <c r="I26" s="30">
        <f>INDEX(TransportationData!$A$6:$M$338,MATCH(FinalPayment_NoReorg!$F26,TransportationData!$A$6:$A$338,0),8)</f>
        <v>223363.17</v>
      </c>
      <c r="J26" s="28">
        <f t="shared" si="3"/>
        <v>457.34</v>
      </c>
      <c r="K26" s="31">
        <f t="shared" si="0"/>
        <v>347.65</v>
      </c>
      <c r="L26" s="32">
        <f t="shared" si="4"/>
        <v>53573</v>
      </c>
      <c r="M26" s="9">
        <f t="shared" si="5"/>
        <v>347.65</v>
      </c>
      <c r="N26" s="5">
        <f t="shared" si="6"/>
        <v>400</v>
      </c>
      <c r="O26" s="8">
        <f t="shared" si="7"/>
        <v>346.83</v>
      </c>
      <c r="Q26" s="5">
        <f t="shared" si="1"/>
        <v>0</v>
      </c>
      <c r="R26" s="8">
        <f t="shared" si="2"/>
        <v>346.83</v>
      </c>
    </row>
    <row r="27" spans="1:18" x14ac:dyDescent="0.55000000000000004">
      <c r="A27">
        <v>2019</v>
      </c>
      <c r="B27" t="s">
        <v>707</v>
      </c>
      <c r="C27" t="s">
        <v>654</v>
      </c>
      <c r="F27" t="s">
        <v>654</v>
      </c>
      <c r="G27" s="28" t="s">
        <v>718</v>
      </c>
      <c r="H27" s="29">
        <f>INDEX(TransportationData!$A$6:$M$338,MATCH(FinalPayment_NoReorg!$F27,TransportationData!$A$6:$A$338,0),3)</f>
        <v>591</v>
      </c>
      <c r="I27" s="30">
        <f>INDEX(TransportationData!$A$6:$M$338,MATCH(FinalPayment_NoReorg!$F27,TransportationData!$A$6:$A$338,0),8)</f>
        <v>246842</v>
      </c>
      <c r="J27" s="28">
        <f t="shared" si="3"/>
        <v>417.67</v>
      </c>
      <c r="K27" s="31">
        <f t="shared" si="0"/>
        <v>347.65</v>
      </c>
      <c r="L27" s="32">
        <f t="shared" si="4"/>
        <v>41382</v>
      </c>
      <c r="M27" s="9">
        <f t="shared" si="5"/>
        <v>347.65</v>
      </c>
      <c r="N27" s="5">
        <f t="shared" si="6"/>
        <v>484</v>
      </c>
      <c r="O27" s="8">
        <f t="shared" si="7"/>
        <v>346.83</v>
      </c>
      <c r="Q27" s="5">
        <f t="shared" si="1"/>
        <v>0</v>
      </c>
      <c r="R27" s="8">
        <f t="shared" si="2"/>
        <v>346.83</v>
      </c>
    </row>
    <row r="28" spans="1:18" x14ac:dyDescent="0.55000000000000004">
      <c r="A28">
        <v>2019</v>
      </c>
      <c r="B28" t="s">
        <v>689</v>
      </c>
      <c r="C28" t="s">
        <v>653</v>
      </c>
      <c r="F28" t="s">
        <v>653</v>
      </c>
      <c r="G28" s="28" t="s">
        <v>719</v>
      </c>
      <c r="H28" s="29">
        <f>INDEX(TransportationData!$A$6:$M$338,MATCH(FinalPayment_NoReorg!$F28,TransportationData!$A$6:$A$338,0),3)</f>
        <v>791.5</v>
      </c>
      <c r="I28" s="30">
        <f>INDEX(TransportationData!$A$6:$M$338,MATCH(FinalPayment_NoReorg!$F28,TransportationData!$A$6:$A$338,0),8)</f>
        <v>210511.55</v>
      </c>
      <c r="J28" s="28">
        <f t="shared" si="3"/>
        <v>265.97000000000003</v>
      </c>
      <c r="K28" s="31">
        <f t="shared" si="0"/>
        <v>347.65</v>
      </c>
      <c r="L28" s="32">
        <f t="shared" si="4"/>
        <v>0</v>
      </c>
      <c r="M28" s="9">
        <f t="shared" si="5"/>
        <v>265.97000000000003</v>
      </c>
      <c r="N28" s="5">
        <f t="shared" si="6"/>
        <v>648</v>
      </c>
      <c r="O28" s="8">
        <f t="shared" si="7"/>
        <v>265.14999999999998</v>
      </c>
      <c r="Q28" s="5">
        <f t="shared" si="1"/>
        <v>0</v>
      </c>
      <c r="R28" s="8">
        <f t="shared" si="2"/>
        <v>265.14999999999998</v>
      </c>
    </row>
    <row r="29" spans="1:18" x14ac:dyDescent="0.55000000000000004">
      <c r="A29">
        <v>2019</v>
      </c>
      <c r="B29" t="s">
        <v>707</v>
      </c>
      <c r="C29" t="s">
        <v>652</v>
      </c>
      <c r="F29" t="s">
        <v>652</v>
      </c>
      <c r="G29" s="28" t="s">
        <v>720</v>
      </c>
      <c r="H29" s="29">
        <f>INDEX(TransportationData!$A$6:$M$338,MATCH(FinalPayment_NoReorg!$F29,TransportationData!$A$6:$A$338,0),3)</f>
        <v>207.3</v>
      </c>
      <c r="I29" s="30">
        <f>INDEX(TransportationData!$A$6:$M$338,MATCH(FinalPayment_NoReorg!$F29,TransportationData!$A$6:$A$338,0),8)</f>
        <v>127977.59</v>
      </c>
      <c r="J29" s="28">
        <f t="shared" si="3"/>
        <v>617.35</v>
      </c>
      <c r="K29" s="31">
        <f t="shared" si="0"/>
        <v>347.65</v>
      </c>
      <c r="L29" s="32">
        <f t="shared" si="4"/>
        <v>55909</v>
      </c>
      <c r="M29" s="9">
        <f t="shared" si="5"/>
        <v>347.65</v>
      </c>
      <c r="N29" s="5">
        <f t="shared" si="6"/>
        <v>170</v>
      </c>
      <c r="O29" s="8">
        <f t="shared" si="7"/>
        <v>346.83</v>
      </c>
      <c r="Q29" s="5">
        <f t="shared" si="1"/>
        <v>0</v>
      </c>
      <c r="R29" s="8">
        <f t="shared" si="2"/>
        <v>346.83</v>
      </c>
    </row>
    <row r="30" spans="1:18" x14ac:dyDescent="0.55000000000000004">
      <c r="A30">
        <v>2019</v>
      </c>
      <c r="B30" t="s">
        <v>698</v>
      </c>
      <c r="C30" t="s">
        <v>651</v>
      </c>
      <c r="F30" t="s">
        <v>651</v>
      </c>
      <c r="G30" s="28" t="s">
        <v>721</v>
      </c>
      <c r="H30" s="29">
        <f>INDEX(TransportationData!$A$6:$M$338,MATCH(FinalPayment_NoReorg!$F30,TransportationData!$A$6:$A$338,0),3)</f>
        <v>1502.1</v>
      </c>
      <c r="I30" s="30">
        <f>INDEX(TransportationData!$A$6:$M$338,MATCH(FinalPayment_NoReorg!$F30,TransportationData!$A$6:$A$338,0),8)</f>
        <v>866517.71000000008</v>
      </c>
      <c r="J30" s="28">
        <f t="shared" si="3"/>
        <v>576.87</v>
      </c>
      <c r="K30" s="31">
        <f t="shared" si="0"/>
        <v>347.65</v>
      </c>
      <c r="L30" s="32">
        <f t="shared" si="4"/>
        <v>344311</v>
      </c>
      <c r="M30" s="9">
        <f t="shared" si="5"/>
        <v>347.65</v>
      </c>
      <c r="N30" s="5">
        <f t="shared" si="6"/>
        <v>1230</v>
      </c>
      <c r="O30" s="8">
        <f t="shared" si="7"/>
        <v>346.83</v>
      </c>
      <c r="Q30" s="5">
        <f t="shared" si="1"/>
        <v>0</v>
      </c>
      <c r="R30" s="8">
        <f t="shared" si="2"/>
        <v>346.83</v>
      </c>
    </row>
    <row r="31" spans="1:18" x14ac:dyDescent="0.55000000000000004">
      <c r="A31">
        <v>2019</v>
      </c>
      <c r="B31" t="s">
        <v>707</v>
      </c>
      <c r="C31" t="s">
        <v>650</v>
      </c>
      <c r="F31" t="s">
        <v>650</v>
      </c>
      <c r="G31" s="28" t="s">
        <v>722</v>
      </c>
      <c r="H31" s="29">
        <f>INDEX(TransportationData!$A$6:$M$338,MATCH(FinalPayment_NoReorg!$F31,TransportationData!$A$6:$A$338,0),3)</f>
        <v>4185.3</v>
      </c>
      <c r="I31" s="30">
        <f>INDEX(TransportationData!$A$6:$M$338,MATCH(FinalPayment_NoReorg!$F31,TransportationData!$A$6:$A$338,0),8)</f>
        <v>441548.47</v>
      </c>
      <c r="J31" s="28">
        <f t="shared" si="3"/>
        <v>105.5</v>
      </c>
      <c r="K31" s="31">
        <f t="shared" si="0"/>
        <v>347.65</v>
      </c>
      <c r="L31" s="32">
        <f t="shared" si="4"/>
        <v>0</v>
      </c>
      <c r="M31" s="9">
        <f t="shared" si="5"/>
        <v>105.5</v>
      </c>
      <c r="N31" s="5">
        <f t="shared" si="6"/>
        <v>3426</v>
      </c>
      <c r="O31" s="8">
        <f t="shared" si="7"/>
        <v>104.68</v>
      </c>
      <c r="Q31" s="5">
        <f t="shared" si="1"/>
        <v>0</v>
      </c>
      <c r="R31" s="8">
        <f t="shared" si="2"/>
        <v>104.68</v>
      </c>
    </row>
    <row r="32" spans="1:18" x14ac:dyDescent="0.55000000000000004">
      <c r="A32">
        <v>2019</v>
      </c>
      <c r="B32" t="s">
        <v>686</v>
      </c>
      <c r="C32" t="s">
        <v>647</v>
      </c>
      <c r="F32" t="s">
        <v>647</v>
      </c>
      <c r="G32" s="28" t="s">
        <v>723</v>
      </c>
      <c r="H32" s="29">
        <f>INDEX(TransportationData!$A$6:$M$338,MATCH(FinalPayment_NoReorg!$F32,TransportationData!$A$6:$A$338,0),3)</f>
        <v>2142.1999999999998</v>
      </c>
      <c r="I32" s="30">
        <f>INDEX(TransportationData!$A$6:$M$338,MATCH(FinalPayment_NoReorg!$F32,TransportationData!$A$6:$A$338,0),8)</f>
        <v>544174.05000000005</v>
      </c>
      <c r="J32" s="28">
        <f t="shared" si="3"/>
        <v>254.03</v>
      </c>
      <c r="K32" s="31">
        <f t="shared" si="0"/>
        <v>347.65</v>
      </c>
      <c r="L32" s="32">
        <f t="shared" si="4"/>
        <v>0</v>
      </c>
      <c r="M32" s="9">
        <f t="shared" si="5"/>
        <v>254.03</v>
      </c>
      <c r="N32" s="5">
        <f t="shared" si="6"/>
        <v>1754</v>
      </c>
      <c r="O32" s="8">
        <f t="shared" si="7"/>
        <v>253.21</v>
      </c>
      <c r="Q32" s="5">
        <f t="shared" si="1"/>
        <v>0</v>
      </c>
      <c r="R32" s="8">
        <f t="shared" si="2"/>
        <v>253.21</v>
      </c>
    </row>
    <row r="33" spans="1:18" x14ac:dyDescent="0.55000000000000004">
      <c r="A33">
        <v>2019</v>
      </c>
      <c r="B33" t="s">
        <v>686</v>
      </c>
      <c r="C33" t="s">
        <v>646</v>
      </c>
      <c r="F33" t="s">
        <v>646</v>
      </c>
      <c r="G33" s="28" t="s">
        <v>724</v>
      </c>
      <c r="H33" s="29">
        <f>INDEX(TransportationData!$A$6:$M$338,MATCH(FinalPayment_NoReorg!$F33,TransportationData!$A$6:$A$338,0),3)</f>
        <v>2056.5</v>
      </c>
      <c r="I33" s="30">
        <f>INDEX(TransportationData!$A$6:$M$338,MATCH(FinalPayment_NoReorg!$F33,TransportationData!$A$6:$A$338,0),8)</f>
        <v>322526.06</v>
      </c>
      <c r="J33" s="28">
        <f t="shared" si="3"/>
        <v>156.83000000000001</v>
      </c>
      <c r="K33" s="31">
        <f t="shared" si="0"/>
        <v>347.65</v>
      </c>
      <c r="L33" s="32">
        <f t="shared" si="4"/>
        <v>0</v>
      </c>
      <c r="M33" s="9">
        <f t="shared" si="5"/>
        <v>156.83000000000001</v>
      </c>
      <c r="N33" s="5">
        <f t="shared" si="6"/>
        <v>1683</v>
      </c>
      <c r="O33" s="8">
        <f t="shared" si="7"/>
        <v>156.01</v>
      </c>
      <c r="Q33" s="5">
        <f t="shared" si="1"/>
        <v>0</v>
      </c>
      <c r="R33" s="8">
        <f t="shared" si="2"/>
        <v>156.01</v>
      </c>
    </row>
    <row r="34" spans="1:18" x14ac:dyDescent="0.55000000000000004">
      <c r="A34">
        <v>2019</v>
      </c>
      <c r="B34" t="s">
        <v>692</v>
      </c>
      <c r="C34" t="s">
        <v>645</v>
      </c>
      <c r="F34" t="s">
        <v>645</v>
      </c>
      <c r="G34" s="28" t="s">
        <v>725</v>
      </c>
      <c r="H34" s="29">
        <f>INDEX(TransportationData!$A$6:$M$338,MATCH(FinalPayment_NoReorg!$F34,TransportationData!$A$6:$A$338,0),3)</f>
        <v>583.09999999999991</v>
      </c>
      <c r="I34" s="30">
        <f>INDEX(TransportationData!$A$6:$M$338,MATCH(FinalPayment_NoReorg!$F34,TransportationData!$A$6:$A$338,0),8)</f>
        <v>223128.24</v>
      </c>
      <c r="J34" s="28">
        <f t="shared" si="3"/>
        <v>382.66</v>
      </c>
      <c r="K34" s="31">
        <f t="shared" si="0"/>
        <v>347.65</v>
      </c>
      <c r="L34" s="32">
        <f t="shared" si="4"/>
        <v>20414</v>
      </c>
      <c r="M34" s="9">
        <f t="shared" si="5"/>
        <v>347.65</v>
      </c>
      <c r="N34" s="5">
        <f t="shared" si="6"/>
        <v>477</v>
      </c>
      <c r="O34" s="8">
        <f t="shared" si="7"/>
        <v>346.83</v>
      </c>
      <c r="Q34" s="5">
        <f t="shared" si="1"/>
        <v>0</v>
      </c>
      <c r="R34" s="8">
        <f t="shared" si="2"/>
        <v>346.83</v>
      </c>
    </row>
    <row r="35" spans="1:18" x14ac:dyDescent="0.55000000000000004">
      <c r="A35">
        <v>2019</v>
      </c>
      <c r="B35" t="s">
        <v>690</v>
      </c>
      <c r="C35" t="s">
        <v>586</v>
      </c>
      <c r="F35" t="s">
        <v>586</v>
      </c>
      <c r="G35" s="28" t="s">
        <v>726</v>
      </c>
      <c r="H35" s="29">
        <f>INDEX(TransportationData!$A$6:$M$338,MATCH(FinalPayment_NoReorg!$F35,TransportationData!$A$6:$A$338,0),3)</f>
        <v>393.7</v>
      </c>
      <c r="I35" s="30">
        <f>INDEX(TransportationData!$A$6:$M$338,MATCH(FinalPayment_NoReorg!$F35,TransportationData!$A$6:$A$338,0),8)</f>
        <v>225667.24</v>
      </c>
      <c r="J35" s="28">
        <f t="shared" si="3"/>
        <v>573.20000000000005</v>
      </c>
      <c r="K35" s="31">
        <f t="shared" si="0"/>
        <v>347.65</v>
      </c>
      <c r="L35" s="32">
        <f t="shared" si="4"/>
        <v>88799</v>
      </c>
      <c r="M35" s="9">
        <f t="shared" si="5"/>
        <v>347.65</v>
      </c>
      <c r="N35" s="5">
        <f t="shared" si="6"/>
        <v>322</v>
      </c>
      <c r="O35" s="8">
        <f t="shared" si="7"/>
        <v>346.83</v>
      </c>
      <c r="Q35" s="5">
        <f t="shared" si="1"/>
        <v>0</v>
      </c>
      <c r="R35" s="8">
        <f t="shared" si="2"/>
        <v>346.83</v>
      </c>
    </row>
    <row r="36" spans="1:18" x14ac:dyDescent="0.55000000000000004">
      <c r="A36">
        <v>2019</v>
      </c>
      <c r="B36" t="s">
        <v>689</v>
      </c>
      <c r="C36" t="s">
        <v>643</v>
      </c>
      <c r="F36" t="s">
        <v>643</v>
      </c>
      <c r="G36" s="28" t="s">
        <v>727</v>
      </c>
      <c r="H36" s="29">
        <f>INDEX(TransportationData!$A$6:$M$338,MATCH(FinalPayment_NoReorg!$F36,TransportationData!$A$6:$A$338,0),3)</f>
        <v>551.6</v>
      </c>
      <c r="I36" s="30">
        <f>INDEX(TransportationData!$A$6:$M$338,MATCH(FinalPayment_NoReorg!$F36,TransportationData!$A$6:$A$338,0),8)</f>
        <v>192909.72</v>
      </c>
      <c r="J36" s="28">
        <f t="shared" si="3"/>
        <v>349.73</v>
      </c>
      <c r="K36" s="31">
        <f t="shared" si="0"/>
        <v>347.65</v>
      </c>
      <c r="L36" s="32">
        <f t="shared" si="4"/>
        <v>1147</v>
      </c>
      <c r="M36" s="9">
        <f t="shared" si="5"/>
        <v>347.65</v>
      </c>
      <c r="N36" s="5">
        <f t="shared" si="6"/>
        <v>452</v>
      </c>
      <c r="O36" s="8">
        <f t="shared" si="7"/>
        <v>346.83</v>
      </c>
      <c r="Q36" s="5">
        <f t="shared" si="1"/>
        <v>0</v>
      </c>
      <c r="R36" s="8">
        <f t="shared" si="2"/>
        <v>346.83</v>
      </c>
    </row>
    <row r="37" spans="1:18" x14ac:dyDescent="0.55000000000000004">
      <c r="A37">
        <v>2019</v>
      </c>
      <c r="B37" t="s">
        <v>696</v>
      </c>
      <c r="C37" t="s">
        <v>641</v>
      </c>
      <c r="F37" t="s">
        <v>641</v>
      </c>
      <c r="G37" s="28" t="s">
        <v>728</v>
      </c>
      <c r="H37" s="29">
        <f>INDEX(TransportationData!$A$6:$M$338,MATCH(FinalPayment_NoReorg!$F37,TransportationData!$A$6:$A$338,0),3)</f>
        <v>4133.5999999999995</v>
      </c>
      <c r="I37" s="30">
        <f>INDEX(TransportationData!$A$6:$M$338,MATCH(FinalPayment_NoReorg!$F37,TransportationData!$A$6:$A$338,0),8)</f>
        <v>838027.42</v>
      </c>
      <c r="J37" s="28">
        <f t="shared" si="3"/>
        <v>202.74</v>
      </c>
      <c r="K37" s="31">
        <f t="shared" si="0"/>
        <v>347.65</v>
      </c>
      <c r="L37" s="32">
        <f t="shared" si="4"/>
        <v>0</v>
      </c>
      <c r="M37" s="9">
        <f t="shared" si="5"/>
        <v>202.74</v>
      </c>
      <c r="N37" s="5">
        <f t="shared" si="6"/>
        <v>3384</v>
      </c>
      <c r="O37" s="8">
        <f t="shared" si="7"/>
        <v>201.92</v>
      </c>
      <c r="Q37" s="5">
        <f t="shared" si="1"/>
        <v>0</v>
      </c>
      <c r="R37" s="8">
        <f t="shared" si="2"/>
        <v>201.92</v>
      </c>
    </row>
    <row r="38" spans="1:18" x14ac:dyDescent="0.55000000000000004">
      <c r="A38">
        <v>2019</v>
      </c>
      <c r="B38" t="s">
        <v>689</v>
      </c>
      <c r="C38" t="s">
        <v>638</v>
      </c>
      <c r="F38" t="s">
        <v>638</v>
      </c>
      <c r="G38" s="28" t="s">
        <v>55</v>
      </c>
      <c r="H38" s="29">
        <f>INDEX(TransportationData!$A$6:$M$338,MATCH(FinalPayment_NoReorg!$F38,TransportationData!$A$6:$A$338,0),3)</f>
        <v>239.9</v>
      </c>
      <c r="I38" s="30">
        <f>INDEX(TransportationData!$A$6:$M$338,MATCH(FinalPayment_NoReorg!$F38,TransportationData!$A$6:$A$338,0),8)</f>
        <v>129103.45</v>
      </c>
      <c r="J38" s="28">
        <f t="shared" si="3"/>
        <v>538.16</v>
      </c>
      <c r="K38" s="31">
        <f t="shared" si="0"/>
        <v>347.65</v>
      </c>
      <c r="L38" s="32">
        <f t="shared" si="4"/>
        <v>45703</v>
      </c>
      <c r="M38" s="9">
        <f t="shared" si="5"/>
        <v>347.65</v>
      </c>
      <c r="N38" s="5">
        <f t="shared" si="6"/>
        <v>196</v>
      </c>
      <c r="O38" s="8">
        <f t="shared" si="7"/>
        <v>346.83</v>
      </c>
      <c r="Q38" s="5">
        <f t="shared" si="1"/>
        <v>0</v>
      </c>
      <c r="R38" s="8">
        <f t="shared" si="2"/>
        <v>346.83</v>
      </c>
    </row>
    <row r="39" spans="1:18" x14ac:dyDescent="0.55000000000000004">
      <c r="A39">
        <v>2019</v>
      </c>
      <c r="B39" t="s">
        <v>707</v>
      </c>
      <c r="C39" t="s">
        <v>637</v>
      </c>
      <c r="F39" t="s">
        <v>637</v>
      </c>
      <c r="G39" s="28" t="s">
        <v>1308</v>
      </c>
      <c r="H39" s="29">
        <f>INDEX(TransportationData!$A$6:$M$338,MATCH(FinalPayment_NoReorg!$F39,TransportationData!$A$6:$A$338,0),3)</f>
        <v>424.9</v>
      </c>
      <c r="I39" s="30">
        <f>INDEX(TransportationData!$A$6:$M$338,MATCH(FinalPayment_NoReorg!$F39,TransportationData!$A$6:$A$338,0),8)</f>
        <v>233503.39</v>
      </c>
      <c r="J39" s="28">
        <f t="shared" si="3"/>
        <v>549.54999999999995</v>
      </c>
      <c r="K39" s="31">
        <f t="shared" si="0"/>
        <v>347.65</v>
      </c>
      <c r="L39" s="32">
        <f t="shared" si="4"/>
        <v>85787</v>
      </c>
      <c r="M39" s="9">
        <f t="shared" si="5"/>
        <v>347.65</v>
      </c>
      <c r="N39" s="5">
        <f t="shared" si="6"/>
        <v>348</v>
      </c>
      <c r="O39" s="8">
        <f t="shared" si="7"/>
        <v>346.83</v>
      </c>
      <c r="Q39" s="5">
        <f t="shared" si="1"/>
        <v>0</v>
      </c>
      <c r="R39" s="8">
        <f t="shared" si="2"/>
        <v>346.83</v>
      </c>
    </row>
    <row r="40" spans="1:18" x14ac:dyDescent="0.55000000000000004">
      <c r="A40">
        <v>2019</v>
      </c>
      <c r="B40" t="s">
        <v>690</v>
      </c>
      <c r="C40" t="s">
        <v>640</v>
      </c>
      <c r="F40" t="s">
        <v>640</v>
      </c>
      <c r="G40" s="28" t="s">
        <v>639</v>
      </c>
      <c r="H40" s="29">
        <f>INDEX(TransportationData!$A$6:$M$338,MATCH(FinalPayment_NoReorg!$F40,TransportationData!$A$6:$A$338,0),3)</f>
        <v>491.6</v>
      </c>
      <c r="I40" s="30">
        <f>INDEX(TransportationData!$A$6:$M$338,MATCH(FinalPayment_NoReorg!$F40,TransportationData!$A$6:$A$338,0),8)</f>
        <v>310642.55</v>
      </c>
      <c r="J40" s="28">
        <f t="shared" si="3"/>
        <v>631.9</v>
      </c>
      <c r="K40" s="31">
        <f t="shared" si="0"/>
        <v>347.65</v>
      </c>
      <c r="L40" s="32">
        <f t="shared" si="4"/>
        <v>139737</v>
      </c>
      <c r="M40" s="9">
        <f t="shared" si="5"/>
        <v>347.65</v>
      </c>
      <c r="N40" s="5">
        <f t="shared" si="6"/>
        <v>402</v>
      </c>
      <c r="O40" s="8">
        <f t="shared" si="7"/>
        <v>346.83</v>
      </c>
      <c r="Q40" s="5">
        <f t="shared" si="1"/>
        <v>0</v>
      </c>
      <c r="R40" s="8">
        <f t="shared" si="2"/>
        <v>346.83</v>
      </c>
    </row>
    <row r="41" spans="1:18" x14ac:dyDescent="0.55000000000000004">
      <c r="A41">
        <v>2019</v>
      </c>
      <c r="B41" t="s">
        <v>707</v>
      </c>
      <c r="C41" t="s">
        <v>636</v>
      </c>
      <c r="F41" t="s">
        <v>636</v>
      </c>
      <c r="G41" s="28" t="s">
        <v>729</v>
      </c>
      <c r="H41" s="29">
        <f>INDEX(TransportationData!$A$6:$M$338,MATCH(FinalPayment_NoReorg!$F41,TransportationData!$A$6:$A$338,0),3)</f>
        <v>821</v>
      </c>
      <c r="I41" s="30">
        <f>INDEX(TransportationData!$A$6:$M$338,MATCH(FinalPayment_NoReorg!$F41,TransportationData!$A$6:$A$338,0),8)</f>
        <v>166661.4</v>
      </c>
      <c r="J41" s="28">
        <f t="shared" si="3"/>
        <v>203</v>
      </c>
      <c r="K41" s="31">
        <f t="shared" si="0"/>
        <v>347.65</v>
      </c>
      <c r="L41" s="32">
        <f t="shared" si="4"/>
        <v>0</v>
      </c>
      <c r="M41" s="9">
        <f t="shared" si="5"/>
        <v>203</v>
      </c>
      <c r="N41" s="5">
        <f t="shared" si="6"/>
        <v>672</v>
      </c>
      <c r="O41" s="8">
        <f t="shared" si="7"/>
        <v>202.18</v>
      </c>
      <c r="Q41" s="5">
        <f t="shared" si="1"/>
        <v>0</v>
      </c>
      <c r="R41" s="8">
        <f t="shared" si="2"/>
        <v>202.18</v>
      </c>
    </row>
    <row r="42" spans="1:18" x14ac:dyDescent="0.55000000000000004">
      <c r="A42">
        <v>2019</v>
      </c>
      <c r="B42" t="s">
        <v>696</v>
      </c>
      <c r="C42" t="s">
        <v>635</v>
      </c>
      <c r="F42" t="s">
        <v>635</v>
      </c>
      <c r="G42" s="28" t="s">
        <v>730</v>
      </c>
      <c r="H42" s="29">
        <f>INDEX(TransportationData!$A$6:$M$338,MATCH(FinalPayment_NoReorg!$F42,TransportationData!$A$6:$A$338,0),3)</f>
        <v>570.9</v>
      </c>
      <c r="I42" s="30">
        <f>INDEX(TransportationData!$A$6:$M$338,MATCH(FinalPayment_NoReorg!$F42,TransportationData!$A$6:$A$338,0),8)</f>
        <v>474580.55</v>
      </c>
      <c r="J42" s="28">
        <f t="shared" si="3"/>
        <v>831.28</v>
      </c>
      <c r="K42" s="31">
        <f t="shared" si="0"/>
        <v>347.65</v>
      </c>
      <c r="L42" s="32">
        <f t="shared" si="4"/>
        <v>276104</v>
      </c>
      <c r="M42" s="9">
        <f t="shared" si="5"/>
        <v>347.66</v>
      </c>
      <c r="N42" s="5">
        <f t="shared" si="6"/>
        <v>467</v>
      </c>
      <c r="O42" s="8">
        <f t="shared" si="7"/>
        <v>346.84</v>
      </c>
      <c r="Q42" s="5">
        <f t="shared" si="1"/>
        <v>0</v>
      </c>
      <c r="R42" s="8">
        <f t="shared" si="2"/>
        <v>346.84</v>
      </c>
    </row>
    <row r="43" spans="1:18" x14ac:dyDescent="0.55000000000000004">
      <c r="A43">
        <v>2019</v>
      </c>
      <c r="B43" t="s">
        <v>686</v>
      </c>
      <c r="C43" t="s">
        <v>634</v>
      </c>
      <c r="F43" t="s">
        <v>634</v>
      </c>
      <c r="G43" s="28" t="s">
        <v>731</v>
      </c>
      <c r="H43" s="29">
        <f>INDEX(TransportationData!$A$6:$M$338,MATCH(FinalPayment_NoReorg!$F43,TransportationData!$A$6:$A$338,0),3)</f>
        <v>1981.5</v>
      </c>
      <c r="I43" s="30">
        <f>INDEX(TransportationData!$A$6:$M$338,MATCH(FinalPayment_NoReorg!$F43,TransportationData!$A$6:$A$338,0),8)</f>
        <v>757540.94</v>
      </c>
      <c r="J43" s="28">
        <f t="shared" si="3"/>
        <v>382.31</v>
      </c>
      <c r="K43" s="31">
        <f t="shared" si="0"/>
        <v>347.65</v>
      </c>
      <c r="L43" s="32">
        <f t="shared" si="4"/>
        <v>68679</v>
      </c>
      <c r="M43" s="9">
        <f t="shared" si="5"/>
        <v>347.65</v>
      </c>
      <c r="N43" s="5">
        <f t="shared" si="6"/>
        <v>1622</v>
      </c>
      <c r="O43" s="8">
        <f t="shared" si="7"/>
        <v>346.83</v>
      </c>
      <c r="Q43" s="5">
        <f t="shared" si="1"/>
        <v>0</v>
      </c>
      <c r="R43" s="8">
        <f t="shared" si="2"/>
        <v>346.83</v>
      </c>
    </row>
    <row r="44" spans="1:18" x14ac:dyDescent="0.55000000000000004">
      <c r="A44">
        <v>2019</v>
      </c>
      <c r="B44" t="s">
        <v>686</v>
      </c>
      <c r="C44" t="s">
        <v>633</v>
      </c>
      <c r="F44" t="s">
        <v>633</v>
      </c>
      <c r="G44" s="28" t="s">
        <v>732</v>
      </c>
      <c r="H44" s="29">
        <f>INDEX(TransportationData!$A$6:$M$338,MATCH(FinalPayment_NoReorg!$F44,TransportationData!$A$6:$A$338,0),3)</f>
        <v>1698.7</v>
      </c>
      <c r="I44" s="30">
        <f>INDEX(TransportationData!$A$6:$M$338,MATCH(FinalPayment_NoReorg!$F44,TransportationData!$A$6:$A$338,0),8)</f>
        <v>724780.16</v>
      </c>
      <c r="J44" s="28">
        <f t="shared" si="3"/>
        <v>426.67</v>
      </c>
      <c r="K44" s="31">
        <f t="shared" si="0"/>
        <v>347.65</v>
      </c>
      <c r="L44" s="32">
        <f t="shared" si="4"/>
        <v>134231</v>
      </c>
      <c r="M44" s="9">
        <f t="shared" si="5"/>
        <v>347.65</v>
      </c>
      <c r="N44" s="5">
        <f t="shared" si="6"/>
        <v>1391</v>
      </c>
      <c r="O44" s="8">
        <f t="shared" si="7"/>
        <v>346.83</v>
      </c>
      <c r="Q44" s="5">
        <f t="shared" si="1"/>
        <v>0</v>
      </c>
      <c r="R44" s="8">
        <f t="shared" si="2"/>
        <v>346.83</v>
      </c>
    </row>
    <row r="45" spans="1:18" x14ac:dyDescent="0.55000000000000004">
      <c r="A45">
        <v>2019</v>
      </c>
      <c r="B45" t="s">
        <v>689</v>
      </c>
      <c r="C45" t="s">
        <v>632</v>
      </c>
      <c r="F45" t="s">
        <v>632</v>
      </c>
      <c r="G45" s="28" t="s">
        <v>733</v>
      </c>
      <c r="H45" s="29">
        <f>INDEX(TransportationData!$A$6:$M$338,MATCH(FinalPayment_NoReorg!$F45,TransportationData!$A$6:$A$338,0),3)</f>
        <v>5236.4000000000005</v>
      </c>
      <c r="I45" s="30">
        <f>INDEX(TransportationData!$A$6:$M$338,MATCH(FinalPayment_NoReorg!$F45,TransportationData!$A$6:$A$338,0),8)</f>
        <v>1470094.92</v>
      </c>
      <c r="J45" s="28">
        <f t="shared" si="3"/>
        <v>280.75</v>
      </c>
      <c r="K45" s="31">
        <f t="shared" si="0"/>
        <v>347.65</v>
      </c>
      <c r="L45" s="32">
        <f t="shared" si="4"/>
        <v>0</v>
      </c>
      <c r="M45" s="9">
        <f t="shared" si="5"/>
        <v>280.75</v>
      </c>
      <c r="N45" s="5">
        <f t="shared" si="6"/>
        <v>4286</v>
      </c>
      <c r="O45" s="8">
        <f t="shared" si="7"/>
        <v>279.93</v>
      </c>
      <c r="Q45" s="5">
        <f t="shared" si="1"/>
        <v>0</v>
      </c>
      <c r="R45" s="8">
        <f t="shared" si="2"/>
        <v>279.93</v>
      </c>
    </row>
    <row r="46" spans="1:18" x14ac:dyDescent="0.55000000000000004">
      <c r="A46">
        <v>2019</v>
      </c>
      <c r="B46" t="s">
        <v>698</v>
      </c>
      <c r="C46" t="s">
        <v>631</v>
      </c>
      <c r="F46" t="s">
        <v>631</v>
      </c>
      <c r="G46" s="28" t="s">
        <v>734</v>
      </c>
      <c r="H46" s="29">
        <f>INDEX(TransportationData!$A$6:$M$338,MATCH(FinalPayment_NoReorg!$F46,TransportationData!$A$6:$A$338,0),3)</f>
        <v>16943.900000000001</v>
      </c>
      <c r="I46" s="30">
        <f>INDEX(TransportationData!$A$6:$M$338,MATCH(FinalPayment_NoReorg!$F46,TransportationData!$A$6:$A$338,0),8)</f>
        <v>6172856.4099999992</v>
      </c>
      <c r="J46" s="28">
        <f t="shared" si="3"/>
        <v>364.31</v>
      </c>
      <c r="K46" s="31">
        <f t="shared" si="0"/>
        <v>347.65</v>
      </c>
      <c r="L46" s="32">
        <f t="shared" si="4"/>
        <v>282285</v>
      </c>
      <c r="M46" s="9">
        <f t="shared" si="5"/>
        <v>347.65</v>
      </c>
      <c r="N46" s="5">
        <f t="shared" si="6"/>
        <v>13870</v>
      </c>
      <c r="O46" s="8">
        <f t="shared" si="7"/>
        <v>346.83</v>
      </c>
      <c r="Q46" s="5">
        <f t="shared" si="1"/>
        <v>0</v>
      </c>
      <c r="R46" s="8">
        <f t="shared" si="2"/>
        <v>346.83</v>
      </c>
    </row>
    <row r="47" spans="1:18" x14ac:dyDescent="0.55000000000000004">
      <c r="A47">
        <v>2019</v>
      </c>
      <c r="B47" t="s">
        <v>698</v>
      </c>
      <c r="C47" t="s">
        <v>630</v>
      </c>
      <c r="F47" t="s">
        <v>630</v>
      </c>
      <c r="G47" s="28" t="s">
        <v>735</v>
      </c>
      <c r="H47" s="29">
        <f>INDEX(TransportationData!$A$6:$M$338,MATCH(FinalPayment_NoReorg!$F47,TransportationData!$A$6:$A$338,0),3)</f>
        <v>1331.4</v>
      </c>
      <c r="I47" s="30">
        <f>INDEX(TransportationData!$A$6:$M$338,MATCH(FinalPayment_NoReorg!$F47,TransportationData!$A$6:$A$338,0),8)</f>
        <v>357489.45</v>
      </c>
      <c r="J47" s="28">
        <f t="shared" si="3"/>
        <v>268.51</v>
      </c>
      <c r="K47" s="31">
        <f t="shared" si="0"/>
        <v>347.65</v>
      </c>
      <c r="L47" s="32">
        <f t="shared" si="4"/>
        <v>0</v>
      </c>
      <c r="M47" s="9">
        <f t="shared" si="5"/>
        <v>268.51</v>
      </c>
      <c r="N47" s="5">
        <f t="shared" si="6"/>
        <v>1090</v>
      </c>
      <c r="O47" s="8">
        <f t="shared" si="7"/>
        <v>267.69</v>
      </c>
      <c r="Q47" s="5">
        <f t="shared" si="1"/>
        <v>0</v>
      </c>
      <c r="R47" s="8">
        <f t="shared" si="2"/>
        <v>267.69</v>
      </c>
    </row>
    <row r="48" spans="1:18" x14ac:dyDescent="0.55000000000000004">
      <c r="A48">
        <v>2019</v>
      </c>
      <c r="B48" t="s">
        <v>696</v>
      </c>
      <c r="C48" t="s">
        <v>629</v>
      </c>
      <c r="F48" t="s">
        <v>629</v>
      </c>
      <c r="G48" s="28" t="s">
        <v>736</v>
      </c>
      <c r="H48" s="29">
        <f>INDEX(TransportationData!$A$6:$M$338,MATCH(FinalPayment_NoReorg!$F48,TransportationData!$A$6:$A$338,0),3)</f>
        <v>1374.8</v>
      </c>
      <c r="I48" s="30">
        <f>INDEX(TransportationData!$A$6:$M$338,MATCH(FinalPayment_NoReorg!$F48,TransportationData!$A$6:$A$338,0),8)</f>
        <v>344504.3</v>
      </c>
      <c r="J48" s="28">
        <f t="shared" si="3"/>
        <v>250.59</v>
      </c>
      <c r="K48" s="31">
        <f t="shared" si="0"/>
        <v>347.65</v>
      </c>
      <c r="L48" s="32">
        <f t="shared" si="4"/>
        <v>0</v>
      </c>
      <c r="M48" s="9">
        <f t="shared" si="5"/>
        <v>250.59</v>
      </c>
      <c r="N48" s="5">
        <f t="shared" si="6"/>
        <v>1125</v>
      </c>
      <c r="O48" s="8">
        <f t="shared" si="7"/>
        <v>249.77</v>
      </c>
      <c r="Q48" s="5">
        <f t="shared" si="1"/>
        <v>0</v>
      </c>
      <c r="R48" s="8">
        <f t="shared" si="2"/>
        <v>249.77</v>
      </c>
    </row>
    <row r="49" spans="1:18" x14ac:dyDescent="0.55000000000000004">
      <c r="A49">
        <v>2019</v>
      </c>
      <c r="B49" t="s">
        <v>698</v>
      </c>
      <c r="C49" t="s">
        <v>624</v>
      </c>
      <c r="F49" t="s">
        <v>624</v>
      </c>
      <c r="G49" s="28" t="s">
        <v>737</v>
      </c>
      <c r="H49" s="29">
        <f>INDEX(TransportationData!$A$6:$M$338,MATCH(FinalPayment_NoReorg!$F49,TransportationData!$A$6:$A$338,0),3)</f>
        <v>458.9</v>
      </c>
      <c r="I49" s="30">
        <f>INDEX(TransportationData!$A$6:$M$338,MATCH(FinalPayment_NoReorg!$F49,TransportationData!$A$6:$A$338,0),8)</f>
        <v>140707.45000000001</v>
      </c>
      <c r="J49" s="28">
        <f t="shared" si="3"/>
        <v>306.62</v>
      </c>
      <c r="K49" s="31">
        <f t="shared" si="0"/>
        <v>347.65</v>
      </c>
      <c r="L49" s="32">
        <f t="shared" si="4"/>
        <v>0</v>
      </c>
      <c r="M49" s="9">
        <f t="shared" si="5"/>
        <v>306.62</v>
      </c>
      <c r="N49" s="5">
        <f t="shared" si="6"/>
        <v>376</v>
      </c>
      <c r="O49" s="8">
        <f t="shared" si="7"/>
        <v>305.8</v>
      </c>
      <c r="Q49" s="5">
        <f t="shared" si="1"/>
        <v>0</v>
      </c>
      <c r="R49" s="8">
        <f t="shared" si="2"/>
        <v>305.8</v>
      </c>
    </row>
    <row r="50" spans="1:18" x14ac:dyDescent="0.55000000000000004">
      <c r="A50">
        <v>2019</v>
      </c>
      <c r="B50" t="s">
        <v>703</v>
      </c>
      <c r="C50" t="s">
        <v>627</v>
      </c>
      <c r="F50" t="s">
        <v>627</v>
      </c>
      <c r="G50" s="28" t="s">
        <v>738</v>
      </c>
      <c r="H50" s="29">
        <f>INDEX(TransportationData!$A$6:$M$338,MATCH(FinalPayment_NoReorg!$F50,TransportationData!$A$6:$A$338,0),3)</f>
        <v>424.1</v>
      </c>
      <c r="I50" s="30">
        <f>INDEX(TransportationData!$A$6:$M$338,MATCH(FinalPayment_NoReorg!$F50,TransportationData!$A$6:$A$338,0),8)</f>
        <v>289763.18</v>
      </c>
      <c r="J50" s="28">
        <f t="shared" si="3"/>
        <v>683.24</v>
      </c>
      <c r="K50" s="31">
        <f t="shared" si="0"/>
        <v>347.65</v>
      </c>
      <c r="L50" s="32">
        <f t="shared" si="4"/>
        <v>142324</v>
      </c>
      <c r="M50" s="9">
        <f t="shared" si="5"/>
        <v>347.65</v>
      </c>
      <c r="N50" s="5">
        <f t="shared" si="6"/>
        <v>347</v>
      </c>
      <c r="O50" s="8">
        <f t="shared" si="7"/>
        <v>346.83</v>
      </c>
      <c r="Q50" s="5">
        <f t="shared" si="1"/>
        <v>0</v>
      </c>
      <c r="R50" s="8">
        <f t="shared" si="2"/>
        <v>346.83</v>
      </c>
    </row>
    <row r="51" spans="1:18" x14ac:dyDescent="0.55000000000000004">
      <c r="A51">
        <v>2019</v>
      </c>
      <c r="B51" t="s">
        <v>707</v>
      </c>
      <c r="C51" t="s">
        <v>626</v>
      </c>
      <c r="F51" t="s">
        <v>626</v>
      </c>
      <c r="G51" s="28" t="s">
        <v>739</v>
      </c>
      <c r="H51" s="29">
        <f>INDEX(TransportationData!$A$6:$M$338,MATCH(FinalPayment_NoReorg!$F51,TransportationData!$A$6:$A$338,0),3)</f>
        <v>1472.6</v>
      </c>
      <c r="I51" s="30">
        <f>INDEX(TransportationData!$A$6:$M$338,MATCH(FinalPayment_NoReorg!$F51,TransportationData!$A$6:$A$338,0),8)</f>
        <v>498817.02</v>
      </c>
      <c r="J51" s="28">
        <f t="shared" si="3"/>
        <v>338.73</v>
      </c>
      <c r="K51" s="31">
        <f t="shared" si="0"/>
        <v>347.65</v>
      </c>
      <c r="L51" s="32">
        <f t="shared" si="4"/>
        <v>0</v>
      </c>
      <c r="M51" s="9">
        <f t="shared" si="5"/>
        <v>338.73</v>
      </c>
      <c r="N51" s="5">
        <f t="shared" si="6"/>
        <v>1205</v>
      </c>
      <c r="O51" s="8">
        <f t="shared" si="7"/>
        <v>337.91</v>
      </c>
      <c r="Q51" s="5">
        <f t="shared" si="1"/>
        <v>0</v>
      </c>
      <c r="R51" s="8">
        <f t="shared" si="2"/>
        <v>337.91</v>
      </c>
    </row>
    <row r="52" spans="1:18" x14ac:dyDescent="0.55000000000000004">
      <c r="A52">
        <v>2019</v>
      </c>
      <c r="B52" t="s">
        <v>690</v>
      </c>
      <c r="C52" t="s">
        <v>623</v>
      </c>
      <c r="F52" t="s">
        <v>623</v>
      </c>
      <c r="G52" s="28" t="s">
        <v>740</v>
      </c>
      <c r="H52" s="29">
        <f>INDEX(TransportationData!$A$6:$M$338,MATCH(FinalPayment_NoReorg!$F52,TransportationData!$A$6:$A$338,0),3)</f>
        <v>615.4</v>
      </c>
      <c r="I52" s="30">
        <f>INDEX(TransportationData!$A$6:$M$338,MATCH(FinalPayment_NoReorg!$F52,TransportationData!$A$6:$A$338,0),8)</f>
        <v>674595.55</v>
      </c>
      <c r="J52" s="28">
        <f t="shared" si="3"/>
        <v>1096.19</v>
      </c>
      <c r="K52" s="31">
        <f t="shared" si="0"/>
        <v>347.65</v>
      </c>
      <c r="L52" s="32">
        <f t="shared" si="4"/>
        <v>460652</v>
      </c>
      <c r="M52" s="9">
        <f t="shared" si="5"/>
        <v>347.65</v>
      </c>
      <c r="N52" s="5">
        <f t="shared" si="6"/>
        <v>504</v>
      </c>
      <c r="O52" s="8">
        <f t="shared" si="7"/>
        <v>346.83</v>
      </c>
      <c r="Q52" s="5">
        <f t="shared" si="1"/>
        <v>0</v>
      </c>
      <c r="R52" s="8">
        <f t="shared" si="2"/>
        <v>346.83</v>
      </c>
    </row>
    <row r="53" spans="1:18" x14ac:dyDescent="0.55000000000000004">
      <c r="A53">
        <v>2019</v>
      </c>
      <c r="B53" t="s">
        <v>696</v>
      </c>
      <c r="C53" t="s">
        <v>628</v>
      </c>
      <c r="F53" t="s">
        <v>628</v>
      </c>
      <c r="G53" s="28" t="s">
        <v>741</v>
      </c>
      <c r="H53" s="29">
        <f>INDEX(TransportationData!$A$6:$M$338,MATCH(FinalPayment_NoReorg!$F53,TransportationData!$A$6:$A$338,0),3)</f>
        <v>764</v>
      </c>
      <c r="I53" s="30">
        <f>INDEX(TransportationData!$A$6:$M$338,MATCH(FinalPayment_NoReorg!$F53,TransportationData!$A$6:$A$338,0),8)</f>
        <v>517915.06</v>
      </c>
      <c r="J53" s="28">
        <f t="shared" si="3"/>
        <v>677.9</v>
      </c>
      <c r="K53" s="31">
        <f t="shared" si="0"/>
        <v>347.65</v>
      </c>
      <c r="L53" s="32">
        <f t="shared" si="4"/>
        <v>252311</v>
      </c>
      <c r="M53" s="9">
        <f t="shared" si="5"/>
        <v>347.65</v>
      </c>
      <c r="N53" s="5">
        <f t="shared" si="6"/>
        <v>625</v>
      </c>
      <c r="O53" s="8">
        <f t="shared" si="7"/>
        <v>346.83</v>
      </c>
      <c r="Q53" s="5">
        <f t="shared" si="1"/>
        <v>0</v>
      </c>
      <c r="R53" s="8">
        <f t="shared" si="2"/>
        <v>346.83</v>
      </c>
    </row>
    <row r="54" spans="1:18" x14ac:dyDescent="0.55000000000000004">
      <c r="A54">
        <v>2019</v>
      </c>
      <c r="B54" t="s">
        <v>692</v>
      </c>
      <c r="C54" t="s">
        <v>622</v>
      </c>
      <c r="F54" t="s">
        <v>622</v>
      </c>
      <c r="G54" s="28" t="s">
        <v>742</v>
      </c>
      <c r="H54" s="29">
        <f>INDEX(TransportationData!$A$6:$M$338,MATCH(FinalPayment_NoReorg!$F54,TransportationData!$A$6:$A$338,0),3)</f>
        <v>774.4</v>
      </c>
      <c r="I54" s="30">
        <f>INDEX(TransportationData!$A$6:$M$338,MATCH(FinalPayment_NoReorg!$F54,TransportationData!$A$6:$A$338,0),8)</f>
        <v>204208.71</v>
      </c>
      <c r="J54" s="28">
        <f t="shared" si="3"/>
        <v>263.7</v>
      </c>
      <c r="K54" s="31">
        <f t="shared" si="0"/>
        <v>347.65</v>
      </c>
      <c r="L54" s="32">
        <f t="shared" si="4"/>
        <v>0</v>
      </c>
      <c r="M54" s="9">
        <f t="shared" si="5"/>
        <v>263.7</v>
      </c>
      <c r="N54" s="5">
        <f t="shared" si="6"/>
        <v>634</v>
      </c>
      <c r="O54" s="8">
        <f t="shared" si="7"/>
        <v>262.88</v>
      </c>
      <c r="Q54" s="5">
        <f t="shared" si="1"/>
        <v>0</v>
      </c>
      <c r="R54" s="8">
        <f t="shared" si="2"/>
        <v>262.88</v>
      </c>
    </row>
    <row r="55" spans="1:18" x14ac:dyDescent="0.55000000000000004">
      <c r="A55">
        <v>2019</v>
      </c>
      <c r="B55" t="s">
        <v>689</v>
      </c>
      <c r="C55" t="s">
        <v>468</v>
      </c>
      <c r="F55" t="s">
        <v>468</v>
      </c>
      <c r="G55" s="28" t="s">
        <v>743</v>
      </c>
      <c r="H55" s="29">
        <f>INDEX(TransportationData!$A$6:$M$338,MATCH(FinalPayment_NoReorg!$F55,TransportationData!$A$6:$A$338,0),3)</f>
        <v>797</v>
      </c>
      <c r="I55" s="30">
        <f>INDEX(TransportationData!$A$6:$M$338,MATCH(FinalPayment_NoReorg!$F55,TransportationData!$A$6:$A$338,0),8)</f>
        <v>412471.33999999997</v>
      </c>
      <c r="J55" s="28">
        <f t="shared" si="3"/>
        <v>517.53</v>
      </c>
      <c r="K55" s="31">
        <f t="shared" si="0"/>
        <v>347.65</v>
      </c>
      <c r="L55" s="32">
        <f t="shared" si="4"/>
        <v>135394</v>
      </c>
      <c r="M55" s="9">
        <f t="shared" si="5"/>
        <v>347.65</v>
      </c>
      <c r="N55" s="5">
        <f t="shared" si="6"/>
        <v>652</v>
      </c>
      <c r="O55" s="8">
        <f t="shared" si="7"/>
        <v>346.83</v>
      </c>
      <c r="Q55" s="5">
        <f t="shared" si="1"/>
        <v>0</v>
      </c>
      <c r="R55" s="8">
        <f t="shared" si="2"/>
        <v>346.83</v>
      </c>
    </row>
    <row r="56" spans="1:18" x14ac:dyDescent="0.55000000000000004">
      <c r="A56">
        <v>2019</v>
      </c>
      <c r="B56" t="s">
        <v>696</v>
      </c>
      <c r="C56" t="s">
        <v>621</v>
      </c>
      <c r="F56" t="s">
        <v>621</v>
      </c>
      <c r="G56" s="28" t="s">
        <v>744</v>
      </c>
      <c r="H56" s="29">
        <f>INDEX(TransportationData!$A$6:$M$338,MATCH(FinalPayment_NoReorg!$F56,TransportationData!$A$6:$A$338,0),3)</f>
        <v>1275.8</v>
      </c>
      <c r="I56" s="30">
        <f>INDEX(TransportationData!$A$6:$M$338,MATCH(FinalPayment_NoReorg!$F56,TransportationData!$A$6:$A$338,0),8)</f>
        <v>545932.31999999995</v>
      </c>
      <c r="J56" s="28">
        <f t="shared" si="3"/>
        <v>427.91</v>
      </c>
      <c r="K56" s="31">
        <f t="shared" si="0"/>
        <v>347.65</v>
      </c>
      <c r="L56" s="32">
        <f t="shared" si="4"/>
        <v>102396</v>
      </c>
      <c r="M56" s="9">
        <f t="shared" si="5"/>
        <v>347.65</v>
      </c>
      <c r="N56" s="5">
        <f t="shared" si="6"/>
        <v>1044</v>
      </c>
      <c r="O56" s="8">
        <f t="shared" si="7"/>
        <v>346.84</v>
      </c>
      <c r="Q56" s="5">
        <f t="shared" si="1"/>
        <v>0</v>
      </c>
      <c r="R56" s="8">
        <f t="shared" si="2"/>
        <v>346.84</v>
      </c>
    </row>
    <row r="57" spans="1:18" x14ac:dyDescent="0.55000000000000004">
      <c r="A57">
        <v>2019</v>
      </c>
      <c r="B57" t="s">
        <v>689</v>
      </c>
      <c r="C57" t="s">
        <v>620</v>
      </c>
      <c r="F57" t="s">
        <v>620</v>
      </c>
      <c r="G57" s="28" t="s">
        <v>745</v>
      </c>
      <c r="H57" s="29">
        <f>INDEX(TransportationData!$A$6:$M$338,MATCH(FinalPayment_NoReorg!$F57,TransportationData!$A$6:$A$338,0),3)</f>
        <v>1538.3999999999999</v>
      </c>
      <c r="I57" s="30">
        <f>INDEX(TransportationData!$A$6:$M$338,MATCH(FinalPayment_NoReorg!$F57,TransportationData!$A$6:$A$338,0),8)</f>
        <v>331592.53000000003</v>
      </c>
      <c r="J57" s="28">
        <f t="shared" si="3"/>
        <v>215.54</v>
      </c>
      <c r="K57" s="31">
        <f t="shared" si="0"/>
        <v>347.65</v>
      </c>
      <c r="L57" s="32">
        <f t="shared" si="4"/>
        <v>0</v>
      </c>
      <c r="M57" s="9">
        <f t="shared" si="5"/>
        <v>215.54</v>
      </c>
      <c r="N57" s="5">
        <f t="shared" si="6"/>
        <v>1259</v>
      </c>
      <c r="O57" s="8">
        <f t="shared" si="7"/>
        <v>214.73</v>
      </c>
      <c r="Q57" s="5">
        <f t="shared" si="1"/>
        <v>0</v>
      </c>
      <c r="R57" s="8">
        <f t="shared" si="2"/>
        <v>214.73</v>
      </c>
    </row>
    <row r="58" spans="1:18" x14ac:dyDescent="0.55000000000000004">
      <c r="A58">
        <v>2019</v>
      </c>
      <c r="B58" t="s">
        <v>692</v>
      </c>
      <c r="C58" t="s">
        <v>619</v>
      </c>
      <c r="F58" t="s">
        <v>619</v>
      </c>
      <c r="G58" s="28" t="s">
        <v>746</v>
      </c>
      <c r="H58" s="29">
        <f>INDEX(TransportationData!$A$6:$M$338,MATCH(FinalPayment_NoReorg!$F58,TransportationData!$A$6:$A$338,0),3)</f>
        <v>268.8</v>
      </c>
      <c r="I58" s="30">
        <f>INDEX(TransportationData!$A$6:$M$338,MATCH(FinalPayment_NoReorg!$F58,TransportationData!$A$6:$A$338,0),8)</f>
        <v>252934</v>
      </c>
      <c r="J58" s="28">
        <f t="shared" si="3"/>
        <v>940.97</v>
      </c>
      <c r="K58" s="31">
        <f t="shared" si="0"/>
        <v>347.65</v>
      </c>
      <c r="L58" s="32">
        <f t="shared" si="4"/>
        <v>159484</v>
      </c>
      <c r="M58" s="9">
        <f t="shared" si="5"/>
        <v>347.66</v>
      </c>
      <c r="N58" s="5">
        <f t="shared" si="6"/>
        <v>220</v>
      </c>
      <c r="O58" s="8">
        <f t="shared" si="7"/>
        <v>346.84</v>
      </c>
      <c r="Q58" s="5">
        <f t="shared" si="1"/>
        <v>0</v>
      </c>
      <c r="R58" s="8">
        <f t="shared" si="2"/>
        <v>346.84</v>
      </c>
    </row>
    <row r="59" spans="1:18" x14ac:dyDescent="0.55000000000000004">
      <c r="A59">
        <v>2019</v>
      </c>
      <c r="B59" t="s">
        <v>692</v>
      </c>
      <c r="C59" t="s">
        <v>618</v>
      </c>
      <c r="F59" t="s">
        <v>618</v>
      </c>
      <c r="G59" s="28" t="s">
        <v>747</v>
      </c>
      <c r="H59" s="29">
        <f>INDEX(TransportationData!$A$6:$M$338,MATCH(FinalPayment_NoReorg!$F59,TransportationData!$A$6:$A$338,0),3)</f>
        <v>1014.1</v>
      </c>
      <c r="I59" s="30">
        <f>INDEX(TransportationData!$A$6:$M$338,MATCH(FinalPayment_NoReorg!$F59,TransportationData!$A$6:$A$338,0),8)</f>
        <v>219412.86</v>
      </c>
      <c r="J59" s="28">
        <f t="shared" si="3"/>
        <v>216.36</v>
      </c>
      <c r="K59" s="31">
        <f t="shared" si="0"/>
        <v>347.65</v>
      </c>
      <c r="L59" s="32">
        <f t="shared" si="4"/>
        <v>0</v>
      </c>
      <c r="M59" s="9">
        <f t="shared" si="5"/>
        <v>216.36</v>
      </c>
      <c r="N59" s="5">
        <f t="shared" si="6"/>
        <v>830</v>
      </c>
      <c r="O59" s="8">
        <f t="shared" si="7"/>
        <v>215.54</v>
      </c>
      <c r="Q59" s="5">
        <f t="shared" si="1"/>
        <v>0</v>
      </c>
      <c r="R59" s="8">
        <f t="shared" si="2"/>
        <v>215.54</v>
      </c>
    </row>
    <row r="60" spans="1:18" x14ac:dyDescent="0.55000000000000004">
      <c r="A60">
        <v>2019</v>
      </c>
      <c r="B60" t="s">
        <v>690</v>
      </c>
      <c r="C60" t="s">
        <v>617</v>
      </c>
      <c r="F60" t="s">
        <v>617</v>
      </c>
      <c r="G60" s="28" t="s">
        <v>748</v>
      </c>
      <c r="H60" s="29">
        <f>INDEX(TransportationData!$A$6:$M$338,MATCH(FinalPayment_NoReorg!$F60,TransportationData!$A$6:$A$338,0),3)</f>
        <v>988.90000000000009</v>
      </c>
      <c r="I60" s="30">
        <f>INDEX(TransportationData!$A$6:$M$338,MATCH(FinalPayment_NoReorg!$F60,TransportationData!$A$6:$A$338,0),8)</f>
        <v>226859.82</v>
      </c>
      <c r="J60" s="28">
        <f t="shared" si="3"/>
        <v>229.41</v>
      </c>
      <c r="K60" s="31">
        <f t="shared" si="0"/>
        <v>347.65</v>
      </c>
      <c r="L60" s="32">
        <f t="shared" si="4"/>
        <v>0</v>
      </c>
      <c r="M60" s="9">
        <f t="shared" si="5"/>
        <v>229.41</v>
      </c>
      <c r="N60" s="5">
        <f t="shared" si="6"/>
        <v>809</v>
      </c>
      <c r="O60" s="8">
        <f t="shared" si="7"/>
        <v>228.59</v>
      </c>
      <c r="Q60" s="5">
        <f t="shared" si="1"/>
        <v>0</v>
      </c>
      <c r="R60" s="8">
        <f t="shared" si="2"/>
        <v>228.59</v>
      </c>
    </row>
    <row r="61" spans="1:18" x14ac:dyDescent="0.55000000000000004">
      <c r="A61">
        <v>2019</v>
      </c>
      <c r="B61" t="s">
        <v>694</v>
      </c>
      <c r="C61" t="s">
        <v>616</v>
      </c>
      <c r="D61" t="s">
        <v>749</v>
      </c>
      <c r="F61" t="s">
        <v>616</v>
      </c>
      <c r="G61" s="28" t="s">
        <v>750</v>
      </c>
      <c r="H61" s="29">
        <f>INDEX(TransportationData!$A$6:$M$338,MATCH(FinalPayment_NoReorg!$F61,TransportationData!$A$6:$A$338,0),3)</f>
        <v>942.5</v>
      </c>
      <c r="I61" s="30">
        <f>INDEX(TransportationData!$A$6:$M$338,MATCH(FinalPayment_NoReorg!$F61,TransportationData!$A$6:$A$338,0),8)</f>
        <v>661298.45000000007</v>
      </c>
      <c r="J61" s="28">
        <f t="shared" si="3"/>
        <v>701.64</v>
      </c>
      <c r="K61" s="31">
        <f t="shared" si="0"/>
        <v>347.65</v>
      </c>
      <c r="L61" s="32">
        <f t="shared" si="4"/>
        <v>333636</v>
      </c>
      <c r="M61" s="9">
        <f t="shared" si="5"/>
        <v>347.65</v>
      </c>
      <c r="N61" s="5">
        <f t="shared" si="6"/>
        <v>772</v>
      </c>
      <c r="O61" s="8">
        <f t="shared" si="7"/>
        <v>346.83</v>
      </c>
      <c r="Q61" s="5">
        <f t="shared" si="1"/>
        <v>0</v>
      </c>
      <c r="R61" s="8">
        <f t="shared" si="2"/>
        <v>346.83</v>
      </c>
    </row>
    <row r="62" spans="1:18" x14ac:dyDescent="0.55000000000000004">
      <c r="A62">
        <v>2019</v>
      </c>
      <c r="B62" t="s">
        <v>690</v>
      </c>
      <c r="C62" t="s">
        <v>615</v>
      </c>
      <c r="F62" t="s">
        <v>615</v>
      </c>
      <c r="G62" s="28" t="s">
        <v>751</v>
      </c>
      <c r="H62" s="29">
        <f>INDEX(TransportationData!$A$6:$M$338,MATCH(FinalPayment_NoReorg!$F62,TransportationData!$A$6:$A$338,0),3)</f>
        <v>1450.1</v>
      </c>
      <c r="I62" s="30">
        <f>INDEX(TransportationData!$A$6:$M$338,MATCH(FinalPayment_NoReorg!$F62,TransportationData!$A$6:$A$338,0),8)</f>
        <v>602428.87</v>
      </c>
      <c r="J62" s="28">
        <f t="shared" si="3"/>
        <v>415.44</v>
      </c>
      <c r="K62" s="31">
        <f t="shared" si="0"/>
        <v>347.65</v>
      </c>
      <c r="L62" s="32">
        <f t="shared" si="4"/>
        <v>98302</v>
      </c>
      <c r="M62" s="9">
        <f t="shared" si="5"/>
        <v>347.65</v>
      </c>
      <c r="N62" s="5">
        <f t="shared" si="6"/>
        <v>1187</v>
      </c>
      <c r="O62" s="8">
        <f t="shared" si="7"/>
        <v>346.83</v>
      </c>
      <c r="Q62" s="5">
        <f t="shared" si="1"/>
        <v>0</v>
      </c>
      <c r="R62" s="8">
        <f t="shared" si="2"/>
        <v>346.83</v>
      </c>
    </row>
    <row r="63" spans="1:18" x14ac:dyDescent="0.55000000000000004">
      <c r="A63">
        <v>2019</v>
      </c>
      <c r="B63" t="s">
        <v>689</v>
      </c>
      <c r="C63" t="s">
        <v>614</v>
      </c>
      <c r="F63" t="s">
        <v>614</v>
      </c>
      <c r="G63" s="28" t="s">
        <v>752</v>
      </c>
      <c r="H63" s="29">
        <f>INDEX(TransportationData!$A$6:$M$338,MATCH(FinalPayment_NoReorg!$F63,TransportationData!$A$6:$A$338,0),3)</f>
        <v>310</v>
      </c>
      <c r="I63" s="30">
        <f>INDEX(TransportationData!$A$6:$M$338,MATCH(FinalPayment_NoReorg!$F63,TransportationData!$A$6:$A$338,0),8)</f>
        <v>51620.99</v>
      </c>
      <c r="J63" s="28">
        <f t="shared" si="3"/>
        <v>166.52</v>
      </c>
      <c r="K63" s="31">
        <f t="shared" si="0"/>
        <v>347.65</v>
      </c>
      <c r="L63" s="32">
        <f t="shared" si="4"/>
        <v>0</v>
      </c>
      <c r="M63" s="9">
        <f t="shared" si="5"/>
        <v>166.52</v>
      </c>
      <c r="N63" s="5">
        <f t="shared" si="6"/>
        <v>254</v>
      </c>
      <c r="O63" s="8">
        <f t="shared" si="7"/>
        <v>165.7</v>
      </c>
      <c r="Q63" s="5">
        <f t="shared" si="1"/>
        <v>0</v>
      </c>
      <c r="R63" s="8">
        <f t="shared" si="2"/>
        <v>165.7</v>
      </c>
    </row>
    <row r="64" spans="1:18" x14ac:dyDescent="0.55000000000000004">
      <c r="A64">
        <v>2019</v>
      </c>
      <c r="B64" t="s">
        <v>694</v>
      </c>
      <c r="C64" t="s">
        <v>613</v>
      </c>
      <c r="F64" t="s">
        <v>613</v>
      </c>
      <c r="G64" s="28" t="s">
        <v>753</v>
      </c>
      <c r="H64" s="29">
        <f>INDEX(TransportationData!$A$6:$M$338,MATCH(FinalPayment_NoReorg!$F64,TransportationData!$A$6:$A$338,0),3)</f>
        <v>312</v>
      </c>
      <c r="I64" s="30">
        <f>INDEX(TransportationData!$A$6:$M$338,MATCH(FinalPayment_NoReorg!$F64,TransportationData!$A$6:$A$338,0),8)</f>
        <v>169219.65999999997</v>
      </c>
      <c r="J64" s="28">
        <f t="shared" si="3"/>
        <v>542.37</v>
      </c>
      <c r="K64" s="31">
        <f t="shared" si="0"/>
        <v>347.65</v>
      </c>
      <c r="L64" s="32">
        <f t="shared" si="4"/>
        <v>60753</v>
      </c>
      <c r="M64" s="9">
        <f t="shared" si="5"/>
        <v>347.65</v>
      </c>
      <c r="N64" s="5">
        <f t="shared" si="6"/>
        <v>255</v>
      </c>
      <c r="O64" s="8">
        <f t="shared" si="7"/>
        <v>346.83</v>
      </c>
      <c r="Q64" s="5">
        <f t="shared" si="1"/>
        <v>0</v>
      </c>
      <c r="R64" s="8">
        <f t="shared" si="2"/>
        <v>346.83</v>
      </c>
    </row>
    <row r="65" spans="1:18" x14ac:dyDescent="0.55000000000000004">
      <c r="A65">
        <v>2019</v>
      </c>
      <c r="B65" t="s">
        <v>703</v>
      </c>
      <c r="C65" t="s">
        <v>547</v>
      </c>
      <c r="F65" t="s">
        <v>547</v>
      </c>
      <c r="G65" s="28" t="s">
        <v>754</v>
      </c>
      <c r="H65" s="29">
        <f>INDEX(TransportationData!$A$6:$M$338,MATCH(FinalPayment_NoReorg!$F65,TransportationData!$A$6:$A$338,0),3)</f>
        <v>585</v>
      </c>
      <c r="I65" s="30">
        <f>INDEX(TransportationData!$A$6:$M$338,MATCH(FinalPayment_NoReorg!$F65,TransportationData!$A$6:$A$338,0),8)</f>
        <v>342622.53</v>
      </c>
      <c r="J65" s="28">
        <f t="shared" si="3"/>
        <v>585.67999999999995</v>
      </c>
      <c r="K65" s="31">
        <f t="shared" si="0"/>
        <v>347.65</v>
      </c>
      <c r="L65" s="32">
        <f t="shared" si="4"/>
        <v>139248</v>
      </c>
      <c r="M65" s="9">
        <f t="shared" si="5"/>
        <v>347.65</v>
      </c>
      <c r="N65" s="5">
        <f t="shared" si="6"/>
        <v>479</v>
      </c>
      <c r="O65" s="8">
        <f t="shared" si="7"/>
        <v>346.83</v>
      </c>
      <c r="Q65" s="5">
        <f t="shared" si="1"/>
        <v>0</v>
      </c>
      <c r="R65" s="8">
        <f t="shared" si="2"/>
        <v>346.83</v>
      </c>
    </row>
    <row r="66" spans="1:18" x14ac:dyDescent="0.55000000000000004">
      <c r="A66">
        <v>2019</v>
      </c>
      <c r="B66" t="s">
        <v>698</v>
      </c>
      <c r="C66" t="s">
        <v>612</v>
      </c>
      <c r="D66" t="s">
        <v>755</v>
      </c>
      <c r="F66" t="s">
        <v>612</v>
      </c>
      <c r="G66" s="28" t="s">
        <v>1309</v>
      </c>
      <c r="H66" s="29">
        <f>INDEX(TransportationData!$A$6:$M$338,MATCH(FinalPayment_NoReorg!$F66,TransportationData!$A$6:$A$338,0),3)</f>
        <v>2381.6999999999998</v>
      </c>
      <c r="I66" s="30">
        <f>INDEX(TransportationData!$A$6:$M$338,MATCH(FinalPayment_NoReorg!$F66,TransportationData!$A$6:$A$338,0),8)</f>
        <v>880125.34</v>
      </c>
      <c r="J66" s="28">
        <f t="shared" si="3"/>
        <v>369.54</v>
      </c>
      <c r="K66" s="31">
        <f t="shared" ref="K66:K129" si="8">$L$336</f>
        <v>347.65</v>
      </c>
      <c r="L66" s="32">
        <f t="shared" ref="L66:L129" si="9">IF(J66&gt;K66,ROUND((J66-K66)*H66,0),0)</f>
        <v>52135</v>
      </c>
      <c r="M66" s="9">
        <f t="shared" si="5"/>
        <v>347.65</v>
      </c>
      <c r="N66" s="5">
        <f t="shared" ref="N66:N129" si="10">IF(ROUND(H66*$N$336,0)&gt;I66-L66,ROUND(I66-L66,0),ROUND(H66*$N$336,0))</f>
        <v>1950</v>
      </c>
      <c r="O66" s="8">
        <f t="shared" si="7"/>
        <v>346.83</v>
      </c>
      <c r="Q66" s="5">
        <f t="shared" si="1"/>
        <v>0</v>
      </c>
      <c r="R66" s="8">
        <f t="shared" si="2"/>
        <v>346.83</v>
      </c>
    </row>
    <row r="67" spans="1:18" x14ac:dyDescent="0.55000000000000004">
      <c r="A67">
        <v>2019</v>
      </c>
      <c r="B67" t="s">
        <v>689</v>
      </c>
      <c r="C67" t="s">
        <v>611</v>
      </c>
      <c r="F67" t="s">
        <v>611</v>
      </c>
      <c r="G67" s="28" t="s">
        <v>756</v>
      </c>
      <c r="H67" s="29">
        <f>INDEX(TransportationData!$A$6:$M$338,MATCH(FinalPayment_NoReorg!$F67,TransportationData!$A$6:$A$338,0),3)</f>
        <v>1219.5999999999999</v>
      </c>
      <c r="I67" s="30">
        <f>INDEX(TransportationData!$A$6:$M$338,MATCH(FinalPayment_NoReorg!$F67,TransportationData!$A$6:$A$338,0),8)</f>
        <v>317592.21999999997</v>
      </c>
      <c r="J67" s="28">
        <f t="shared" ref="J67:J130" si="11">ROUND(I67/H67,2)</f>
        <v>260.41000000000003</v>
      </c>
      <c r="K67" s="31">
        <f t="shared" si="8"/>
        <v>347.65</v>
      </c>
      <c r="L67" s="32">
        <f t="shared" si="9"/>
        <v>0</v>
      </c>
      <c r="M67" s="9">
        <f t="shared" ref="M67:M130" si="12">ROUND((I67-L67)/H67,2)</f>
        <v>260.41000000000003</v>
      </c>
      <c r="N67" s="5">
        <f t="shared" si="10"/>
        <v>998</v>
      </c>
      <c r="O67" s="8">
        <f t="shared" ref="O67:O130" si="13">ROUND((I67-L67-N67)/H67,2)</f>
        <v>259.58999999999997</v>
      </c>
      <c r="Q67" s="5">
        <f t="shared" ref="Q67:Q130" si="14">IF(ROUND($H67*$N$340,0)&gt;$I67-$L67-N67,ROUND($I67-$L67-$N67,0),ROUND($H67*$N$340,0))</f>
        <v>0</v>
      </c>
      <c r="R67" s="8">
        <f t="shared" si="2"/>
        <v>259.58999999999997</v>
      </c>
    </row>
    <row r="68" spans="1:18" x14ac:dyDescent="0.55000000000000004">
      <c r="A68">
        <v>2019</v>
      </c>
      <c r="B68" t="s">
        <v>707</v>
      </c>
      <c r="C68" t="s">
        <v>610</v>
      </c>
      <c r="F68" t="s">
        <v>610</v>
      </c>
      <c r="G68" s="28" t="s">
        <v>757</v>
      </c>
      <c r="H68" s="29">
        <f>INDEX(TransportationData!$A$6:$M$338,MATCH(FinalPayment_NoReorg!$F68,TransportationData!$A$6:$A$338,0),3)</f>
        <v>3732.4</v>
      </c>
      <c r="I68" s="30">
        <f>INDEX(TransportationData!$A$6:$M$338,MATCH(FinalPayment_NoReorg!$F68,TransportationData!$A$6:$A$338,0),8)</f>
        <v>891426.3</v>
      </c>
      <c r="J68" s="28">
        <f t="shared" si="11"/>
        <v>238.83</v>
      </c>
      <c r="K68" s="31">
        <f t="shared" si="8"/>
        <v>347.65</v>
      </c>
      <c r="L68" s="32">
        <f t="shared" si="9"/>
        <v>0</v>
      </c>
      <c r="M68" s="9">
        <f t="shared" si="12"/>
        <v>238.83</v>
      </c>
      <c r="N68" s="5">
        <f t="shared" si="10"/>
        <v>3055</v>
      </c>
      <c r="O68" s="8">
        <f t="shared" si="13"/>
        <v>238.02</v>
      </c>
      <c r="Q68" s="5">
        <f t="shared" si="14"/>
        <v>0</v>
      </c>
      <c r="R68" s="8">
        <f t="shared" ref="R68:R131" si="15">ROUND(($I68-$L68-$N68-$Q68)/$H68,2)</f>
        <v>238.02</v>
      </c>
    </row>
    <row r="69" spans="1:18" x14ac:dyDescent="0.55000000000000004">
      <c r="A69">
        <v>2019</v>
      </c>
      <c r="B69" t="s">
        <v>686</v>
      </c>
      <c r="C69" t="s">
        <v>609</v>
      </c>
      <c r="F69" t="s">
        <v>609</v>
      </c>
      <c r="G69" s="28" t="s">
        <v>758</v>
      </c>
      <c r="H69" s="29">
        <f>INDEX(TransportationData!$A$6:$M$338,MATCH(FinalPayment_NoReorg!$F69,TransportationData!$A$6:$A$338,0),3)</f>
        <v>759.8</v>
      </c>
      <c r="I69" s="30">
        <f>INDEX(TransportationData!$A$6:$M$338,MATCH(FinalPayment_NoReorg!$F69,TransportationData!$A$6:$A$338,0),8)</f>
        <v>245611.47</v>
      </c>
      <c r="J69" s="28">
        <f t="shared" si="11"/>
        <v>323.26</v>
      </c>
      <c r="K69" s="31">
        <f t="shared" si="8"/>
        <v>347.65</v>
      </c>
      <c r="L69" s="32">
        <f t="shared" si="9"/>
        <v>0</v>
      </c>
      <c r="M69" s="9">
        <f t="shared" si="12"/>
        <v>323.26</v>
      </c>
      <c r="N69" s="5">
        <f t="shared" si="10"/>
        <v>622</v>
      </c>
      <c r="O69" s="8">
        <f t="shared" si="13"/>
        <v>322.44</v>
      </c>
      <c r="Q69" s="5">
        <f t="shared" si="14"/>
        <v>0</v>
      </c>
      <c r="R69" s="8">
        <f t="shared" si="15"/>
        <v>322.44</v>
      </c>
    </row>
    <row r="70" spans="1:18" x14ac:dyDescent="0.55000000000000004">
      <c r="A70">
        <v>2019</v>
      </c>
      <c r="B70" t="s">
        <v>698</v>
      </c>
      <c r="C70" t="s">
        <v>608</v>
      </c>
      <c r="F70" t="s">
        <v>608</v>
      </c>
      <c r="G70" s="28" t="s">
        <v>1310</v>
      </c>
      <c r="H70" s="29">
        <f>INDEX(TransportationData!$A$6:$M$338,MATCH(FinalPayment_NoReorg!$F70,TransportationData!$A$6:$A$338,0),3)</f>
        <v>5139.6000000000004</v>
      </c>
      <c r="I70" s="30">
        <f>INDEX(TransportationData!$A$6:$M$338,MATCH(FinalPayment_NoReorg!$F70,TransportationData!$A$6:$A$338,0),8)</f>
        <v>2248409.0099999998</v>
      </c>
      <c r="J70" s="28">
        <f t="shared" si="11"/>
        <v>437.47</v>
      </c>
      <c r="K70" s="31">
        <f t="shared" si="8"/>
        <v>347.65</v>
      </c>
      <c r="L70" s="32">
        <f t="shared" si="9"/>
        <v>461639</v>
      </c>
      <c r="M70" s="9">
        <f t="shared" si="12"/>
        <v>347.65</v>
      </c>
      <c r="N70" s="5">
        <f t="shared" si="10"/>
        <v>4207</v>
      </c>
      <c r="O70" s="8">
        <f t="shared" si="13"/>
        <v>346.83</v>
      </c>
      <c r="Q70" s="5">
        <f t="shared" si="14"/>
        <v>0</v>
      </c>
      <c r="R70" s="8">
        <f t="shared" si="15"/>
        <v>346.83</v>
      </c>
    </row>
    <row r="71" spans="1:18" x14ac:dyDescent="0.55000000000000004">
      <c r="A71">
        <v>2019</v>
      </c>
      <c r="B71" t="s">
        <v>686</v>
      </c>
      <c r="C71" t="s">
        <v>607</v>
      </c>
      <c r="F71" t="s">
        <v>607</v>
      </c>
      <c r="G71" s="28" t="s">
        <v>759</v>
      </c>
      <c r="H71" s="29">
        <f>INDEX(TransportationData!$A$6:$M$338,MATCH(FinalPayment_NoReorg!$F71,TransportationData!$A$6:$A$338,0),3)</f>
        <v>459.2</v>
      </c>
      <c r="I71" s="30">
        <f>INDEX(TransportationData!$A$6:$M$338,MATCH(FinalPayment_NoReorg!$F71,TransportationData!$A$6:$A$338,0),8)</f>
        <v>126901.65000000001</v>
      </c>
      <c r="J71" s="28">
        <f t="shared" si="11"/>
        <v>276.35000000000002</v>
      </c>
      <c r="K71" s="31">
        <f t="shared" si="8"/>
        <v>347.65</v>
      </c>
      <c r="L71" s="32">
        <f t="shared" si="9"/>
        <v>0</v>
      </c>
      <c r="M71" s="9">
        <f t="shared" si="12"/>
        <v>276.35000000000002</v>
      </c>
      <c r="N71" s="5">
        <f t="shared" si="10"/>
        <v>376</v>
      </c>
      <c r="O71" s="8">
        <f t="shared" si="13"/>
        <v>275.52999999999997</v>
      </c>
      <c r="Q71" s="5">
        <f t="shared" si="14"/>
        <v>0</v>
      </c>
      <c r="R71" s="8">
        <f t="shared" si="15"/>
        <v>275.52999999999997</v>
      </c>
    </row>
    <row r="72" spans="1:18" x14ac:dyDescent="0.55000000000000004">
      <c r="A72">
        <v>2019</v>
      </c>
      <c r="B72" t="s">
        <v>686</v>
      </c>
      <c r="C72" t="s">
        <v>606</v>
      </c>
      <c r="F72" t="s">
        <v>606</v>
      </c>
      <c r="G72" s="28" t="s">
        <v>760</v>
      </c>
      <c r="H72" s="29">
        <f>INDEX(TransportationData!$A$6:$M$338,MATCH(FinalPayment_NoReorg!$F72,TransportationData!$A$6:$A$338,0),3)</f>
        <v>489.9</v>
      </c>
      <c r="I72" s="30">
        <f>INDEX(TransportationData!$A$6:$M$338,MATCH(FinalPayment_NoReorg!$F72,TransportationData!$A$6:$A$338,0),8)</f>
        <v>199276.02000000002</v>
      </c>
      <c r="J72" s="28">
        <f t="shared" si="11"/>
        <v>406.77</v>
      </c>
      <c r="K72" s="31">
        <f t="shared" si="8"/>
        <v>347.65</v>
      </c>
      <c r="L72" s="32">
        <f t="shared" si="9"/>
        <v>28963</v>
      </c>
      <c r="M72" s="9">
        <f t="shared" si="12"/>
        <v>347.65</v>
      </c>
      <c r="N72" s="5">
        <f t="shared" si="10"/>
        <v>401</v>
      </c>
      <c r="O72" s="8">
        <f t="shared" si="13"/>
        <v>346.83</v>
      </c>
      <c r="Q72" s="5">
        <f t="shared" si="14"/>
        <v>0</v>
      </c>
      <c r="R72" s="8">
        <f t="shared" si="15"/>
        <v>346.83</v>
      </c>
    </row>
    <row r="73" spans="1:18" x14ac:dyDescent="0.55000000000000004">
      <c r="A73">
        <v>2019</v>
      </c>
      <c r="B73" t="s">
        <v>707</v>
      </c>
      <c r="C73" t="s">
        <v>604</v>
      </c>
      <c r="F73" t="s">
        <v>604</v>
      </c>
      <c r="G73" s="28" t="s">
        <v>761</v>
      </c>
      <c r="H73" s="29">
        <f>INDEX(TransportationData!$A$6:$M$338,MATCH(FinalPayment_NoReorg!$F73,TransportationData!$A$6:$A$338,0),3)</f>
        <v>752.9</v>
      </c>
      <c r="I73" s="30">
        <f>INDEX(TransportationData!$A$6:$M$338,MATCH(FinalPayment_NoReorg!$F73,TransportationData!$A$6:$A$338,0),8)</f>
        <v>283564.44</v>
      </c>
      <c r="J73" s="28">
        <f t="shared" si="11"/>
        <v>376.63</v>
      </c>
      <c r="K73" s="31">
        <f t="shared" si="8"/>
        <v>347.65</v>
      </c>
      <c r="L73" s="32">
        <f t="shared" si="9"/>
        <v>21819</v>
      </c>
      <c r="M73" s="9">
        <f t="shared" si="12"/>
        <v>347.65</v>
      </c>
      <c r="N73" s="5">
        <f t="shared" si="10"/>
        <v>616</v>
      </c>
      <c r="O73" s="8">
        <f t="shared" si="13"/>
        <v>346.83</v>
      </c>
      <c r="Q73" s="5">
        <f t="shared" si="14"/>
        <v>0</v>
      </c>
      <c r="R73" s="8">
        <f t="shared" si="15"/>
        <v>346.83</v>
      </c>
    </row>
    <row r="74" spans="1:18" x14ac:dyDescent="0.55000000000000004">
      <c r="A74">
        <v>2019</v>
      </c>
      <c r="B74" t="s">
        <v>686</v>
      </c>
      <c r="C74" t="s">
        <v>603</v>
      </c>
      <c r="F74" t="s">
        <v>603</v>
      </c>
      <c r="G74" s="28" t="s">
        <v>762</v>
      </c>
      <c r="H74" s="29">
        <f>INDEX(TransportationData!$A$6:$M$338,MATCH(FinalPayment_NoReorg!$F74,TransportationData!$A$6:$A$338,0),3)</f>
        <v>423</v>
      </c>
      <c r="I74" s="30">
        <f>INDEX(TransportationData!$A$6:$M$338,MATCH(FinalPayment_NoReorg!$F74,TransportationData!$A$6:$A$338,0),8)</f>
        <v>214050.21</v>
      </c>
      <c r="J74" s="28">
        <f t="shared" si="11"/>
        <v>506.03</v>
      </c>
      <c r="K74" s="31">
        <f t="shared" si="8"/>
        <v>347.65</v>
      </c>
      <c r="L74" s="32">
        <f t="shared" si="9"/>
        <v>66995</v>
      </c>
      <c r="M74" s="9">
        <f t="shared" si="12"/>
        <v>347.65</v>
      </c>
      <c r="N74" s="5">
        <f t="shared" si="10"/>
        <v>346</v>
      </c>
      <c r="O74" s="8">
        <f t="shared" si="13"/>
        <v>346.83</v>
      </c>
      <c r="Q74" s="5">
        <f t="shared" si="14"/>
        <v>0</v>
      </c>
      <c r="R74" s="8">
        <f t="shared" si="15"/>
        <v>346.83</v>
      </c>
    </row>
    <row r="75" spans="1:18" x14ac:dyDescent="0.55000000000000004">
      <c r="A75">
        <v>2019</v>
      </c>
      <c r="B75" t="s">
        <v>690</v>
      </c>
      <c r="C75" t="s">
        <v>602</v>
      </c>
      <c r="F75" t="s">
        <v>602</v>
      </c>
      <c r="G75" s="28" t="s">
        <v>763</v>
      </c>
      <c r="H75" s="29">
        <f>INDEX(TransportationData!$A$6:$M$338,MATCH(FinalPayment_NoReorg!$F75,TransportationData!$A$6:$A$338,0),3)</f>
        <v>413.8</v>
      </c>
      <c r="I75" s="30">
        <f>INDEX(TransportationData!$A$6:$M$338,MATCH(FinalPayment_NoReorg!$F75,TransportationData!$A$6:$A$338,0),8)</f>
        <v>387139.56</v>
      </c>
      <c r="J75" s="28">
        <f t="shared" si="11"/>
        <v>935.57</v>
      </c>
      <c r="K75" s="31">
        <f t="shared" si="8"/>
        <v>347.65</v>
      </c>
      <c r="L75" s="32">
        <f t="shared" si="9"/>
        <v>243281</v>
      </c>
      <c r="M75" s="9">
        <f t="shared" si="12"/>
        <v>347.65</v>
      </c>
      <c r="N75" s="5">
        <f t="shared" si="10"/>
        <v>339</v>
      </c>
      <c r="O75" s="8">
        <f t="shared" si="13"/>
        <v>346.83</v>
      </c>
      <c r="Q75" s="5">
        <f t="shared" si="14"/>
        <v>0</v>
      </c>
      <c r="R75" s="8">
        <f t="shared" si="15"/>
        <v>346.83</v>
      </c>
    </row>
    <row r="76" spans="1:18" x14ac:dyDescent="0.55000000000000004">
      <c r="A76">
        <v>2019</v>
      </c>
      <c r="B76" t="s">
        <v>690</v>
      </c>
      <c r="C76" t="s">
        <v>601</v>
      </c>
      <c r="F76" t="s">
        <v>601</v>
      </c>
      <c r="G76" s="28" t="s">
        <v>764</v>
      </c>
      <c r="H76" s="29">
        <f>INDEX(TransportationData!$A$6:$M$338,MATCH(FinalPayment_NoReorg!$F76,TransportationData!$A$6:$A$338,0),3)</f>
        <v>9053.1</v>
      </c>
      <c r="I76" s="30">
        <f>INDEX(TransportationData!$A$6:$M$338,MATCH(FinalPayment_NoReorg!$F76,TransportationData!$A$6:$A$338,0),8)</f>
        <v>3132026.07</v>
      </c>
      <c r="J76" s="28">
        <f t="shared" si="11"/>
        <v>345.96</v>
      </c>
      <c r="K76" s="31">
        <f t="shared" si="8"/>
        <v>347.65</v>
      </c>
      <c r="L76" s="32">
        <f t="shared" si="9"/>
        <v>0</v>
      </c>
      <c r="M76" s="9">
        <f t="shared" si="12"/>
        <v>345.96</v>
      </c>
      <c r="N76" s="5">
        <f t="shared" si="10"/>
        <v>7411</v>
      </c>
      <c r="O76" s="8">
        <f t="shared" si="13"/>
        <v>345.14</v>
      </c>
      <c r="Q76" s="5">
        <f t="shared" si="14"/>
        <v>0</v>
      </c>
      <c r="R76" s="8">
        <f t="shared" si="15"/>
        <v>345.14</v>
      </c>
    </row>
    <row r="77" spans="1:18" x14ac:dyDescent="0.55000000000000004">
      <c r="A77">
        <v>2019</v>
      </c>
      <c r="B77" t="s">
        <v>690</v>
      </c>
      <c r="C77" t="s">
        <v>600</v>
      </c>
      <c r="D77" t="s">
        <v>765</v>
      </c>
      <c r="F77" t="s">
        <v>600</v>
      </c>
      <c r="G77" s="28" t="s">
        <v>766</v>
      </c>
      <c r="H77" s="29">
        <f>INDEX(TransportationData!$A$6:$M$338,MATCH(FinalPayment_NoReorg!$F77,TransportationData!$A$6:$A$338,0),3)</f>
        <v>1446.6</v>
      </c>
      <c r="I77" s="30">
        <f>INDEX(TransportationData!$A$6:$M$338,MATCH(FinalPayment_NoReorg!$F77,TransportationData!$A$6:$A$338,0),8)</f>
        <v>356398.34</v>
      </c>
      <c r="J77" s="28">
        <f t="shared" si="11"/>
        <v>246.37</v>
      </c>
      <c r="K77" s="31">
        <f t="shared" si="8"/>
        <v>347.65</v>
      </c>
      <c r="L77" s="32">
        <f t="shared" si="9"/>
        <v>0</v>
      </c>
      <c r="M77" s="9">
        <f t="shared" si="12"/>
        <v>246.37</v>
      </c>
      <c r="N77" s="5">
        <f t="shared" si="10"/>
        <v>1184</v>
      </c>
      <c r="O77" s="8">
        <f t="shared" si="13"/>
        <v>245.55</v>
      </c>
      <c r="Q77" s="5">
        <f t="shared" si="14"/>
        <v>0</v>
      </c>
      <c r="R77" s="8">
        <f t="shared" si="15"/>
        <v>245.55</v>
      </c>
    </row>
    <row r="78" spans="1:18" x14ac:dyDescent="0.55000000000000004">
      <c r="A78">
        <v>2019</v>
      </c>
      <c r="B78" t="s">
        <v>686</v>
      </c>
      <c r="C78" t="s">
        <v>599</v>
      </c>
      <c r="F78" t="s">
        <v>599</v>
      </c>
      <c r="G78" s="28" t="s">
        <v>767</v>
      </c>
      <c r="H78" s="29">
        <f>INDEX(TransportationData!$A$6:$M$338,MATCH(FinalPayment_NoReorg!$F78,TransportationData!$A$6:$A$338,0),3)</f>
        <v>2933.1</v>
      </c>
      <c r="I78" s="30">
        <f>INDEX(TransportationData!$A$6:$M$338,MATCH(FinalPayment_NoReorg!$F78,TransportationData!$A$6:$A$338,0),8)</f>
        <v>855826.42999999993</v>
      </c>
      <c r="J78" s="28">
        <f t="shared" si="11"/>
        <v>291.77999999999997</v>
      </c>
      <c r="K78" s="31">
        <f t="shared" si="8"/>
        <v>347.65</v>
      </c>
      <c r="L78" s="32">
        <f t="shared" si="9"/>
        <v>0</v>
      </c>
      <c r="M78" s="9">
        <f t="shared" si="12"/>
        <v>291.77999999999997</v>
      </c>
      <c r="N78" s="5">
        <f t="shared" si="10"/>
        <v>2401</v>
      </c>
      <c r="O78" s="8">
        <f t="shared" si="13"/>
        <v>290.95999999999998</v>
      </c>
      <c r="Q78" s="5">
        <f t="shared" si="14"/>
        <v>0</v>
      </c>
      <c r="R78" s="8">
        <f t="shared" si="15"/>
        <v>290.95999999999998</v>
      </c>
    </row>
    <row r="79" spans="1:18" x14ac:dyDescent="0.55000000000000004">
      <c r="A79">
        <v>2019</v>
      </c>
      <c r="B79" t="s">
        <v>696</v>
      </c>
      <c r="C79" t="s">
        <v>598</v>
      </c>
      <c r="F79" t="s">
        <v>598</v>
      </c>
      <c r="G79" s="28" t="s">
        <v>768</v>
      </c>
      <c r="H79" s="29">
        <f>INDEX(TransportationData!$A$6:$M$338,MATCH(FinalPayment_NoReorg!$F79,TransportationData!$A$6:$A$338,0),3)</f>
        <v>508.4</v>
      </c>
      <c r="I79" s="30">
        <f>INDEX(TransportationData!$A$6:$M$338,MATCH(FinalPayment_NoReorg!$F79,TransportationData!$A$6:$A$338,0),8)</f>
        <v>249239.86</v>
      </c>
      <c r="J79" s="28">
        <f t="shared" si="11"/>
        <v>490.24</v>
      </c>
      <c r="K79" s="31">
        <f t="shared" si="8"/>
        <v>347.65</v>
      </c>
      <c r="L79" s="32">
        <f t="shared" si="9"/>
        <v>72493</v>
      </c>
      <c r="M79" s="9">
        <f t="shared" si="12"/>
        <v>347.65</v>
      </c>
      <c r="N79" s="5">
        <f t="shared" si="10"/>
        <v>416</v>
      </c>
      <c r="O79" s="8">
        <f t="shared" si="13"/>
        <v>346.83</v>
      </c>
      <c r="Q79" s="5">
        <f t="shared" si="14"/>
        <v>0</v>
      </c>
      <c r="R79" s="8">
        <f t="shared" si="15"/>
        <v>346.83</v>
      </c>
    </row>
    <row r="80" spans="1:18" x14ac:dyDescent="0.55000000000000004">
      <c r="A80">
        <v>2019</v>
      </c>
      <c r="B80" t="s">
        <v>707</v>
      </c>
      <c r="C80" t="s">
        <v>597</v>
      </c>
      <c r="F80" t="s">
        <v>597</v>
      </c>
      <c r="G80" s="28" t="s">
        <v>769</v>
      </c>
      <c r="H80" s="29">
        <f>INDEX(TransportationData!$A$6:$M$338,MATCH(FinalPayment_NoReorg!$F80,TransportationData!$A$6:$A$338,0),3)</f>
        <v>15051.2</v>
      </c>
      <c r="I80" s="30">
        <f>INDEX(TransportationData!$A$6:$M$338,MATCH(FinalPayment_NoReorg!$F80,TransportationData!$A$6:$A$338,0),8)</f>
        <v>5204586.1100000003</v>
      </c>
      <c r="J80" s="28">
        <f t="shared" si="11"/>
        <v>345.79</v>
      </c>
      <c r="K80" s="31">
        <f t="shared" si="8"/>
        <v>347.65</v>
      </c>
      <c r="L80" s="32">
        <f t="shared" si="9"/>
        <v>0</v>
      </c>
      <c r="M80" s="9">
        <f t="shared" si="12"/>
        <v>345.79</v>
      </c>
      <c r="N80" s="5">
        <f t="shared" si="10"/>
        <v>12321</v>
      </c>
      <c r="O80" s="8">
        <f t="shared" si="13"/>
        <v>344.97</v>
      </c>
      <c r="Q80" s="5">
        <f t="shared" si="14"/>
        <v>0</v>
      </c>
      <c r="R80" s="8">
        <f t="shared" si="15"/>
        <v>344.97</v>
      </c>
    </row>
    <row r="81" spans="1:18" x14ac:dyDescent="0.55000000000000004">
      <c r="A81">
        <v>2019</v>
      </c>
      <c r="B81" t="s">
        <v>696</v>
      </c>
      <c r="C81" t="s">
        <v>596</v>
      </c>
      <c r="F81" t="s">
        <v>596</v>
      </c>
      <c r="G81" s="28" t="s">
        <v>770</v>
      </c>
      <c r="H81" s="29">
        <f>INDEX(TransportationData!$A$6:$M$338,MATCH(FinalPayment_NoReorg!$F81,TransportationData!$A$6:$A$338,0),3)</f>
        <v>1153.8</v>
      </c>
      <c r="I81" s="30">
        <f>INDEX(TransportationData!$A$6:$M$338,MATCH(FinalPayment_NoReorg!$F81,TransportationData!$A$6:$A$338,0),8)</f>
        <v>898313.79</v>
      </c>
      <c r="J81" s="28">
        <f t="shared" si="11"/>
        <v>778.57</v>
      </c>
      <c r="K81" s="31">
        <f t="shared" si="8"/>
        <v>347.65</v>
      </c>
      <c r="L81" s="32">
        <f t="shared" si="9"/>
        <v>497195</v>
      </c>
      <c r="M81" s="9">
        <f t="shared" si="12"/>
        <v>347.65</v>
      </c>
      <c r="N81" s="5">
        <f t="shared" si="10"/>
        <v>944</v>
      </c>
      <c r="O81" s="8">
        <f t="shared" si="13"/>
        <v>346.83</v>
      </c>
      <c r="Q81" s="5">
        <f t="shared" si="14"/>
        <v>0</v>
      </c>
      <c r="R81" s="8">
        <f t="shared" si="15"/>
        <v>346.83</v>
      </c>
    </row>
    <row r="82" spans="1:18" x14ac:dyDescent="0.55000000000000004">
      <c r="A82">
        <v>2019</v>
      </c>
      <c r="B82" t="s">
        <v>703</v>
      </c>
      <c r="C82" t="s">
        <v>595</v>
      </c>
      <c r="F82" t="s">
        <v>595</v>
      </c>
      <c r="G82" s="28" t="s">
        <v>771</v>
      </c>
      <c r="H82" s="29">
        <f>INDEX(TransportationData!$A$6:$M$338,MATCH(FinalPayment_NoReorg!$F82,TransportationData!$A$6:$A$338,0),3)</f>
        <v>1360.3</v>
      </c>
      <c r="I82" s="30">
        <f>INDEX(TransportationData!$A$6:$M$338,MATCH(FinalPayment_NoReorg!$F82,TransportationData!$A$6:$A$338,0),8)</f>
        <v>679809.84</v>
      </c>
      <c r="J82" s="28">
        <f t="shared" si="11"/>
        <v>499.75</v>
      </c>
      <c r="K82" s="31">
        <f t="shared" si="8"/>
        <v>347.65</v>
      </c>
      <c r="L82" s="32">
        <f t="shared" si="9"/>
        <v>206902</v>
      </c>
      <c r="M82" s="9">
        <f t="shared" si="12"/>
        <v>347.65</v>
      </c>
      <c r="N82" s="5">
        <f t="shared" si="10"/>
        <v>1114</v>
      </c>
      <c r="O82" s="8">
        <f t="shared" si="13"/>
        <v>346.83</v>
      </c>
      <c r="Q82" s="5">
        <f t="shared" si="14"/>
        <v>0</v>
      </c>
      <c r="R82" s="8">
        <f t="shared" si="15"/>
        <v>346.83</v>
      </c>
    </row>
    <row r="83" spans="1:18" x14ac:dyDescent="0.55000000000000004">
      <c r="A83">
        <v>2019</v>
      </c>
      <c r="B83" t="s">
        <v>707</v>
      </c>
      <c r="C83" t="s">
        <v>594</v>
      </c>
      <c r="F83" t="s">
        <v>594</v>
      </c>
      <c r="G83" s="28" t="s">
        <v>772</v>
      </c>
      <c r="H83" s="29">
        <f>INDEX(TransportationData!$A$6:$M$338,MATCH(FinalPayment_NoReorg!$F83,TransportationData!$A$6:$A$338,0),3)</f>
        <v>205.5</v>
      </c>
      <c r="I83" s="30">
        <f>INDEX(TransportationData!$A$6:$M$338,MATCH(FinalPayment_NoReorg!$F83,TransportationData!$A$6:$A$338,0),8)</f>
        <v>190084.05</v>
      </c>
      <c r="J83" s="28">
        <f t="shared" si="11"/>
        <v>924.98</v>
      </c>
      <c r="K83" s="31">
        <f t="shared" si="8"/>
        <v>347.65</v>
      </c>
      <c r="L83" s="32">
        <f t="shared" si="9"/>
        <v>118641</v>
      </c>
      <c r="M83" s="9">
        <f t="shared" si="12"/>
        <v>347.65</v>
      </c>
      <c r="N83" s="5">
        <f t="shared" si="10"/>
        <v>168</v>
      </c>
      <c r="O83" s="8">
        <f t="shared" si="13"/>
        <v>346.84</v>
      </c>
      <c r="Q83" s="5">
        <f t="shared" si="14"/>
        <v>0</v>
      </c>
      <c r="R83" s="8">
        <f t="shared" si="15"/>
        <v>346.84</v>
      </c>
    </row>
    <row r="84" spans="1:18" x14ac:dyDescent="0.55000000000000004">
      <c r="A84">
        <v>2019</v>
      </c>
      <c r="B84" t="s">
        <v>692</v>
      </c>
      <c r="C84" t="s">
        <v>593</v>
      </c>
      <c r="F84" t="s">
        <v>593</v>
      </c>
      <c r="G84" s="28" t="s">
        <v>773</v>
      </c>
      <c r="H84" s="29">
        <f>INDEX(TransportationData!$A$6:$M$338,MATCH(FinalPayment_NoReorg!$F84,TransportationData!$A$6:$A$338,0),3)</f>
        <v>2169.8999999999996</v>
      </c>
      <c r="I84" s="30">
        <f>INDEX(TransportationData!$A$6:$M$338,MATCH(FinalPayment_NoReorg!$F84,TransportationData!$A$6:$A$338,0),8)</f>
        <v>857306.90999999992</v>
      </c>
      <c r="J84" s="28">
        <f t="shared" si="11"/>
        <v>395.09</v>
      </c>
      <c r="K84" s="31">
        <f t="shared" si="8"/>
        <v>347.65</v>
      </c>
      <c r="L84" s="32">
        <f t="shared" si="9"/>
        <v>102940</v>
      </c>
      <c r="M84" s="9">
        <f t="shared" si="12"/>
        <v>347.65</v>
      </c>
      <c r="N84" s="5">
        <f t="shared" si="10"/>
        <v>1776</v>
      </c>
      <c r="O84" s="8">
        <f t="shared" si="13"/>
        <v>346.83</v>
      </c>
      <c r="Q84" s="5">
        <f t="shared" si="14"/>
        <v>0</v>
      </c>
      <c r="R84" s="8">
        <f t="shared" si="15"/>
        <v>346.83</v>
      </c>
    </row>
    <row r="85" spans="1:18" x14ac:dyDescent="0.55000000000000004">
      <c r="A85">
        <v>2019</v>
      </c>
      <c r="B85" t="s">
        <v>689</v>
      </c>
      <c r="C85" t="s">
        <v>592</v>
      </c>
      <c r="F85" t="s">
        <v>592</v>
      </c>
      <c r="G85" s="28" t="s">
        <v>774</v>
      </c>
      <c r="H85" s="29">
        <f>INDEX(TransportationData!$A$6:$M$338,MATCH(FinalPayment_NoReorg!$F85,TransportationData!$A$6:$A$338,0),3)</f>
        <v>778.5</v>
      </c>
      <c r="I85" s="30">
        <f>INDEX(TransportationData!$A$6:$M$338,MATCH(FinalPayment_NoReorg!$F85,TransportationData!$A$6:$A$338,0),8)</f>
        <v>113083.12</v>
      </c>
      <c r="J85" s="28">
        <f t="shared" si="11"/>
        <v>145.26</v>
      </c>
      <c r="K85" s="31">
        <f t="shared" si="8"/>
        <v>347.65</v>
      </c>
      <c r="L85" s="32">
        <f t="shared" si="9"/>
        <v>0</v>
      </c>
      <c r="M85" s="9">
        <f t="shared" si="12"/>
        <v>145.26</v>
      </c>
      <c r="N85" s="5">
        <f t="shared" si="10"/>
        <v>637</v>
      </c>
      <c r="O85" s="8">
        <f t="shared" si="13"/>
        <v>144.44</v>
      </c>
      <c r="Q85" s="5">
        <f t="shared" si="14"/>
        <v>0</v>
      </c>
      <c r="R85" s="8">
        <f t="shared" si="15"/>
        <v>144.44</v>
      </c>
    </row>
    <row r="86" spans="1:18" x14ac:dyDescent="0.55000000000000004">
      <c r="A86">
        <v>2019</v>
      </c>
      <c r="B86" t="s">
        <v>686</v>
      </c>
      <c r="C86" t="s">
        <v>591</v>
      </c>
      <c r="F86" t="s">
        <v>591</v>
      </c>
      <c r="G86" s="28" t="s">
        <v>775</v>
      </c>
      <c r="H86" s="29">
        <f>INDEX(TransportationData!$A$6:$M$338,MATCH(FinalPayment_NoReorg!$F86,TransportationData!$A$6:$A$338,0),3)</f>
        <v>32784.9</v>
      </c>
      <c r="I86" s="30">
        <f>INDEX(TransportationData!$A$6:$M$338,MATCH(FinalPayment_NoReorg!$F86,TransportationData!$A$6:$A$338,0),8)</f>
        <v>8075772.6299999999</v>
      </c>
      <c r="J86" s="28">
        <f t="shared" si="11"/>
        <v>246.33</v>
      </c>
      <c r="K86" s="31">
        <f t="shared" si="8"/>
        <v>347.65</v>
      </c>
      <c r="L86" s="32">
        <f t="shared" si="9"/>
        <v>0</v>
      </c>
      <c r="M86" s="9">
        <f t="shared" si="12"/>
        <v>246.33</v>
      </c>
      <c r="N86" s="5">
        <f t="shared" si="10"/>
        <v>26837</v>
      </c>
      <c r="O86" s="8">
        <f t="shared" si="13"/>
        <v>245.51</v>
      </c>
      <c r="Q86" s="5">
        <f t="shared" si="14"/>
        <v>0</v>
      </c>
      <c r="R86" s="8">
        <f t="shared" si="15"/>
        <v>245.51</v>
      </c>
    </row>
    <row r="87" spans="1:18" x14ac:dyDescent="0.55000000000000004">
      <c r="A87">
        <v>2019</v>
      </c>
      <c r="B87" t="s">
        <v>690</v>
      </c>
      <c r="C87" t="s">
        <v>590</v>
      </c>
      <c r="F87" t="s">
        <v>590</v>
      </c>
      <c r="G87" s="28" t="s">
        <v>776</v>
      </c>
      <c r="H87" s="29">
        <f>INDEX(TransportationData!$A$6:$M$338,MATCH(FinalPayment_NoReorg!$F87,TransportationData!$A$6:$A$338,0),3)</f>
        <v>103</v>
      </c>
      <c r="I87" s="30">
        <f>INDEX(TransportationData!$A$6:$M$338,MATCH(FinalPayment_NoReorg!$F87,TransportationData!$A$6:$A$338,0),8)</f>
        <v>64981.57</v>
      </c>
      <c r="J87" s="28">
        <f t="shared" si="11"/>
        <v>630.89</v>
      </c>
      <c r="K87" s="31">
        <f t="shared" si="8"/>
        <v>347.65</v>
      </c>
      <c r="L87" s="32">
        <f t="shared" si="9"/>
        <v>29174</v>
      </c>
      <c r="M87" s="9">
        <f t="shared" si="12"/>
        <v>347.65</v>
      </c>
      <c r="N87" s="5">
        <f t="shared" si="10"/>
        <v>84</v>
      </c>
      <c r="O87" s="8">
        <f t="shared" si="13"/>
        <v>346.83</v>
      </c>
      <c r="Q87" s="5">
        <f t="shared" si="14"/>
        <v>0</v>
      </c>
      <c r="R87" s="8">
        <f t="shared" si="15"/>
        <v>346.83</v>
      </c>
    </row>
    <row r="88" spans="1:18" x14ac:dyDescent="0.55000000000000004">
      <c r="A88">
        <v>2019</v>
      </c>
      <c r="B88" t="s">
        <v>689</v>
      </c>
      <c r="C88" t="s">
        <v>589</v>
      </c>
      <c r="F88" t="s">
        <v>589</v>
      </c>
      <c r="G88" s="28" t="s">
        <v>1311</v>
      </c>
      <c r="H88" s="29">
        <f>INDEX(TransportationData!$A$6:$M$338,MATCH(FinalPayment_NoReorg!$F88,TransportationData!$A$6:$A$338,0),3)</f>
        <v>867.7</v>
      </c>
      <c r="I88" s="30">
        <f>INDEX(TransportationData!$A$6:$M$338,MATCH(FinalPayment_NoReorg!$F88,TransportationData!$A$6:$A$338,0),8)</f>
        <v>263840.57</v>
      </c>
      <c r="J88" s="28">
        <f t="shared" si="11"/>
        <v>304.07</v>
      </c>
      <c r="K88" s="31">
        <f t="shared" si="8"/>
        <v>347.65</v>
      </c>
      <c r="L88" s="32">
        <f t="shared" si="9"/>
        <v>0</v>
      </c>
      <c r="M88" s="9">
        <f t="shared" si="12"/>
        <v>304.07</v>
      </c>
      <c r="N88" s="5">
        <f t="shared" si="10"/>
        <v>710</v>
      </c>
      <c r="O88" s="8">
        <f t="shared" si="13"/>
        <v>303.25</v>
      </c>
      <c r="Q88" s="5">
        <f t="shared" si="14"/>
        <v>0</v>
      </c>
      <c r="R88" s="8">
        <f t="shared" si="15"/>
        <v>303.25</v>
      </c>
    </row>
    <row r="89" spans="1:18" x14ac:dyDescent="0.55000000000000004">
      <c r="A89">
        <v>2019</v>
      </c>
      <c r="B89" t="s">
        <v>703</v>
      </c>
      <c r="C89" t="s">
        <v>588</v>
      </c>
      <c r="F89" t="s">
        <v>588</v>
      </c>
      <c r="G89" s="28" t="s">
        <v>777</v>
      </c>
      <c r="H89" s="29">
        <f>INDEX(TransportationData!$A$6:$M$338,MATCH(FinalPayment_NoReorg!$F89,TransportationData!$A$6:$A$338,0),3)</f>
        <v>10427.699999999999</v>
      </c>
      <c r="I89" s="30">
        <f>INDEX(TransportationData!$A$6:$M$338,MATCH(FinalPayment_NoReorg!$F89,TransportationData!$A$6:$A$338,0),8)</f>
        <v>3064302.48</v>
      </c>
      <c r="J89" s="28">
        <f t="shared" si="11"/>
        <v>293.86</v>
      </c>
      <c r="K89" s="31">
        <f t="shared" si="8"/>
        <v>347.65</v>
      </c>
      <c r="L89" s="32">
        <f t="shared" si="9"/>
        <v>0</v>
      </c>
      <c r="M89" s="9">
        <f t="shared" si="12"/>
        <v>293.86</v>
      </c>
      <c r="N89" s="5">
        <f t="shared" si="10"/>
        <v>8536</v>
      </c>
      <c r="O89" s="8">
        <f t="shared" si="13"/>
        <v>293.04000000000002</v>
      </c>
      <c r="Q89" s="5">
        <f t="shared" si="14"/>
        <v>0</v>
      </c>
      <c r="R89" s="8">
        <f t="shared" si="15"/>
        <v>293.04000000000002</v>
      </c>
    </row>
    <row r="90" spans="1:18" x14ac:dyDescent="0.55000000000000004">
      <c r="A90">
        <v>2019</v>
      </c>
      <c r="B90" t="s">
        <v>689</v>
      </c>
      <c r="C90" t="s">
        <v>587</v>
      </c>
      <c r="F90" t="s">
        <v>587</v>
      </c>
      <c r="G90" s="28" t="s">
        <v>778</v>
      </c>
      <c r="H90" s="29">
        <f>INDEX(TransportationData!$A$6:$M$338,MATCH(FinalPayment_NoReorg!$F90,TransportationData!$A$6:$A$338,0),3)</f>
        <v>407</v>
      </c>
      <c r="I90" s="30">
        <f>INDEX(TransportationData!$A$6:$M$338,MATCH(FinalPayment_NoReorg!$F90,TransportationData!$A$6:$A$338,0),8)</f>
        <v>127631.05</v>
      </c>
      <c r="J90" s="28">
        <f t="shared" si="11"/>
        <v>313.58999999999997</v>
      </c>
      <c r="K90" s="31">
        <f t="shared" si="8"/>
        <v>347.65</v>
      </c>
      <c r="L90" s="32">
        <f t="shared" si="9"/>
        <v>0</v>
      </c>
      <c r="M90" s="9">
        <f t="shared" si="12"/>
        <v>313.58999999999997</v>
      </c>
      <c r="N90" s="5">
        <f t="shared" si="10"/>
        <v>333</v>
      </c>
      <c r="O90" s="8">
        <f t="shared" si="13"/>
        <v>312.77</v>
      </c>
      <c r="Q90" s="5">
        <f t="shared" si="14"/>
        <v>0</v>
      </c>
      <c r="R90" s="8">
        <f t="shared" si="15"/>
        <v>312.77</v>
      </c>
    </row>
    <row r="91" spans="1:18" x14ac:dyDescent="0.55000000000000004">
      <c r="A91">
        <v>2019</v>
      </c>
      <c r="B91" t="s">
        <v>707</v>
      </c>
      <c r="C91" t="s">
        <v>585</v>
      </c>
      <c r="F91" t="s">
        <v>585</v>
      </c>
      <c r="G91" s="28" t="s">
        <v>779</v>
      </c>
      <c r="H91" s="29">
        <f>INDEX(TransportationData!$A$6:$M$338,MATCH(FinalPayment_NoReorg!$F91,TransportationData!$A$6:$A$338,0),3)</f>
        <v>555.29999999999995</v>
      </c>
      <c r="I91" s="30">
        <f>INDEX(TransportationData!$A$6:$M$338,MATCH(FinalPayment_NoReorg!$F91,TransportationData!$A$6:$A$338,0),8)</f>
        <v>210357.38</v>
      </c>
      <c r="J91" s="28">
        <f t="shared" si="11"/>
        <v>378.82</v>
      </c>
      <c r="K91" s="31">
        <f t="shared" si="8"/>
        <v>347.65</v>
      </c>
      <c r="L91" s="32">
        <f t="shared" si="9"/>
        <v>17309</v>
      </c>
      <c r="M91" s="9">
        <f t="shared" si="12"/>
        <v>347.65</v>
      </c>
      <c r="N91" s="5">
        <f t="shared" si="10"/>
        <v>455</v>
      </c>
      <c r="O91" s="8">
        <f t="shared" si="13"/>
        <v>346.83</v>
      </c>
      <c r="Q91" s="5">
        <f t="shared" si="14"/>
        <v>0</v>
      </c>
      <c r="R91" s="8">
        <f t="shared" si="15"/>
        <v>346.83</v>
      </c>
    </row>
    <row r="92" spans="1:18" x14ac:dyDescent="0.55000000000000004">
      <c r="A92">
        <v>2019</v>
      </c>
      <c r="B92" t="s">
        <v>694</v>
      </c>
      <c r="C92" t="s">
        <v>584</v>
      </c>
      <c r="F92" t="s">
        <v>584</v>
      </c>
      <c r="G92" s="28" t="s">
        <v>780</v>
      </c>
      <c r="H92" s="29">
        <f>INDEX(TransportationData!$A$6:$M$338,MATCH(FinalPayment_NoReorg!$F92,TransportationData!$A$6:$A$338,0),3)</f>
        <v>894.7</v>
      </c>
      <c r="I92" s="30">
        <f>INDEX(TransportationData!$A$6:$M$338,MATCH(FinalPayment_NoReorg!$F92,TransportationData!$A$6:$A$338,0),8)</f>
        <v>297786.83</v>
      </c>
      <c r="J92" s="28">
        <f t="shared" si="11"/>
        <v>332.83</v>
      </c>
      <c r="K92" s="31">
        <f t="shared" si="8"/>
        <v>347.65</v>
      </c>
      <c r="L92" s="32">
        <f t="shared" si="9"/>
        <v>0</v>
      </c>
      <c r="M92" s="9">
        <f t="shared" si="12"/>
        <v>332.83</v>
      </c>
      <c r="N92" s="5">
        <f t="shared" si="10"/>
        <v>732</v>
      </c>
      <c r="O92" s="8">
        <f t="shared" si="13"/>
        <v>332.02</v>
      </c>
      <c r="Q92" s="5">
        <f t="shared" si="14"/>
        <v>0</v>
      </c>
      <c r="R92" s="8">
        <f t="shared" si="15"/>
        <v>332.02</v>
      </c>
    </row>
    <row r="93" spans="1:18" x14ac:dyDescent="0.55000000000000004">
      <c r="A93">
        <v>2019</v>
      </c>
      <c r="B93" t="s">
        <v>686</v>
      </c>
      <c r="C93" t="s">
        <v>583</v>
      </c>
      <c r="F93" t="s">
        <v>583</v>
      </c>
      <c r="G93" s="28" t="s">
        <v>781</v>
      </c>
      <c r="H93" s="29">
        <f>INDEX(TransportationData!$A$6:$M$338,MATCH(FinalPayment_NoReorg!$F93,TransportationData!$A$6:$A$338,0),3)</f>
        <v>575.4</v>
      </c>
      <c r="I93" s="30">
        <f>INDEX(TransportationData!$A$6:$M$338,MATCH(FinalPayment_NoReorg!$F93,TransportationData!$A$6:$A$338,0),8)</f>
        <v>138254.84</v>
      </c>
      <c r="J93" s="28">
        <f t="shared" si="11"/>
        <v>240.28</v>
      </c>
      <c r="K93" s="31">
        <f t="shared" si="8"/>
        <v>347.65</v>
      </c>
      <c r="L93" s="32">
        <f t="shared" si="9"/>
        <v>0</v>
      </c>
      <c r="M93" s="9">
        <f t="shared" si="12"/>
        <v>240.28</v>
      </c>
      <c r="N93" s="5">
        <f t="shared" si="10"/>
        <v>471</v>
      </c>
      <c r="O93" s="8">
        <f t="shared" si="13"/>
        <v>239.46</v>
      </c>
      <c r="Q93" s="5">
        <f t="shared" si="14"/>
        <v>0</v>
      </c>
      <c r="R93" s="8">
        <f t="shared" si="15"/>
        <v>239.46</v>
      </c>
    </row>
    <row r="94" spans="1:18" x14ac:dyDescent="0.55000000000000004">
      <c r="A94">
        <v>2019</v>
      </c>
      <c r="B94" t="s">
        <v>689</v>
      </c>
      <c r="C94" t="s">
        <v>582</v>
      </c>
      <c r="F94" t="s">
        <v>582</v>
      </c>
      <c r="G94" s="28" t="s">
        <v>782</v>
      </c>
      <c r="H94" s="29">
        <f>INDEX(TransportationData!$A$6:$M$338,MATCH(FinalPayment_NoReorg!$F94,TransportationData!$A$6:$A$338,0),3)</f>
        <v>558.29999999999995</v>
      </c>
      <c r="I94" s="30">
        <f>INDEX(TransportationData!$A$6:$M$338,MATCH(FinalPayment_NoReorg!$F94,TransportationData!$A$6:$A$338,0),8)</f>
        <v>261537.35</v>
      </c>
      <c r="J94" s="28">
        <f t="shared" si="11"/>
        <v>468.45</v>
      </c>
      <c r="K94" s="31">
        <f t="shared" si="8"/>
        <v>347.65</v>
      </c>
      <c r="L94" s="32">
        <f t="shared" si="9"/>
        <v>67443</v>
      </c>
      <c r="M94" s="9">
        <f t="shared" si="12"/>
        <v>347.65</v>
      </c>
      <c r="N94" s="5">
        <f t="shared" si="10"/>
        <v>457</v>
      </c>
      <c r="O94" s="8">
        <f t="shared" si="13"/>
        <v>346.83</v>
      </c>
      <c r="Q94" s="5">
        <f t="shared" si="14"/>
        <v>0</v>
      </c>
      <c r="R94" s="8">
        <f t="shared" si="15"/>
        <v>346.83</v>
      </c>
    </row>
    <row r="95" spans="1:18" x14ac:dyDescent="0.55000000000000004">
      <c r="A95">
        <v>2019</v>
      </c>
      <c r="B95" t="s">
        <v>689</v>
      </c>
      <c r="C95" t="s">
        <v>783</v>
      </c>
      <c r="F95" t="s">
        <v>580</v>
      </c>
      <c r="G95" s="28" t="s">
        <v>784</v>
      </c>
      <c r="H95" s="29">
        <f>INDEX(TransportationData!$A$6:$M$338,MATCH(FinalPayment_NoReorg!$F95,TransportationData!$A$6:$A$338,0),3)</f>
        <v>557.5</v>
      </c>
      <c r="I95" s="30">
        <f>INDEX(TransportationData!$A$6:$M$338,MATCH(FinalPayment_NoReorg!$F95,TransportationData!$A$6:$A$338,0),8)</f>
        <v>418907.47000000003</v>
      </c>
      <c r="J95" s="28">
        <f t="shared" si="11"/>
        <v>751.4</v>
      </c>
      <c r="K95" s="31">
        <f t="shared" si="8"/>
        <v>347.65</v>
      </c>
      <c r="L95" s="32">
        <f t="shared" si="9"/>
        <v>225091</v>
      </c>
      <c r="M95" s="9">
        <f t="shared" si="12"/>
        <v>347.65</v>
      </c>
      <c r="N95" s="5">
        <f t="shared" si="10"/>
        <v>456</v>
      </c>
      <c r="O95" s="8">
        <f t="shared" si="13"/>
        <v>346.83</v>
      </c>
      <c r="Q95" s="5">
        <f t="shared" si="14"/>
        <v>0</v>
      </c>
      <c r="R95" s="8">
        <f t="shared" si="15"/>
        <v>346.83</v>
      </c>
    </row>
    <row r="96" spans="1:18" x14ac:dyDescent="0.55000000000000004">
      <c r="A96">
        <v>2019</v>
      </c>
      <c r="B96" t="s">
        <v>690</v>
      </c>
      <c r="C96" t="s">
        <v>502</v>
      </c>
      <c r="D96" t="s">
        <v>785</v>
      </c>
      <c r="F96" t="s">
        <v>502</v>
      </c>
      <c r="G96" s="28" t="s">
        <v>786</v>
      </c>
      <c r="H96" s="29">
        <f>INDEX(TransportationData!$A$6:$M$338,MATCH(FinalPayment_NoReorg!$F96,TransportationData!$A$6:$A$338,0),3)</f>
        <v>552</v>
      </c>
      <c r="I96" s="30">
        <f>INDEX(TransportationData!$A$6:$M$338,MATCH(FinalPayment_NoReorg!$F96,TransportationData!$A$6:$A$338,0),8)</f>
        <v>389956.57</v>
      </c>
      <c r="J96" s="28">
        <f t="shared" si="11"/>
        <v>706.44</v>
      </c>
      <c r="K96" s="31">
        <f t="shared" si="8"/>
        <v>347.65</v>
      </c>
      <c r="L96" s="32">
        <f t="shared" si="9"/>
        <v>198052</v>
      </c>
      <c r="M96" s="9">
        <f t="shared" si="12"/>
        <v>347.65</v>
      </c>
      <c r="N96" s="5">
        <f t="shared" si="10"/>
        <v>452</v>
      </c>
      <c r="O96" s="8">
        <f t="shared" si="13"/>
        <v>346.83</v>
      </c>
      <c r="Q96" s="5">
        <f t="shared" si="14"/>
        <v>0</v>
      </c>
      <c r="R96" s="8">
        <f t="shared" si="15"/>
        <v>346.83</v>
      </c>
    </row>
    <row r="97" spans="1:18" x14ac:dyDescent="0.55000000000000004">
      <c r="A97">
        <v>2019</v>
      </c>
      <c r="B97" t="s">
        <v>694</v>
      </c>
      <c r="C97" t="s">
        <v>375</v>
      </c>
      <c r="F97" t="s">
        <v>375</v>
      </c>
      <c r="G97" s="28" t="s">
        <v>787</v>
      </c>
      <c r="H97" s="29">
        <f>INDEX(TransportationData!$A$6:$M$338,MATCH(FinalPayment_NoReorg!$F97,TransportationData!$A$6:$A$338,0),3)</f>
        <v>834.5</v>
      </c>
      <c r="I97" s="30">
        <f>INDEX(TransportationData!$A$6:$M$338,MATCH(FinalPayment_NoReorg!$F97,TransportationData!$A$6:$A$338,0),8)</f>
        <v>425980.64999999997</v>
      </c>
      <c r="J97" s="28">
        <f t="shared" si="11"/>
        <v>510.46</v>
      </c>
      <c r="K97" s="31">
        <f t="shared" si="8"/>
        <v>347.65</v>
      </c>
      <c r="L97" s="32">
        <f t="shared" si="9"/>
        <v>135865</v>
      </c>
      <c r="M97" s="9">
        <f t="shared" si="12"/>
        <v>347.65</v>
      </c>
      <c r="N97" s="5">
        <f t="shared" si="10"/>
        <v>683</v>
      </c>
      <c r="O97" s="8">
        <f t="shared" si="13"/>
        <v>346.83</v>
      </c>
      <c r="Q97" s="5">
        <f t="shared" si="14"/>
        <v>0</v>
      </c>
      <c r="R97" s="8">
        <f t="shared" si="15"/>
        <v>346.83</v>
      </c>
    </row>
    <row r="98" spans="1:18" x14ac:dyDescent="0.55000000000000004">
      <c r="A98">
        <v>2019</v>
      </c>
      <c r="B98" t="s">
        <v>690</v>
      </c>
      <c r="C98" t="s">
        <v>579</v>
      </c>
      <c r="F98" t="s">
        <v>579</v>
      </c>
      <c r="G98" s="28" t="s">
        <v>788</v>
      </c>
      <c r="H98" s="29">
        <f>INDEX(TransportationData!$A$6:$M$338,MATCH(FinalPayment_NoReorg!$F98,TransportationData!$A$6:$A$338,0),3)</f>
        <v>491.5</v>
      </c>
      <c r="I98" s="30">
        <f>INDEX(TransportationData!$A$6:$M$338,MATCH(FinalPayment_NoReorg!$F98,TransportationData!$A$6:$A$338,0),8)</f>
        <v>323347.05</v>
      </c>
      <c r="J98" s="28">
        <f t="shared" si="11"/>
        <v>657.88</v>
      </c>
      <c r="K98" s="31">
        <f t="shared" si="8"/>
        <v>347.65</v>
      </c>
      <c r="L98" s="32">
        <f t="shared" si="9"/>
        <v>152478</v>
      </c>
      <c r="M98" s="9">
        <f t="shared" si="12"/>
        <v>347.65</v>
      </c>
      <c r="N98" s="5">
        <f t="shared" si="10"/>
        <v>402</v>
      </c>
      <c r="O98" s="8">
        <f t="shared" si="13"/>
        <v>346.83</v>
      </c>
      <c r="Q98" s="5">
        <f t="shared" si="14"/>
        <v>0</v>
      </c>
      <c r="R98" s="8">
        <f t="shared" si="15"/>
        <v>346.83</v>
      </c>
    </row>
    <row r="99" spans="1:18" x14ac:dyDescent="0.55000000000000004">
      <c r="A99">
        <v>2019</v>
      </c>
      <c r="B99" t="s">
        <v>703</v>
      </c>
      <c r="C99" t="s">
        <v>578</v>
      </c>
      <c r="F99" t="s">
        <v>578</v>
      </c>
      <c r="G99" s="28" t="s">
        <v>789</v>
      </c>
      <c r="H99" s="29">
        <f>INDEX(TransportationData!$A$6:$M$338,MATCH(FinalPayment_NoReorg!$F99,TransportationData!$A$6:$A$338,0),3)</f>
        <v>327.10000000000002</v>
      </c>
      <c r="I99" s="30">
        <f>INDEX(TransportationData!$A$6:$M$338,MATCH(FinalPayment_NoReorg!$F99,TransportationData!$A$6:$A$338,0),8)</f>
        <v>240366.78</v>
      </c>
      <c r="J99" s="28">
        <f t="shared" si="11"/>
        <v>734.84</v>
      </c>
      <c r="K99" s="31">
        <f t="shared" si="8"/>
        <v>347.65</v>
      </c>
      <c r="L99" s="32">
        <f t="shared" si="9"/>
        <v>126650</v>
      </c>
      <c r="M99" s="9">
        <f t="shared" si="12"/>
        <v>347.65</v>
      </c>
      <c r="N99" s="5">
        <f t="shared" si="10"/>
        <v>268</v>
      </c>
      <c r="O99" s="8">
        <f t="shared" si="13"/>
        <v>346.83</v>
      </c>
      <c r="Q99" s="5">
        <f t="shared" si="14"/>
        <v>0</v>
      </c>
      <c r="R99" s="8">
        <f t="shared" si="15"/>
        <v>346.83</v>
      </c>
    </row>
    <row r="100" spans="1:18" x14ac:dyDescent="0.55000000000000004">
      <c r="A100">
        <v>2019</v>
      </c>
      <c r="B100" t="s">
        <v>707</v>
      </c>
      <c r="C100" t="s">
        <v>581</v>
      </c>
      <c r="F100" t="s">
        <v>581</v>
      </c>
      <c r="G100" s="28" t="s">
        <v>790</v>
      </c>
      <c r="H100" s="29">
        <f>INDEX(TransportationData!$A$6:$M$338,MATCH(FinalPayment_NoReorg!$F100,TransportationData!$A$6:$A$338,0),3)</f>
        <v>592.9</v>
      </c>
      <c r="I100" s="30">
        <f>INDEX(TransportationData!$A$6:$M$338,MATCH(FinalPayment_NoReorg!$F100,TransportationData!$A$6:$A$338,0),8)</f>
        <v>346585.88999999996</v>
      </c>
      <c r="J100" s="28">
        <f t="shared" si="11"/>
        <v>584.55999999999995</v>
      </c>
      <c r="K100" s="31">
        <f t="shared" si="8"/>
        <v>347.65</v>
      </c>
      <c r="L100" s="32">
        <f t="shared" si="9"/>
        <v>140464</v>
      </c>
      <c r="M100" s="9">
        <f t="shared" si="12"/>
        <v>347.65</v>
      </c>
      <c r="N100" s="5">
        <f t="shared" si="10"/>
        <v>485</v>
      </c>
      <c r="O100" s="8">
        <f t="shared" si="13"/>
        <v>346.83</v>
      </c>
      <c r="Q100" s="5">
        <f t="shared" si="14"/>
        <v>0</v>
      </c>
      <c r="R100" s="8">
        <f t="shared" si="15"/>
        <v>346.83</v>
      </c>
    </row>
    <row r="101" spans="1:18" x14ac:dyDescent="0.55000000000000004">
      <c r="A101">
        <v>2019</v>
      </c>
      <c r="B101" t="s">
        <v>696</v>
      </c>
      <c r="C101" t="s">
        <v>649</v>
      </c>
      <c r="F101" t="s">
        <v>649</v>
      </c>
      <c r="G101" s="28" t="s">
        <v>791</v>
      </c>
      <c r="H101" s="29">
        <f>INDEX(TransportationData!$A$6:$M$338,MATCH(FinalPayment_NoReorg!$F101,TransportationData!$A$6:$A$338,0),3)</f>
        <v>891.2</v>
      </c>
      <c r="I101" s="30">
        <f>INDEX(TransportationData!$A$6:$M$338,MATCH(FinalPayment_NoReorg!$F101,TransportationData!$A$6:$A$338,0),8)</f>
        <v>698575.67</v>
      </c>
      <c r="J101" s="28">
        <f t="shared" si="11"/>
        <v>783.86</v>
      </c>
      <c r="K101" s="31">
        <f t="shared" si="8"/>
        <v>347.65</v>
      </c>
      <c r="L101" s="32">
        <f t="shared" si="9"/>
        <v>388750</v>
      </c>
      <c r="M101" s="9">
        <f t="shared" si="12"/>
        <v>347.65</v>
      </c>
      <c r="N101" s="5">
        <f t="shared" si="10"/>
        <v>730</v>
      </c>
      <c r="O101" s="8">
        <f t="shared" si="13"/>
        <v>346.83</v>
      </c>
      <c r="Q101" s="5">
        <f t="shared" si="14"/>
        <v>0</v>
      </c>
      <c r="R101" s="8">
        <f t="shared" si="15"/>
        <v>346.83</v>
      </c>
    </row>
    <row r="102" spans="1:18" x14ac:dyDescent="0.55000000000000004">
      <c r="A102">
        <v>2019</v>
      </c>
      <c r="B102" t="s">
        <v>703</v>
      </c>
      <c r="C102" t="s">
        <v>576</v>
      </c>
      <c r="F102" t="s">
        <v>576</v>
      </c>
      <c r="G102" s="28" t="s">
        <v>792</v>
      </c>
      <c r="H102" s="29">
        <f>INDEX(TransportationData!$A$6:$M$338,MATCH(FinalPayment_NoReorg!$F102,TransportationData!$A$6:$A$338,0),3)</f>
        <v>419</v>
      </c>
      <c r="I102" s="30">
        <f>INDEX(TransportationData!$A$6:$M$338,MATCH(FinalPayment_NoReorg!$F102,TransportationData!$A$6:$A$338,0),8)</f>
        <v>297015.03999999998</v>
      </c>
      <c r="J102" s="28">
        <f t="shared" si="11"/>
        <v>708.87</v>
      </c>
      <c r="K102" s="31">
        <f t="shared" si="8"/>
        <v>347.65</v>
      </c>
      <c r="L102" s="32">
        <f t="shared" si="9"/>
        <v>151351</v>
      </c>
      <c r="M102" s="9">
        <f t="shared" si="12"/>
        <v>347.65</v>
      </c>
      <c r="N102" s="5">
        <f t="shared" si="10"/>
        <v>343</v>
      </c>
      <c r="O102" s="8">
        <f t="shared" si="13"/>
        <v>346.83</v>
      </c>
      <c r="Q102" s="5">
        <f t="shared" si="14"/>
        <v>0</v>
      </c>
      <c r="R102" s="8">
        <f t="shared" si="15"/>
        <v>346.83</v>
      </c>
    </row>
    <row r="103" spans="1:18" x14ac:dyDescent="0.55000000000000004">
      <c r="A103">
        <v>2019</v>
      </c>
      <c r="B103" t="s">
        <v>689</v>
      </c>
      <c r="C103" t="s">
        <v>575</v>
      </c>
      <c r="F103" t="s">
        <v>575</v>
      </c>
      <c r="G103" s="28" t="s">
        <v>793</v>
      </c>
      <c r="H103" s="29">
        <f>INDEX(TransportationData!$A$6:$M$338,MATCH(FinalPayment_NoReorg!$F103,TransportationData!$A$6:$A$338,0),3)</f>
        <v>631.1</v>
      </c>
      <c r="I103" s="30">
        <f>INDEX(TransportationData!$A$6:$M$338,MATCH(FinalPayment_NoReorg!$F103,TransportationData!$A$6:$A$338,0),8)</f>
        <v>252377.26</v>
      </c>
      <c r="J103" s="28">
        <f t="shared" si="11"/>
        <v>399.9</v>
      </c>
      <c r="K103" s="31">
        <f t="shared" si="8"/>
        <v>347.65</v>
      </c>
      <c r="L103" s="32">
        <f t="shared" si="9"/>
        <v>32975</v>
      </c>
      <c r="M103" s="9">
        <f t="shared" si="12"/>
        <v>347.65</v>
      </c>
      <c r="N103" s="5">
        <f t="shared" si="10"/>
        <v>517</v>
      </c>
      <c r="O103" s="8">
        <f t="shared" si="13"/>
        <v>346.83</v>
      </c>
      <c r="Q103" s="5">
        <f t="shared" si="14"/>
        <v>0</v>
      </c>
      <c r="R103" s="8">
        <f t="shared" si="15"/>
        <v>346.83</v>
      </c>
    </row>
    <row r="104" spans="1:18" x14ac:dyDescent="0.55000000000000004">
      <c r="A104">
        <v>2019</v>
      </c>
      <c r="B104" t="s">
        <v>694</v>
      </c>
      <c r="C104" t="s">
        <v>574</v>
      </c>
      <c r="F104" t="s">
        <v>574</v>
      </c>
      <c r="G104" s="28" t="s">
        <v>794</v>
      </c>
      <c r="H104" s="29">
        <f>INDEX(TransportationData!$A$6:$M$338,MATCH(FinalPayment_NoReorg!$F104,TransportationData!$A$6:$A$338,0),3)</f>
        <v>700.19999999999993</v>
      </c>
      <c r="I104" s="30">
        <f>INDEX(TransportationData!$A$6:$M$338,MATCH(FinalPayment_NoReorg!$F104,TransportationData!$A$6:$A$338,0),8)</f>
        <v>272810.78000000003</v>
      </c>
      <c r="J104" s="28">
        <f t="shared" si="11"/>
        <v>389.62</v>
      </c>
      <c r="K104" s="31">
        <f t="shared" si="8"/>
        <v>347.65</v>
      </c>
      <c r="L104" s="32">
        <f t="shared" si="9"/>
        <v>29387</v>
      </c>
      <c r="M104" s="9">
        <f t="shared" si="12"/>
        <v>347.65</v>
      </c>
      <c r="N104" s="5">
        <f t="shared" si="10"/>
        <v>573</v>
      </c>
      <c r="O104" s="8">
        <f t="shared" si="13"/>
        <v>346.83</v>
      </c>
      <c r="Q104" s="5">
        <f t="shared" si="14"/>
        <v>0</v>
      </c>
      <c r="R104" s="8">
        <f t="shared" si="15"/>
        <v>346.83</v>
      </c>
    </row>
    <row r="105" spans="1:18" x14ac:dyDescent="0.55000000000000004">
      <c r="A105">
        <v>2019</v>
      </c>
      <c r="B105" t="s">
        <v>698</v>
      </c>
      <c r="C105" t="s">
        <v>573</v>
      </c>
      <c r="F105" t="s">
        <v>573</v>
      </c>
      <c r="G105" s="28" t="s">
        <v>1312</v>
      </c>
      <c r="H105" s="29">
        <f>INDEX(TransportationData!$A$6:$M$338,MATCH(FinalPayment_NoReorg!$F105,TransportationData!$A$6:$A$338,0),3)</f>
        <v>467.7</v>
      </c>
      <c r="I105" s="30">
        <f>INDEX(TransportationData!$A$6:$M$338,MATCH(FinalPayment_NoReorg!$F105,TransportationData!$A$6:$A$338,0),8)</f>
        <v>221291.09</v>
      </c>
      <c r="J105" s="28">
        <f t="shared" si="11"/>
        <v>473.15</v>
      </c>
      <c r="K105" s="31">
        <f t="shared" si="8"/>
        <v>347.65</v>
      </c>
      <c r="L105" s="32">
        <f t="shared" si="9"/>
        <v>58696</v>
      </c>
      <c r="M105" s="9">
        <f t="shared" si="12"/>
        <v>347.65</v>
      </c>
      <c r="N105" s="5">
        <f t="shared" si="10"/>
        <v>383</v>
      </c>
      <c r="O105" s="8">
        <f t="shared" si="13"/>
        <v>346.83</v>
      </c>
      <c r="Q105" s="5">
        <f t="shared" si="14"/>
        <v>0</v>
      </c>
      <c r="R105" s="8">
        <f t="shared" si="15"/>
        <v>346.83</v>
      </c>
    </row>
    <row r="106" spans="1:18" x14ac:dyDescent="0.55000000000000004">
      <c r="A106">
        <v>2019</v>
      </c>
      <c r="B106" t="s">
        <v>690</v>
      </c>
      <c r="C106" t="s">
        <v>572</v>
      </c>
      <c r="F106" t="s">
        <v>572</v>
      </c>
      <c r="G106" s="28" t="s">
        <v>795</v>
      </c>
      <c r="H106" s="29">
        <f>INDEX(TransportationData!$A$6:$M$338,MATCH(FinalPayment_NoReorg!$F106,TransportationData!$A$6:$A$338,0),3)</f>
        <v>190.5</v>
      </c>
      <c r="I106" s="30">
        <f>INDEX(TransportationData!$A$6:$M$338,MATCH(FinalPayment_NoReorg!$F106,TransportationData!$A$6:$A$338,0),8)</f>
        <v>57706.33</v>
      </c>
      <c r="J106" s="28">
        <f t="shared" si="11"/>
        <v>302.92</v>
      </c>
      <c r="K106" s="31">
        <f t="shared" si="8"/>
        <v>347.65</v>
      </c>
      <c r="L106" s="32">
        <f t="shared" si="9"/>
        <v>0</v>
      </c>
      <c r="M106" s="9">
        <f t="shared" si="12"/>
        <v>302.92</v>
      </c>
      <c r="N106" s="5">
        <f t="shared" si="10"/>
        <v>156</v>
      </c>
      <c r="O106" s="8">
        <f t="shared" si="13"/>
        <v>302.10000000000002</v>
      </c>
      <c r="Q106" s="5">
        <f t="shared" si="14"/>
        <v>0</v>
      </c>
      <c r="R106" s="8">
        <f t="shared" si="15"/>
        <v>302.10000000000002</v>
      </c>
    </row>
    <row r="107" spans="1:18" x14ac:dyDescent="0.55000000000000004">
      <c r="A107">
        <v>2019</v>
      </c>
      <c r="B107" t="s">
        <v>694</v>
      </c>
      <c r="C107" t="s">
        <v>571</v>
      </c>
      <c r="F107" t="s">
        <v>571</v>
      </c>
      <c r="G107" s="28" t="s">
        <v>796</v>
      </c>
      <c r="H107" s="29">
        <f>INDEX(TransportationData!$A$6:$M$338,MATCH(FinalPayment_NoReorg!$F107,TransportationData!$A$6:$A$338,0),3)</f>
        <v>1269.5999999999999</v>
      </c>
      <c r="I107" s="30">
        <f>INDEX(TransportationData!$A$6:$M$338,MATCH(FinalPayment_NoReorg!$F107,TransportationData!$A$6:$A$338,0),8)</f>
        <v>180526.73</v>
      </c>
      <c r="J107" s="28">
        <f t="shared" si="11"/>
        <v>142.19</v>
      </c>
      <c r="K107" s="31">
        <f t="shared" si="8"/>
        <v>347.65</v>
      </c>
      <c r="L107" s="32">
        <f t="shared" si="9"/>
        <v>0</v>
      </c>
      <c r="M107" s="9">
        <f t="shared" si="12"/>
        <v>142.19</v>
      </c>
      <c r="N107" s="5">
        <f t="shared" si="10"/>
        <v>1039</v>
      </c>
      <c r="O107" s="8">
        <f t="shared" si="13"/>
        <v>141.37</v>
      </c>
      <c r="Q107" s="5">
        <f t="shared" si="14"/>
        <v>0</v>
      </c>
      <c r="R107" s="8">
        <f t="shared" si="15"/>
        <v>141.37</v>
      </c>
    </row>
    <row r="108" spans="1:18" x14ac:dyDescent="0.55000000000000004">
      <c r="A108">
        <v>2019</v>
      </c>
      <c r="B108" t="s">
        <v>686</v>
      </c>
      <c r="C108" t="s">
        <v>570</v>
      </c>
      <c r="F108" t="s">
        <v>570</v>
      </c>
      <c r="G108" s="28" t="s">
        <v>797</v>
      </c>
      <c r="H108" s="29">
        <f>INDEX(TransportationData!$A$6:$M$338,MATCH(FinalPayment_NoReorg!$F108,TransportationData!$A$6:$A$338,0),3)</f>
        <v>427.2</v>
      </c>
      <c r="I108" s="30">
        <f>INDEX(TransportationData!$A$6:$M$338,MATCH(FinalPayment_NoReorg!$F108,TransportationData!$A$6:$A$338,0),8)</f>
        <v>250845.1</v>
      </c>
      <c r="J108" s="28">
        <f t="shared" si="11"/>
        <v>587.17999999999995</v>
      </c>
      <c r="K108" s="31">
        <f t="shared" si="8"/>
        <v>347.65</v>
      </c>
      <c r="L108" s="32">
        <f t="shared" si="9"/>
        <v>102327</v>
      </c>
      <c r="M108" s="9">
        <f t="shared" si="12"/>
        <v>347.65</v>
      </c>
      <c r="N108" s="5">
        <f t="shared" si="10"/>
        <v>350</v>
      </c>
      <c r="O108" s="8">
        <f t="shared" si="13"/>
        <v>346.84</v>
      </c>
      <c r="Q108" s="5">
        <f t="shared" si="14"/>
        <v>0</v>
      </c>
      <c r="R108" s="8">
        <f t="shared" si="15"/>
        <v>346.84</v>
      </c>
    </row>
    <row r="109" spans="1:18" x14ac:dyDescent="0.55000000000000004">
      <c r="A109">
        <v>2019</v>
      </c>
      <c r="B109" t="s">
        <v>696</v>
      </c>
      <c r="C109" t="s">
        <v>568</v>
      </c>
      <c r="F109" t="s">
        <v>568</v>
      </c>
      <c r="G109" s="28" t="s">
        <v>798</v>
      </c>
      <c r="H109" s="29">
        <f>INDEX(TransportationData!$A$6:$M$338,MATCH(FinalPayment_NoReorg!$F109,TransportationData!$A$6:$A$338,0),3)</f>
        <v>1621.7</v>
      </c>
      <c r="I109" s="30">
        <f>INDEX(TransportationData!$A$6:$M$338,MATCH(FinalPayment_NoReorg!$F109,TransportationData!$A$6:$A$338,0),8)</f>
        <v>604719.64</v>
      </c>
      <c r="J109" s="28">
        <f t="shared" si="11"/>
        <v>372.89</v>
      </c>
      <c r="K109" s="31">
        <f t="shared" si="8"/>
        <v>347.65</v>
      </c>
      <c r="L109" s="32">
        <f t="shared" si="9"/>
        <v>40932</v>
      </c>
      <c r="M109" s="9">
        <f t="shared" si="12"/>
        <v>347.65</v>
      </c>
      <c r="N109" s="5">
        <f t="shared" si="10"/>
        <v>1327</v>
      </c>
      <c r="O109" s="8">
        <f t="shared" si="13"/>
        <v>346.83</v>
      </c>
      <c r="Q109" s="5">
        <f t="shared" si="14"/>
        <v>0</v>
      </c>
      <c r="R109" s="8">
        <f t="shared" si="15"/>
        <v>346.83</v>
      </c>
    </row>
    <row r="110" spans="1:18" x14ac:dyDescent="0.55000000000000004">
      <c r="A110">
        <v>2019</v>
      </c>
      <c r="B110" t="s">
        <v>689</v>
      </c>
      <c r="C110" t="s">
        <v>567</v>
      </c>
      <c r="D110" t="s">
        <v>1313</v>
      </c>
      <c r="F110" t="s">
        <v>567</v>
      </c>
      <c r="G110" s="28" t="s">
        <v>799</v>
      </c>
      <c r="H110" s="29">
        <f>INDEX(TransportationData!$A$6:$M$338,MATCH(FinalPayment_NoReorg!$F110,TransportationData!$A$6:$A$338,0),3)</f>
        <v>1073.5</v>
      </c>
      <c r="I110" s="30">
        <f>INDEX(TransportationData!$A$6:$M$338,MATCH(FinalPayment_NoReorg!$F110,TransportationData!$A$6:$A$338,0),8)</f>
        <v>412210.44</v>
      </c>
      <c r="J110" s="28">
        <f t="shared" si="11"/>
        <v>383.99</v>
      </c>
      <c r="K110" s="31">
        <f t="shared" si="8"/>
        <v>347.65</v>
      </c>
      <c r="L110" s="32">
        <f t="shared" si="9"/>
        <v>39011</v>
      </c>
      <c r="M110" s="9">
        <f t="shared" si="12"/>
        <v>347.65</v>
      </c>
      <c r="N110" s="5">
        <f t="shared" si="10"/>
        <v>879</v>
      </c>
      <c r="O110" s="8">
        <f t="shared" si="13"/>
        <v>346.83</v>
      </c>
      <c r="Q110" s="5">
        <f t="shared" si="14"/>
        <v>0</v>
      </c>
      <c r="R110" s="8">
        <f t="shared" si="15"/>
        <v>346.83</v>
      </c>
    </row>
    <row r="111" spans="1:18" x14ac:dyDescent="0.55000000000000004">
      <c r="A111">
        <v>2019</v>
      </c>
      <c r="B111" t="s">
        <v>694</v>
      </c>
      <c r="C111" t="s">
        <v>566</v>
      </c>
      <c r="F111" t="s">
        <v>566</v>
      </c>
      <c r="G111" s="28" t="s">
        <v>800</v>
      </c>
      <c r="H111" s="29">
        <f>INDEX(TransportationData!$A$6:$M$338,MATCH(FinalPayment_NoReorg!$F111,TransportationData!$A$6:$A$338,0),3)</f>
        <v>3659.5</v>
      </c>
      <c r="I111" s="30">
        <f>INDEX(TransportationData!$A$6:$M$338,MATCH(FinalPayment_NoReorg!$F111,TransportationData!$A$6:$A$338,0),8)</f>
        <v>837560.01</v>
      </c>
      <c r="J111" s="28">
        <f t="shared" si="11"/>
        <v>228.87</v>
      </c>
      <c r="K111" s="31">
        <f t="shared" si="8"/>
        <v>347.65</v>
      </c>
      <c r="L111" s="32">
        <f t="shared" si="9"/>
        <v>0</v>
      </c>
      <c r="M111" s="9">
        <f t="shared" si="12"/>
        <v>228.87</v>
      </c>
      <c r="N111" s="5">
        <f t="shared" si="10"/>
        <v>2996</v>
      </c>
      <c r="O111" s="8">
        <f t="shared" si="13"/>
        <v>228.05</v>
      </c>
      <c r="Q111" s="5">
        <f t="shared" si="14"/>
        <v>0</v>
      </c>
      <c r="R111" s="8">
        <f t="shared" si="15"/>
        <v>228.05</v>
      </c>
    </row>
    <row r="112" spans="1:18" x14ac:dyDescent="0.55000000000000004">
      <c r="A112">
        <v>2019</v>
      </c>
      <c r="B112" t="s">
        <v>696</v>
      </c>
      <c r="C112" t="s">
        <v>565</v>
      </c>
      <c r="F112" t="s">
        <v>565</v>
      </c>
      <c r="G112" s="28" t="s">
        <v>801</v>
      </c>
      <c r="H112" s="29">
        <f>INDEX(TransportationData!$A$6:$M$338,MATCH(FinalPayment_NoReorg!$F112,TransportationData!$A$6:$A$338,0),3)</f>
        <v>2104.6000000000004</v>
      </c>
      <c r="I112" s="30">
        <f>INDEX(TransportationData!$A$6:$M$338,MATCH(FinalPayment_NoReorg!$F112,TransportationData!$A$6:$A$338,0),8)</f>
        <v>572542.96</v>
      </c>
      <c r="J112" s="28">
        <f t="shared" si="11"/>
        <v>272.04000000000002</v>
      </c>
      <c r="K112" s="31">
        <f t="shared" si="8"/>
        <v>347.65</v>
      </c>
      <c r="L112" s="32">
        <f t="shared" si="9"/>
        <v>0</v>
      </c>
      <c r="M112" s="9">
        <f t="shared" si="12"/>
        <v>272.04000000000002</v>
      </c>
      <c r="N112" s="5">
        <f t="shared" si="10"/>
        <v>1723</v>
      </c>
      <c r="O112" s="8">
        <f t="shared" si="13"/>
        <v>271.22000000000003</v>
      </c>
      <c r="Q112" s="5">
        <f t="shared" si="14"/>
        <v>0</v>
      </c>
      <c r="R112" s="8">
        <f t="shared" si="15"/>
        <v>271.22000000000003</v>
      </c>
    </row>
    <row r="113" spans="1:18" x14ac:dyDescent="0.55000000000000004">
      <c r="A113">
        <v>2019</v>
      </c>
      <c r="B113" t="s">
        <v>690</v>
      </c>
      <c r="C113" t="s">
        <v>564</v>
      </c>
      <c r="D113" t="s">
        <v>1314</v>
      </c>
      <c r="F113" t="s">
        <v>564</v>
      </c>
      <c r="G113" s="28" t="s">
        <v>802</v>
      </c>
      <c r="H113" s="29">
        <f>INDEX(TransportationData!$A$6:$M$338,MATCH(FinalPayment_NoReorg!$F113,TransportationData!$A$6:$A$338,0),3)</f>
        <v>471.3</v>
      </c>
      <c r="I113" s="30">
        <f>INDEX(TransportationData!$A$6:$M$338,MATCH(FinalPayment_NoReorg!$F113,TransportationData!$A$6:$A$338,0),8)</f>
        <v>188695.27</v>
      </c>
      <c r="J113" s="28">
        <f t="shared" si="11"/>
        <v>400.37</v>
      </c>
      <c r="K113" s="31">
        <f t="shared" si="8"/>
        <v>347.65</v>
      </c>
      <c r="L113" s="32">
        <f t="shared" si="9"/>
        <v>24847</v>
      </c>
      <c r="M113" s="9">
        <f t="shared" si="12"/>
        <v>347.65</v>
      </c>
      <c r="N113" s="5">
        <f t="shared" si="10"/>
        <v>386</v>
      </c>
      <c r="O113" s="8">
        <f t="shared" si="13"/>
        <v>346.83</v>
      </c>
      <c r="Q113" s="5">
        <f t="shared" si="14"/>
        <v>0</v>
      </c>
      <c r="R113" s="8">
        <f t="shared" si="15"/>
        <v>346.83</v>
      </c>
    </row>
    <row r="114" spans="1:18" x14ac:dyDescent="0.55000000000000004">
      <c r="A114">
        <v>2019</v>
      </c>
      <c r="B114" t="s">
        <v>692</v>
      </c>
      <c r="C114" t="s">
        <v>563</v>
      </c>
      <c r="F114" t="s">
        <v>563</v>
      </c>
      <c r="G114" s="28" t="s">
        <v>803</v>
      </c>
      <c r="H114" s="29">
        <f>INDEX(TransportationData!$A$6:$M$338,MATCH(FinalPayment_NoReorg!$F114,TransportationData!$A$6:$A$338,0),3)</f>
        <v>459</v>
      </c>
      <c r="I114" s="30">
        <f>INDEX(TransportationData!$A$6:$M$338,MATCH(FinalPayment_NoReorg!$F114,TransportationData!$A$6:$A$338,0),8)</f>
        <v>279449.11</v>
      </c>
      <c r="J114" s="28">
        <f t="shared" si="11"/>
        <v>608.82000000000005</v>
      </c>
      <c r="K114" s="31">
        <f t="shared" si="8"/>
        <v>347.65</v>
      </c>
      <c r="L114" s="32">
        <f t="shared" si="9"/>
        <v>119877</v>
      </c>
      <c r="M114" s="9">
        <f t="shared" si="12"/>
        <v>347.65</v>
      </c>
      <c r="N114" s="5">
        <f t="shared" si="10"/>
        <v>376</v>
      </c>
      <c r="O114" s="8">
        <f t="shared" si="13"/>
        <v>346.83</v>
      </c>
      <c r="Q114" s="5">
        <f t="shared" si="14"/>
        <v>0</v>
      </c>
      <c r="R114" s="8">
        <f t="shared" si="15"/>
        <v>346.83</v>
      </c>
    </row>
    <row r="115" spans="1:18" x14ac:dyDescent="0.55000000000000004">
      <c r="A115">
        <v>2019</v>
      </c>
      <c r="B115" t="s">
        <v>689</v>
      </c>
      <c r="C115" t="s">
        <v>562</v>
      </c>
      <c r="F115" t="s">
        <v>562</v>
      </c>
      <c r="G115" s="28" t="s">
        <v>804</v>
      </c>
      <c r="H115" s="29">
        <f>INDEX(TransportationData!$A$6:$M$338,MATCH(FinalPayment_NoReorg!$F115,TransportationData!$A$6:$A$338,0),3)</f>
        <v>899.6</v>
      </c>
      <c r="I115" s="30">
        <f>INDEX(TransportationData!$A$6:$M$338,MATCH(FinalPayment_NoReorg!$F115,TransportationData!$A$6:$A$338,0),8)</f>
        <v>431334.73000000004</v>
      </c>
      <c r="J115" s="28">
        <f t="shared" si="11"/>
        <v>479.47</v>
      </c>
      <c r="K115" s="31">
        <f t="shared" si="8"/>
        <v>347.65</v>
      </c>
      <c r="L115" s="32">
        <f t="shared" si="9"/>
        <v>118585</v>
      </c>
      <c r="M115" s="9">
        <f t="shared" si="12"/>
        <v>347.65</v>
      </c>
      <c r="N115" s="5">
        <f t="shared" si="10"/>
        <v>736</v>
      </c>
      <c r="O115" s="8">
        <f t="shared" si="13"/>
        <v>346.84</v>
      </c>
      <c r="Q115" s="5">
        <f t="shared" si="14"/>
        <v>0</v>
      </c>
      <c r="R115" s="8">
        <f t="shared" si="15"/>
        <v>346.84</v>
      </c>
    </row>
    <row r="116" spans="1:18" x14ac:dyDescent="0.55000000000000004">
      <c r="A116">
        <v>2019</v>
      </c>
      <c r="B116" t="s">
        <v>692</v>
      </c>
      <c r="C116" t="s">
        <v>560</v>
      </c>
      <c r="F116" t="s">
        <v>560</v>
      </c>
      <c r="G116" s="28" t="s">
        <v>805</v>
      </c>
      <c r="H116" s="29">
        <f>INDEX(TransportationData!$A$6:$M$338,MATCH(FinalPayment_NoReorg!$F116,TransportationData!$A$6:$A$338,0),3)</f>
        <v>432.1</v>
      </c>
      <c r="I116" s="30">
        <f>INDEX(TransportationData!$A$6:$M$338,MATCH(FinalPayment_NoReorg!$F116,TransportationData!$A$6:$A$338,0),8)</f>
        <v>256513.44</v>
      </c>
      <c r="J116" s="28">
        <f t="shared" si="11"/>
        <v>593.64</v>
      </c>
      <c r="K116" s="31">
        <f t="shared" si="8"/>
        <v>347.65</v>
      </c>
      <c r="L116" s="32">
        <f t="shared" si="9"/>
        <v>106292</v>
      </c>
      <c r="M116" s="9">
        <f t="shared" si="12"/>
        <v>347.65</v>
      </c>
      <c r="N116" s="5">
        <f t="shared" si="10"/>
        <v>354</v>
      </c>
      <c r="O116" s="8">
        <f t="shared" si="13"/>
        <v>346.84</v>
      </c>
      <c r="Q116" s="5">
        <f t="shared" si="14"/>
        <v>0</v>
      </c>
      <c r="R116" s="8">
        <f t="shared" si="15"/>
        <v>346.84</v>
      </c>
    </row>
    <row r="117" spans="1:18" x14ac:dyDescent="0.55000000000000004">
      <c r="A117">
        <v>2019</v>
      </c>
      <c r="B117" t="s">
        <v>686</v>
      </c>
      <c r="C117" t="s">
        <v>559</v>
      </c>
      <c r="F117" t="s">
        <v>559</v>
      </c>
      <c r="G117" s="28" t="s">
        <v>806</v>
      </c>
      <c r="H117" s="29">
        <f>INDEX(TransportationData!$A$6:$M$338,MATCH(FinalPayment_NoReorg!$F117,TransportationData!$A$6:$A$338,0),3)</f>
        <v>1532.3</v>
      </c>
      <c r="I117" s="30">
        <f>INDEX(TransportationData!$A$6:$M$338,MATCH(FinalPayment_NoReorg!$F117,TransportationData!$A$6:$A$338,0),8)</f>
        <v>430420.91000000003</v>
      </c>
      <c r="J117" s="28">
        <f t="shared" si="11"/>
        <v>280.89999999999998</v>
      </c>
      <c r="K117" s="31">
        <f t="shared" si="8"/>
        <v>347.65</v>
      </c>
      <c r="L117" s="32">
        <f t="shared" si="9"/>
        <v>0</v>
      </c>
      <c r="M117" s="9">
        <f t="shared" si="12"/>
        <v>280.89999999999998</v>
      </c>
      <c r="N117" s="5">
        <f t="shared" si="10"/>
        <v>1254</v>
      </c>
      <c r="O117" s="8">
        <f t="shared" si="13"/>
        <v>280.08</v>
      </c>
      <c r="Q117" s="5">
        <f t="shared" si="14"/>
        <v>0</v>
      </c>
      <c r="R117" s="8">
        <f t="shared" si="15"/>
        <v>280.08</v>
      </c>
    </row>
    <row r="118" spans="1:18" x14ac:dyDescent="0.55000000000000004">
      <c r="A118">
        <v>2019</v>
      </c>
      <c r="B118" t="s">
        <v>694</v>
      </c>
      <c r="C118" t="s">
        <v>558</v>
      </c>
      <c r="F118" t="s">
        <v>558</v>
      </c>
      <c r="G118" s="28" t="s">
        <v>807</v>
      </c>
      <c r="H118" s="29">
        <f>INDEX(TransportationData!$A$6:$M$338,MATCH(FinalPayment_NoReorg!$F118,TransportationData!$A$6:$A$338,0),3)</f>
        <v>161</v>
      </c>
      <c r="I118" s="30">
        <f>INDEX(TransportationData!$A$6:$M$338,MATCH(FinalPayment_NoReorg!$F118,TransportationData!$A$6:$A$338,0),8)</f>
        <v>78902.45</v>
      </c>
      <c r="J118" s="28">
        <f t="shared" si="11"/>
        <v>490.08</v>
      </c>
      <c r="K118" s="31">
        <f t="shared" si="8"/>
        <v>347.65</v>
      </c>
      <c r="L118" s="32">
        <f t="shared" si="9"/>
        <v>22931</v>
      </c>
      <c r="M118" s="9">
        <f t="shared" si="12"/>
        <v>347.65</v>
      </c>
      <c r="N118" s="5">
        <f t="shared" si="10"/>
        <v>132</v>
      </c>
      <c r="O118" s="8">
        <f t="shared" si="13"/>
        <v>346.83</v>
      </c>
      <c r="Q118" s="5">
        <f t="shared" si="14"/>
        <v>0</v>
      </c>
      <c r="R118" s="8">
        <f t="shared" si="15"/>
        <v>346.83</v>
      </c>
    </row>
    <row r="119" spans="1:18" x14ac:dyDescent="0.55000000000000004">
      <c r="A119">
        <v>2019</v>
      </c>
      <c r="B119" t="s">
        <v>689</v>
      </c>
      <c r="C119" t="s">
        <v>557</v>
      </c>
      <c r="F119" t="s">
        <v>557</v>
      </c>
      <c r="G119" s="28" t="s">
        <v>808</v>
      </c>
      <c r="H119" s="29">
        <f>INDEX(TransportationData!$A$6:$M$338,MATCH(FinalPayment_NoReorg!$F119,TransportationData!$A$6:$A$338,0),3)</f>
        <v>590.4</v>
      </c>
      <c r="I119" s="30">
        <f>INDEX(TransportationData!$A$6:$M$338,MATCH(FinalPayment_NoReorg!$F119,TransportationData!$A$6:$A$338,0),8)</f>
        <v>247203.31</v>
      </c>
      <c r="J119" s="28">
        <f t="shared" si="11"/>
        <v>418.7</v>
      </c>
      <c r="K119" s="31">
        <f t="shared" si="8"/>
        <v>347.65</v>
      </c>
      <c r="L119" s="32">
        <f t="shared" si="9"/>
        <v>41948</v>
      </c>
      <c r="M119" s="9">
        <f t="shared" si="12"/>
        <v>347.65</v>
      </c>
      <c r="N119" s="5">
        <f t="shared" si="10"/>
        <v>483</v>
      </c>
      <c r="O119" s="8">
        <f t="shared" si="13"/>
        <v>346.84</v>
      </c>
      <c r="Q119" s="5">
        <f t="shared" si="14"/>
        <v>0</v>
      </c>
      <c r="R119" s="8">
        <f t="shared" si="15"/>
        <v>346.84</v>
      </c>
    </row>
    <row r="120" spans="1:18" x14ac:dyDescent="0.55000000000000004">
      <c r="A120">
        <v>2019</v>
      </c>
      <c r="B120" t="s">
        <v>690</v>
      </c>
      <c r="C120" t="s">
        <v>556</v>
      </c>
      <c r="F120" t="s">
        <v>556</v>
      </c>
      <c r="G120" s="28" t="s">
        <v>809</v>
      </c>
      <c r="H120" s="29">
        <f>INDEX(TransportationData!$A$6:$M$338,MATCH(FinalPayment_NoReorg!$F120,TransportationData!$A$6:$A$338,0),3)</f>
        <v>2007.5</v>
      </c>
      <c r="I120" s="30">
        <f>INDEX(TransportationData!$A$6:$M$338,MATCH(FinalPayment_NoReorg!$F120,TransportationData!$A$6:$A$338,0),8)</f>
        <v>686522.28</v>
      </c>
      <c r="J120" s="28">
        <f t="shared" si="11"/>
        <v>341.98</v>
      </c>
      <c r="K120" s="31">
        <f t="shared" si="8"/>
        <v>347.65</v>
      </c>
      <c r="L120" s="32">
        <f t="shared" si="9"/>
        <v>0</v>
      </c>
      <c r="M120" s="9">
        <f t="shared" si="12"/>
        <v>341.98</v>
      </c>
      <c r="N120" s="5">
        <f t="shared" si="10"/>
        <v>1643</v>
      </c>
      <c r="O120" s="8">
        <f t="shared" si="13"/>
        <v>341.16</v>
      </c>
      <c r="Q120" s="5">
        <f t="shared" si="14"/>
        <v>0</v>
      </c>
      <c r="R120" s="8">
        <f t="shared" si="15"/>
        <v>341.16</v>
      </c>
    </row>
    <row r="121" spans="1:18" x14ac:dyDescent="0.55000000000000004">
      <c r="A121">
        <v>2019</v>
      </c>
      <c r="B121" t="s">
        <v>686</v>
      </c>
      <c r="C121" t="s">
        <v>555</v>
      </c>
      <c r="F121" t="s">
        <v>555</v>
      </c>
      <c r="G121" s="28" t="s">
        <v>810</v>
      </c>
      <c r="H121" s="29">
        <f>INDEX(TransportationData!$A$6:$M$338,MATCH(FinalPayment_NoReorg!$F121,TransportationData!$A$6:$A$338,0),3)</f>
        <v>275</v>
      </c>
      <c r="I121" s="30">
        <f>INDEX(TransportationData!$A$6:$M$338,MATCH(FinalPayment_NoReorg!$F121,TransportationData!$A$6:$A$338,0),8)</f>
        <v>93883.91</v>
      </c>
      <c r="J121" s="28">
        <f t="shared" si="11"/>
        <v>341.4</v>
      </c>
      <c r="K121" s="31">
        <f t="shared" si="8"/>
        <v>347.65</v>
      </c>
      <c r="L121" s="32">
        <f t="shared" si="9"/>
        <v>0</v>
      </c>
      <c r="M121" s="9">
        <f t="shared" si="12"/>
        <v>341.4</v>
      </c>
      <c r="N121" s="5">
        <f t="shared" si="10"/>
        <v>225</v>
      </c>
      <c r="O121" s="8">
        <f t="shared" si="13"/>
        <v>340.58</v>
      </c>
      <c r="Q121" s="5">
        <f t="shared" si="14"/>
        <v>0</v>
      </c>
      <c r="R121" s="8">
        <f t="shared" si="15"/>
        <v>340.58</v>
      </c>
    </row>
    <row r="122" spans="1:18" x14ac:dyDescent="0.55000000000000004">
      <c r="A122">
        <v>2019</v>
      </c>
      <c r="B122" t="s">
        <v>689</v>
      </c>
      <c r="C122" t="s">
        <v>552</v>
      </c>
      <c r="F122" t="s">
        <v>552</v>
      </c>
      <c r="G122" s="28" t="s">
        <v>131</v>
      </c>
      <c r="H122" s="29">
        <f>INDEX(TransportationData!$A$6:$M$338,MATCH(FinalPayment_NoReorg!$F122,TransportationData!$A$6:$A$338,0),3)</f>
        <v>275.60000000000002</v>
      </c>
      <c r="I122" s="30">
        <f>INDEX(TransportationData!$A$6:$M$338,MATCH(FinalPayment_NoReorg!$F122,TransportationData!$A$6:$A$338,0),8)</f>
        <v>208931.11</v>
      </c>
      <c r="J122" s="28">
        <f t="shared" si="11"/>
        <v>758.1</v>
      </c>
      <c r="K122" s="31">
        <f t="shared" si="8"/>
        <v>347.65</v>
      </c>
      <c r="L122" s="32">
        <f t="shared" si="9"/>
        <v>113120</v>
      </c>
      <c r="M122" s="9">
        <f t="shared" si="12"/>
        <v>347.65</v>
      </c>
      <c r="N122" s="5">
        <f t="shared" si="10"/>
        <v>226</v>
      </c>
      <c r="O122" s="8">
        <f t="shared" si="13"/>
        <v>346.83</v>
      </c>
      <c r="Q122" s="5">
        <f t="shared" si="14"/>
        <v>0</v>
      </c>
      <c r="R122" s="8">
        <f t="shared" si="15"/>
        <v>346.83</v>
      </c>
    </row>
    <row r="123" spans="1:18" x14ac:dyDescent="0.55000000000000004">
      <c r="A123">
        <v>2019</v>
      </c>
      <c r="B123" t="s">
        <v>694</v>
      </c>
      <c r="C123" t="s">
        <v>554</v>
      </c>
      <c r="F123" t="s">
        <v>554</v>
      </c>
      <c r="G123" s="28" t="s">
        <v>811</v>
      </c>
      <c r="H123" s="29">
        <f>INDEX(TransportationData!$A$6:$M$338,MATCH(FinalPayment_NoReorg!$F123,TransportationData!$A$6:$A$338,0),3)</f>
        <v>382</v>
      </c>
      <c r="I123" s="30">
        <f>INDEX(TransportationData!$A$6:$M$338,MATCH(FinalPayment_NoReorg!$F123,TransportationData!$A$6:$A$338,0),8)</f>
        <v>187635.82</v>
      </c>
      <c r="J123" s="28">
        <f t="shared" si="11"/>
        <v>491.19</v>
      </c>
      <c r="K123" s="31">
        <f t="shared" si="8"/>
        <v>347.65</v>
      </c>
      <c r="L123" s="32">
        <f t="shared" si="9"/>
        <v>54832</v>
      </c>
      <c r="M123" s="9">
        <f t="shared" si="12"/>
        <v>347.65</v>
      </c>
      <c r="N123" s="5">
        <f t="shared" si="10"/>
        <v>313</v>
      </c>
      <c r="O123" s="8">
        <f t="shared" si="13"/>
        <v>346.83</v>
      </c>
      <c r="Q123" s="5">
        <f t="shared" si="14"/>
        <v>0</v>
      </c>
      <c r="R123" s="8">
        <f t="shared" si="15"/>
        <v>346.83</v>
      </c>
    </row>
    <row r="124" spans="1:18" x14ac:dyDescent="0.55000000000000004">
      <c r="A124">
        <v>2019</v>
      </c>
      <c r="B124" t="s">
        <v>694</v>
      </c>
      <c r="C124" t="s">
        <v>525</v>
      </c>
      <c r="F124" t="s">
        <v>525</v>
      </c>
      <c r="G124" s="28" t="s">
        <v>812</v>
      </c>
      <c r="H124" s="29">
        <f>INDEX(TransportationData!$A$6:$M$338,MATCH(FinalPayment_NoReorg!$F124,TransportationData!$A$6:$A$338,0),3)</f>
        <v>1210.4000000000001</v>
      </c>
      <c r="I124" s="30">
        <f>INDEX(TransportationData!$A$6:$M$338,MATCH(FinalPayment_NoReorg!$F124,TransportationData!$A$6:$A$338,0),8)</f>
        <v>682030.71</v>
      </c>
      <c r="J124" s="28">
        <f t="shared" si="11"/>
        <v>563.48</v>
      </c>
      <c r="K124" s="31">
        <f t="shared" si="8"/>
        <v>347.65</v>
      </c>
      <c r="L124" s="32">
        <f t="shared" si="9"/>
        <v>261241</v>
      </c>
      <c r="M124" s="9">
        <f t="shared" si="12"/>
        <v>347.65</v>
      </c>
      <c r="N124" s="5">
        <f t="shared" si="10"/>
        <v>991</v>
      </c>
      <c r="O124" s="8">
        <f t="shared" si="13"/>
        <v>346.83</v>
      </c>
      <c r="Q124" s="5">
        <f t="shared" si="14"/>
        <v>0</v>
      </c>
      <c r="R124" s="8">
        <f t="shared" si="15"/>
        <v>346.83</v>
      </c>
    </row>
    <row r="125" spans="1:18" x14ac:dyDescent="0.55000000000000004">
      <c r="A125">
        <v>2019</v>
      </c>
      <c r="B125" t="s">
        <v>689</v>
      </c>
      <c r="C125" t="s">
        <v>551</v>
      </c>
      <c r="F125" t="s">
        <v>551</v>
      </c>
      <c r="G125" s="28" t="s">
        <v>813</v>
      </c>
      <c r="H125" s="29">
        <f>INDEX(TransportationData!$A$6:$M$338,MATCH(FinalPayment_NoReorg!$F125,TransportationData!$A$6:$A$338,0),3)</f>
        <v>1612.5</v>
      </c>
      <c r="I125" s="30">
        <f>INDEX(TransportationData!$A$6:$M$338,MATCH(FinalPayment_NoReorg!$F125,TransportationData!$A$6:$A$338,0),8)</f>
        <v>524264.48</v>
      </c>
      <c r="J125" s="28">
        <f t="shared" si="11"/>
        <v>325.13</v>
      </c>
      <c r="K125" s="31">
        <f t="shared" si="8"/>
        <v>347.65</v>
      </c>
      <c r="L125" s="32">
        <f t="shared" si="9"/>
        <v>0</v>
      </c>
      <c r="M125" s="9">
        <f t="shared" si="12"/>
        <v>325.13</v>
      </c>
      <c r="N125" s="5">
        <f t="shared" si="10"/>
        <v>1320</v>
      </c>
      <c r="O125" s="8">
        <f t="shared" si="13"/>
        <v>324.31</v>
      </c>
      <c r="Q125" s="5">
        <f t="shared" si="14"/>
        <v>0</v>
      </c>
      <c r="R125" s="8">
        <f t="shared" si="15"/>
        <v>324.31</v>
      </c>
    </row>
    <row r="126" spans="1:18" x14ac:dyDescent="0.55000000000000004">
      <c r="A126">
        <v>2019</v>
      </c>
      <c r="B126" t="s">
        <v>690</v>
      </c>
      <c r="C126" t="s">
        <v>550</v>
      </c>
      <c r="F126" t="s">
        <v>550</v>
      </c>
      <c r="G126" s="28" t="s">
        <v>814</v>
      </c>
      <c r="H126" s="29">
        <f>INDEX(TransportationData!$A$6:$M$338,MATCH(FinalPayment_NoReorg!$F126,TransportationData!$A$6:$A$338,0),3)</f>
        <v>475.8</v>
      </c>
      <c r="I126" s="30">
        <f>INDEX(TransportationData!$A$6:$M$338,MATCH(FinalPayment_NoReorg!$F126,TransportationData!$A$6:$A$338,0),8)</f>
        <v>409091.49</v>
      </c>
      <c r="J126" s="28">
        <f t="shared" si="11"/>
        <v>859.8</v>
      </c>
      <c r="K126" s="31">
        <f t="shared" si="8"/>
        <v>347.65</v>
      </c>
      <c r="L126" s="32">
        <f t="shared" si="9"/>
        <v>243681</v>
      </c>
      <c r="M126" s="9">
        <f t="shared" si="12"/>
        <v>347.65</v>
      </c>
      <c r="N126" s="5">
        <f t="shared" si="10"/>
        <v>389</v>
      </c>
      <c r="O126" s="8">
        <f t="shared" si="13"/>
        <v>346.83</v>
      </c>
      <c r="Q126" s="5">
        <f t="shared" si="14"/>
        <v>0</v>
      </c>
      <c r="R126" s="8">
        <f t="shared" si="15"/>
        <v>346.83</v>
      </c>
    </row>
    <row r="127" spans="1:18" x14ac:dyDescent="0.55000000000000004">
      <c r="A127">
        <v>2019</v>
      </c>
      <c r="B127" t="s">
        <v>689</v>
      </c>
      <c r="C127" t="s">
        <v>549</v>
      </c>
      <c r="F127" t="s">
        <v>549</v>
      </c>
      <c r="G127" s="28" t="s">
        <v>815</v>
      </c>
      <c r="H127" s="29">
        <f>INDEX(TransportationData!$A$6:$M$338,MATCH(FinalPayment_NoReorg!$F127,TransportationData!$A$6:$A$338,0),3)</f>
        <v>653.1</v>
      </c>
      <c r="I127" s="30">
        <f>INDEX(TransportationData!$A$6:$M$338,MATCH(FinalPayment_NoReorg!$F127,TransportationData!$A$6:$A$338,0),8)</f>
        <v>200930.46</v>
      </c>
      <c r="J127" s="28">
        <f t="shared" si="11"/>
        <v>307.66000000000003</v>
      </c>
      <c r="K127" s="31">
        <f t="shared" si="8"/>
        <v>347.65</v>
      </c>
      <c r="L127" s="32">
        <f t="shared" si="9"/>
        <v>0</v>
      </c>
      <c r="M127" s="9">
        <f t="shared" si="12"/>
        <v>307.66000000000003</v>
      </c>
      <c r="N127" s="5">
        <f t="shared" si="10"/>
        <v>535</v>
      </c>
      <c r="O127" s="8">
        <f t="shared" si="13"/>
        <v>306.83999999999997</v>
      </c>
      <c r="Q127" s="5">
        <f t="shared" si="14"/>
        <v>0</v>
      </c>
      <c r="R127" s="8">
        <f t="shared" si="15"/>
        <v>306.83999999999997</v>
      </c>
    </row>
    <row r="128" spans="1:18" x14ac:dyDescent="0.55000000000000004">
      <c r="A128">
        <v>2019</v>
      </c>
      <c r="B128" t="s">
        <v>686</v>
      </c>
      <c r="C128" t="s">
        <v>548</v>
      </c>
      <c r="F128" t="s">
        <v>548</v>
      </c>
      <c r="G128" s="28" t="s">
        <v>816</v>
      </c>
      <c r="H128" s="29">
        <f>INDEX(TransportationData!$A$6:$M$338,MATCH(FinalPayment_NoReorg!$F128,TransportationData!$A$6:$A$338,0),3)</f>
        <v>431.8</v>
      </c>
      <c r="I128" s="30">
        <f>INDEX(TransportationData!$A$6:$M$338,MATCH(FinalPayment_NoReorg!$F128,TransportationData!$A$6:$A$338,0),8)</f>
        <v>236400.34</v>
      </c>
      <c r="J128" s="28">
        <f t="shared" si="11"/>
        <v>547.48</v>
      </c>
      <c r="K128" s="31">
        <f t="shared" si="8"/>
        <v>347.65</v>
      </c>
      <c r="L128" s="32">
        <f t="shared" si="9"/>
        <v>86287</v>
      </c>
      <c r="M128" s="9">
        <f t="shared" si="12"/>
        <v>347.65</v>
      </c>
      <c r="N128" s="5">
        <f t="shared" si="10"/>
        <v>353</v>
      </c>
      <c r="O128" s="8">
        <f t="shared" si="13"/>
        <v>346.83</v>
      </c>
      <c r="Q128" s="5">
        <f t="shared" si="14"/>
        <v>0</v>
      </c>
      <c r="R128" s="8">
        <f t="shared" si="15"/>
        <v>346.83</v>
      </c>
    </row>
    <row r="129" spans="1:18" x14ac:dyDescent="0.55000000000000004">
      <c r="A129">
        <v>2019</v>
      </c>
      <c r="B129" t="s">
        <v>690</v>
      </c>
      <c r="C129" t="s">
        <v>545</v>
      </c>
      <c r="D129" t="s">
        <v>1315</v>
      </c>
      <c r="F129" t="s">
        <v>545</v>
      </c>
      <c r="G129" s="28" t="s">
        <v>817</v>
      </c>
      <c r="H129" s="29">
        <f>INDEX(TransportationData!$A$6:$M$338,MATCH(FinalPayment_NoReorg!$F129,TransportationData!$A$6:$A$338,0),3)</f>
        <v>227</v>
      </c>
      <c r="I129" s="30">
        <f>INDEX(TransportationData!$A$6:$M$338,MATCH(FinalPayment_NoReorg!$F129,TransportationData!$A$6:$A$338,0),8)</f>
        <v>51284.24</v>
      </c>
      <c r="J129" s="28">
        <f t="shared" si="11"/>
        <v>225.92</v>
      </c>
      <c r="K129" s="31">
        <f t="shared" si="8"/>
        <v>347.65</v>
      </c>
      <c r="L129" s="32">
        <f t="shared" si="9"/>
        <v>0</v>
      </c>
      <c r="M129" s="9">
        <f t="shared" si="12"/>
        <v>225.92</v>
      </c>
      <c r="N129" s="5">
        <f t="shared" si="10"/>
        <v>186</v>
      </c>
      <c r="O129" s="8">
        <f t="shared" si="13"/>
        <v>225.1</v>
      </c>
      <c r="Q129" s="5">
        <f t="shared" si="14"/>
        <v>0</v>
      </c>
      <c r="R129" s="8">
        <f t="shared" si="15"/>
        <v>225.1</v>
      </c>
    </row>
    <row r="130" spans="1:18" x14ac:dyDescent="0.55000000000000004">
      <c r="A130">
        <v>2019</v>
      </c>
      <c r="B130" t="s">
        <v>689</v>
      </c>
      <c r="C130" t="s">
        <v>544</v>
      </c>
      <c r="F130" t="s">
        <v>544</v>
      </c>
      <c r="G130" s="28" t="s">
        <v>818</v>
      </c>
      <c r="H130" s="29">
        <f>INDEX(TransportationData!$A$6:$M$338,MATCH(FinalPayment_NoReorg!$F130,TransportationData!$A$6:$A$338,0),3)</f>
        <v>1190.9000000000001</v>
      </c>
      <c r="I130" s="30">
        <f>INDEX(TransportationData!$A$6:$M$338,MATCH(FinalPayment_NoReorg!$F130,TransportationData!$A$6:$A$338,0),8)</f>
        <v>389959.54</v>
      </c>
      <c r="J130" s="28">
        <f t="shared" si="11"/>
        <v>327.45</v>
      </c>
      <c r="K130" s="31">
        <f t="shared" ref="K130:K193" si="16">$L$336</f>
        <v>347.65</v>
      </c>
      <c r="L130" s="32">
        <f t="shared" ref="L130:L193" si="17">IF(J130&gt;K130,ROUND((J130-K130)*H130,0),0)</f>
        <v>0</v>
      </c>
      <c r="M130" s="9">
        <f t="shared" si="12"/>
        <v>327.45</v>
      </c>
      <c r="N130" s="5">
        <f t="shared" ref="N130:N193" si="18">IF(ROUND(H130*$N$336,0)&gt;I130-L130,ROUND(I130-L130,0),ROUND(H130*$N$336,0))</f>
        <v>975</v>
      </c>
      <c r="O130" s="8">
        <f t="shared" si="13"/>
        <v>326.63</v>
      </c>
      <c r="Q130" s="5">
        <f t="shared" si="14"/>
        <v>0</v>
      </c>
      <c r="R130" s="8">
        <f t="shared" si="15"/>
        <v>326.63</v>
      </c>
    </row>
    <row r="131" spans="1:18" x14ac:dyDescent="0.55000000000000004">
      <c r="A131">
        <v>2019</v>
      </c>
      <c r="B131" t="s">
        <v>690</v>
      </c>
      <c r="C131" t="s">
        <v>543</v>
      </c>
      <c r="F131" t="s">
        <v>543</v>
      </c>
      <c r="G131" s="28" t="s">
        <v>819</v>
      </c>
      <c r="H131" s="29">
        <f>INDEX(TransportationData!$A$6:$M$338,MATCH(FinalPayment_NoReorg!$F131,TransportationData!$A$6:$A$338,0),3)</f>
        <v>1419.1000000000001</v>
      </c>
      <c r="I131" s="30">
        <f>INDEX(TransportationData!$A$6:$M$338,MATCH(FinalPayment_NoReorg!$F131,TransportationData!$A$6:$A$338,0),8)</f>
        <v>493288.03</v>
      </c>
      <c r="J131" s="28">
        <f t="shared" ref="J131:J194" si="19">ROUND(I131/H131,2)</f>
        <v>347.61</v>
      </c>
      <c r="K131" s="31">
        <f t="shared" si="16"/>
        <v>347.65</v>
      </c>
      <c r="L131" s="32">
        <f t="shared" si="17"/>
        <v>0</v>
      </c>
      <c r="M131" s="9">
        <f t="shared" ref="M131:M194" si="20">ROUND((I131-L131)/H131,2)</f>
        <v>347.61</v>
      </c>
      <c r="N131" s="5">
        <f t="shared" si="18"/>
        <v>1162</v>
      </c>
      <c r="O131" s="8">
        <f t="shared" ref="O131:O194" si="21">ROUND((I131-L131-N131)/H131,2)</f>
        <v>346.79</v>
      </c>
      <c r="Q131" s="5">
        <f t="shared" ref="Q131:Q194" si="22">IF(ROUND($H131*$N$340,0)&gt;$I131-$L131-N131,ROUND($I131-$L131-$N131,0),ROUND($H131*$N$340,0))</f>
        <v>0</v>
      </c>
      <c r="R131" s="8">
        <f t="shared" si="15"/>
        <v>346.79</v>
      </c>
    </row>
    <row r="132" spans="1:18" x14ac:dyDescent="0.55000000000000004">
      <c r="A132">
        <v>2019</v>
      </c>
      <c r="B132" t="s">
        <v>696</v>
      </c>
      <c r="C132" t="s">
        <v>542</v>
      </c>
      <c r="F132" t="s">
        <v>542</v>
      </c>
      <c r="G132" s="28" t="s">
        <v>820</v>
      </c>
      <c r="H132" s="29">
        <f>INDEX(TransportationData!$A$6:$M$338,MATCH(FinalPayment_NoReorg!$F132,TransportationData!$A$6:$A$338,0),3)</f>
        <v>356.2</v>
      </c>
      <c r="I132" s="30">
        <f>INDEX(TransportationData!$A$6:$M$338,MATCH(FinalPayment_NoReorg!$F132,TransportationData!$A$6:$A$338,0),8)</f>
        <v>370000.11</v>
      </c>
      <c r="J132" s="28">
        <f t="shared" si="19"/>
        <v>1038.74</v>
      </c>
      <c r="K132" s="31">
        <f t="shared" si="16"/>
        <v>347.65</v>
      </c>
      <c r="L132" s="32">
        <f t="shared" si="17"/>
        <v>246166</v>
      </c>
      <c r="M132" s="9">
        <f t="shared" si="20"/>
        <v>347.65</v>
      </c>
      <c r="N132" s="5">
        <f t="shared" si="18"/>
        <v>292</v>
      </c>
      <c r="O132" s="8">
        <f t="shared" si="21"/>
        <v>346.83</v>
      </c>
      <c r="Q132" s="5">
        <f t="shared" si="22"/>
        <v>0</v>
      </c>
      <c r="R132" s="8">
        <f t="shared" ref="R132:R195" si="23">ROUND(($I132-$L132-$N132-$Q132)/$H132,2)</f>
        <v>346.83</v>
      </c>
    </row>
    <row r="133" spans="1:18" x14ac:dyDescent="0.55000000000000004">
      <c r="A133">
        <v>2019</v>
      </c>
      <c r="B133" t="s">
        <v>694</v>
      </c>
      <c r="C133" t="s">
        <v>541</v>
      </c>
      <c r="F133" t="s">
        <v>541</v>
      </c>
      <c r="G133" s="28" t="s">
        <v>821</v>
      </c>
      <c r="H133" s="29">
        <f>INDEX(TransportationData!$A$6:$M$338,MATCH(FinalPayment_NoReorg!$F133,TransportationData!$A$6:$A$338,0),3)</f>
        <v>298.39999999999998</v>
      </c>
      <c r="I133" s="30">
        <f>INDEX(TransportationData!$A$6:$M$338,MATCH(FinalPayment_NoReorg!$F133,TransportationData!$A$6:$A$338,0),8)</f>
        <v>149180.4</v>
      </c>
      <c r="J133" s="28">
        <f t="shared" si="19"/>
        <v>499.93</v>
      </c>
      <c r="K133" s="31">
        <f t="shared" si="16"/>
        <v>347.65</v>
      </c>
      <c r="L133" s="32">
        <f t="shared" si="17"/>
        <v>45440</v>
      </c>
      <c r="M133" s="9">
        <f t="shared" si="20"/>
        <v>347.66</v>
      </c>
      <c r="N133" s="5">
        <f t="shared" si="18"/>
        <v>244</v>
      </c>
      <c r="O133" s="8">
        <f t="shared" si="21"/>
        <v>346.84</v>
      </c>
      <c r="Q133" s="5">
        <f t="shared" si="22"/>
        <v>0</v>
      </c>
      <c r="R133" s="8">
        <f t="shared" si="23"/>
        <v>346.84</v>
      </c>
    </row>
    <row r="134" spans="1:18" x14ac:dyDescent="0.55000000000000004">
      <c r="A134">
        <v>2019</v>
      </c>
      <c r="B134" t="s">
        <v>692</v>
      </c>
      <c r="C134" t="s">
        <v>540</v>
      </c>
      <c r="F134" t="s">
        <v>540</v>
      </c>
      <c r="G134" s="28" t="s">
        <v>822</v>
      </c>
      <c r="H134" s="29">
        <f>INDEX(TransportationData!$A$6:$M$338,MATCH(FinalPayment_NoReorg!$F134,TransportationData!$A$6:$A$338,0),3)</f>
        <v>625.29999999999995</v>
      </c>
      <c r="I134" s="30">
        <f>INDEX(TransportationData!$A$6:$M$338,MATCH(FinalPayment_NoReorg!$F134,TransportationData!$A$6:$A$338,0),8)</f>
        <v>149402.08000000002</v>
      </c>
      <c r="J134" s="28">
        <f t="shared" si="19"/>
        <v>238.93</v>
      </c>
      <c r="K134" s="31">
        <f t="shared" si="16"/>
        <v>347.65</v>
      </c>
      <c r="L134" s="32">
        <f t="shared" si="17"/>
        <v>0</v>
      </c>
      <c r="M134" s="9">
        <f t="shared" si="20"/>
        <v>238.93</v>
      </c>
      <c r="N134" s="5">
        <f t="shared" si="18"/>
        <v>512</v>
      </c>
      <c r="O134" s="8">
        <f t="shared" si="21"/>
        <v>238.11</v>
      </c>
      <c r="Q134" s="5">
        <f t="shared" si="22"/>
        <v>0</v>
      </c>
      <c r="R134" s="8">
        <f t="shared" si="23"/>
        <v>238.11</v>
      </c>
    </row>
    <row r="135" spans="1:18" x14ac:dyDescent="0.55000000000000004">
      <c r="A135">
        <v>2019</v>
      </c>
      <c r="B135" t="s">
        <v>698</v>
      </c>
      <c r="C135" t="s">
        <v>539</v>
      </c>
      <c r="F135" t="s">
        <v>539</v>
      </c>
      <c r="G135" s="28" t="s">
        <v>823</v>
      </c>
      <c r="H135" s="29">
        <f>INDEX(TransportationData!$A$6:$M$338,MATCH(FinalPayment_NoReorg!$F135,TransportationData!$A$6:$A$338,0),3)</f>
        <v>631.79999999999995</v>
      </c>
      <c r="I135" s="30">
        <f>INDEX(TransportationData!$A$6:$M$338,MATCH(FinalPayment_NoReorg!$F135,TransportationData!$A$6:$A$338,0),8)</f>
        <v>280847.61</v>
      </c>
      <c r="J135" s="28">
        <f t="shared" si="19"/>
        <v>444.52</v>
      </c>
      <c r="K135" s="31">
        <f t="shared" si="16"/>
        <v>347.65</v>
      </c>
      <c r="L135" s="32">
        <f t="shared" si="17"/>
        <v>61202</v>
      </c>
      <c r="M135" s="9">
        <f t="shared" si="20"/>
        <v>347.65</v>
      </c>
      <c r="N135" s="5">
        <f t="shared" si="18"/>
        <v>517</v>
      </c>
      <c r="O135" s="8">
        <f t="shared" si="21"/>
        <v>346.83</v>
      </c>
      <c r="Q135" s="5">
        <f t="shared" si="22"/>
        <v>0</v>
      </c>
      <c r="R135" s="8">
        <f t="shared" si="23"/>
        <v>346.83</v>
      </c>
    </row>
    <row r="136" spans="1:18" x14ac:dyDescent="0.55000000000000004">
      <c r="A136">
        <v>2019</v>
      </c>
      <c r="B136" t="s">
        <v>692</v>
      </c>
      <c r="C136" t="s">
        <v>538</v>
      </c>
      <c r="F136" t="s">
        <v>538</v>
      </c>
      <c r="G136" s="28" t="s">
        <v>824</v>
      </c>
      <c r="H136" s="29">
        <f>INDEX(TransportationData!$A$6:$M$338,MATCH(FinalPayment_NoReorg!$F136,TransportationData!$A$6:$A$338,0),3)</f>
        <v>521.1</v>
      </c>
      <c r="I136" s="30">
        <f>INDEX(TransportationData!$A$6:$M$338,MATCH(FinalPayment_NoReorg!$F136,TransportationData!$A$6:$A$338,0),8)</f>
        <v>352602.36</v>
      </c>
      <c r="J136" s="28">
        <f t="shared" si="19"/>
        <v>676.65</v>
      </c>
      <c r="K136" s="31">
        <f t="shared" si="16"/>
        <v>347.65</v>
      </c>
      <c r="L136" s="32">
        <f t="shared" si="17"/>
        <v>171442</v>
      </c>
      <c r="M136" s="9">
        <f t="shared" si="20"/>
        <v>347.65</v>
      </c>
      <c r="N136" s="5">
        <f t="shared" si="18"/>
        <v>427</v>
      </c>
      <c r="O136" s="8">
        <f t="shared" si="21"/>
        <v>346.83</v>
      </c>
      <c r="Q136" s="5">
        <f t="shared" si="22"/>
        <v>0</v>
      </c>
      <c r="R136" s="8">
        <f t="shared" si="23"/>
        <v>346.83</v>
      </c>
    </row>
    <row r="137" spans="1:18" x14ac:dyDescent="0.55000000000000004">
      <c r="A137">
        <v>2019</v>
      </c>
      <c r="B137" t="s">
        <v>698</v>
      </c>
      <c r="C137" t="s">
        <v>546</v>
      </c>
      <c r="F137" t="s">
        <v>546</v>
      </c>
      <c r="G137" s="28" t="s">
        <v>825</v>
      </c>
      <c r="H137" s="29">
        <f>INDEX(TransportationData!$A$6:$M$338,MATCH(FinalPayment_NoReorg!$F137,TransportationData!$A$6:$A$338,0),3)</f>
        <v>351.8</v>
      </c>
      <c r="I137" s="30">
        <f>INDEX(TransportationData!$A$6:$M$338,MATCH(FinalPayment_NoReorg!$F137,TransportationData!$A$6:$A$338,0),8)</f>
        <v>113392.97</v>
      </c>
      <c r="J137" s="28">
        <f t="shared" si="19"/>
        <v>322.32</v>
      </c>
      <c r="K137" s="31">
        <f t="shared" si="16"/>
        <v>347.65</v>
      </c>
      <c r="L137" s="32">
        <f t="shared" si="17"/>
        <v>0</v>
      </c>
      <c r="M137" s="9">
        <f t="shared" si="20"/>
        <v>322.32</v>
      </c>
      <c r="N137" s="5">
        <f t="shared" si="18"/>
        <v>288</v>
      </c>
      <c r="O137" s="8">
        <f t="shared" si="21"/>
        <v>321.5</v>
      </c>
      <c r="Q137" s="5">
        <f t="shared" si="22"/>
        <v>0</v>
      </c>
      <c r="R137" s="8">
        <f t="shared" si="23"/>
        <v>321.5</v>
      </c>
    </row>
    <row r="138" spans="1:18" x14ac:dyDescent="0.55000000000000004">
      <c r="A138">
        <v>2019</v>
      </c>
      <c r="B138" t="s">
        <v>703</v>
      </c>
      <c r="C138" t="s">
        <v>537</v>
      </c>
      <c r="F138" t="s">
        <v>537</v>
      </c>
      <c r="G138" s="28" t="s">
        <v>826</v>
      </c>
      <c r="H138" s="29">
        <f>INDEX(TransportationData!$A$6:$M$338,MATCH(FinalPayment_NoReorg!$F138,TransportationData!$A$6:$A$338,0),3)</f>
        <v>1169.8</v>
      </c>
      <c r="I138" s="30">
        <f>INDEX(TransportationData!$A$6:$M$338,MATCH(FinalPayment_NoReorg!$F138,TransportationData!$A$6:$A$338,0),8)</f>
        <v>693252.58000000007</v>
      </c>
      <c r="J138" s="28">
        <f t="shared" si="19"/>
        <v>592.62</v>
      </c>
      <c r="K138" s="31">
        <f t="shared" si="16"/>
        <v>347.65</v>
      </c>
      <c r="L138" s="32">
        <f t="shared" si="17"/>
        <v>286566</v>
      </c>
      <c r="M138" s="9">
        <f t="shared" si="20"/>
        <v>347.65</v>
      </c>
      <c r="N138" s="5">
        <f t="shared" si="18"/>
        <v>958</v>
      </c>
      <c r="O138" s="8">
        <f t="shared" si="21"/>
        <v>346.84</v>
      </c>
      <c r="Q138" s="5">
        <f t="shared" si="22"/>
        <v>0</v>
      </c>
      <c r="R138" s="8">
        <f t="shared" si="23"/>
        <v>346.84</v>
      </c>
    </row>
    <row r="139" spans="1:18" x14ac:dyDescent="0.55000000000000004">
      <c r="A139">
        <v>2019</v>
      </c>
      <c r="B139" t="s">
        <v>689</v>
      </c>
      <c r="C139" t="s">
        <v>536</v>
      </c>
      <c r="F139" t="s">
        <v>536</v>
      </c>
      <c r="G139" s="28" t="s">
        <v>827</v>
      </c>
      <c r="H139" s="29">
        <f>INDEX(TransportationData!$A$6:$M$338,MATCH(FinalPayment_NoReorg!$F139,TransportationData!$A$6:$A$338,0),3)</f>
        <v>438.4</v>
      </c>
      <c r="I139" s="30">
        <f>INDEX(TransportationData!$A$6:$M$338,MATCH(FinalPayment_NoReorg!$F139,TransportationData!$A$6:$A$338,0),8)</f>
        <v>216503.08</v>
      </c>
      <c r="J139" s="28">
        <f t="shared" si="19"/>
        <v>493.85</v>
      </c>
      <c r="K139" s="31">
        <f t="shared" si="16"/>
        <v>347.65</v>
      </c>
      <c r="L139" s="32">
        <f t="shared" si="17"/>
        <v>64094</v>
      </c>
      <c r="M139" s="9">
        <f t="shared" si="20"/>
        <v>347.65</v>
      </c>
      <c r="N139" s="5">
        <f t="shared" si="18"/>
        <v>359</v>
      </c>
      <c r="O139" s="8">
        <f t="shared" si="21"/>
        <v>346.83</v>
      </c>
      <c r="Q139" s="5">
        <f t="shared" si="22"/>
        <v>0</v>
      </c>
      <c r="R139" s="8">
        <f t="shared" si="23"/>
        <v>346.83</v>
      </c>
    </row>
    <row r="140" spans="1:18" x14ac:dyDescent="0.55000000000000004">
      <c r="A140">
        <v>2019</v>
      </c>
      <c r="B140" t="s">
        <v>689</v>
      </c>
      <c r="C140" t="s">
        <v>535</v>
      </c>
      <c r="F140" t="s">
        <v>535</v>
      </c>
      <c r="G140" s="28" t="s">
        <v>828</v>
      </c>
      <c r="H140" s="29">
        <f>INDEX(TransportationData!$A$6:$M$338,MATCH(FinalPayment_NoReorg!$F140,TransportationData!$A$6:$A$338,0),3)</f>
        <v>690.4</v>
      </c>
      <c r="I140" s="30">
        <f>INDEX(TransportationData!$A$6:$M$338,MATCH(FinalPayment_NoReorg!$F140,TransportationData!$A$6:$A$338,0),8)</f>
        <v>239085.72</v>
      </c>
      <c r="J140" s="28">
        <f t="shared" si="19"/>
        <v>346.3</v>
      </c>
      <c r="K140" s="31">
        <f t="shared" si="16"/>
        <v>347.65</v>
      </c>
      <c r="L140" s="32">
        <f t="shared" si="17"/>
        <v>0</v>
      </c>
      <c r="M140" s="9">
        <f t="shared" si="20"/>
        <v>346.3</v>
      </c>
      <c r="N140" s="5">
        <f t="shared" si="18"/>
        <v>565</v>
      </c>
      <c r="O140" s="8">
        <f t="shared" si="21"/>
        <v>345.48</v>
      </c>
      <c r="Q140" s="5">
        <f t="shared" si="22"/>
        <v>0</v>
      </c>
      <c r="R140" s="8">
        <f t="shared" si="23"/>
        <v>345.48</v>
      </c>
    </row>
    <row r="141" spans="1:18" x14ac:dyDescent="0.55000000000000004">
      <c r="A141">
        <v>2019</v>
      </c>
      <c r="B141" t="s">
        <v>694</v>
      </c>
      <c r="C141" t="s">
        <v>534</v>
      </c>
      <c r="F141" t="s">
        <v>534</v>
      </c>
      <c r="G141" s="28" t="s">
        <v>829</v>
      </c>
      <c r="H141" s="29">
        <f>INDEX(TransportationData!$A$6:$M$338,MATCH(FinalPayment_NoReorg!$F141,TransportationData!$A$6:$A$338,0),3)</f>
        <v>1212.3</v>
      </c>
      <c r="I141" s="30">
        <f>INDEX(TransportationData!$A$6:$M$338,MATCH(FinalPayment_NoReorg!$F141,TransportationData!$A$6:$A$338,0),8)</f>
        <v>360246.96</v>
      </c>
      <c r="J141" s="28">
        <f t="shared" si="19"/>
        <v>297.16000000000003</v>
      </c>
      <c r="K141" s="31">
        <f t="shared" si="16"/>
        <v>347.65</v>
      </c>
      <c r="L141" s="32">
        <f t="shared" si="17"/>
        <v>0</v>
      </c>
      <c r="M141" s="9">
        <f t="shared" si="20"/>
        <v>297.16000000000003</v>
      </c>
      <c r="N141" s="5">
        <f t="shared" si="18"/>
        <v>992</v>
      </c>
      <c r="O141" s="8">
        <f t="shared" si="21"/>
        <v>296.33999999999997</v>
      </c>
      <c r="Q141" s="5">
        <f t="shared" si="22"/>
        <v>0</v>
      </c>
      <c r="R141" s="8">
        <f t="shared" si="23"/>
        <v>296.33999999999997</v>
      </c>
    </row>
    <row r="142" spans="1:18" x14ac:dyDescent="0.55000000000000004">
      <c r="A142">
        <v>2019</v>
      </c>
      <c r="B142" t="s">
        <v>690</v>
      </c>
      <c r="C142" t="s">
        <v>527</v>
      </c>
      <c r="F142" t="s">
        <v>527</v>
      </c>
      <c r="G142" s="28" t="s">
        <v>830</v>
      </c>
      <c r="H142" s="29">
        <f>INDEX(TransportationData!$A$6:$M$338,MATCH(FinalPayment_NoReorg!$F142,TransportationData!$A$6:$A$338,0),3)</f>
        <v>683.2</v>
      </c>
      <c r="I142" s="30">
        <f>INDEX(TransportationData!$A$6:$M$338,MATCH(FinalPayment_NoReorg!$F142,TransportationData!$A$6:$A$338,0),8)</f>
        <v>418932.29000000004</v>
      </c>
      <c r="J142" s="28">
        <f t="shared" si="19"/>
        <v>613.19000000000005</v>
      </c>
      <c r="K142" s="31">
        <f t="shared" si="16"/>
        <v>347.65</v>
      </c>
      <c r="L142" s="32">
        <f t="shared" si="17"/>
        <v>181417</v>
      </c>
      <c r="M142" s="9">
        <f t="shared" si="20"/>
        <v>347.65</v>
      </c>
      <c r="N142" s="5">
        <f t="shared" si="18"/>
        <v>559</v>
      </c>
      <c r="O142" s="8">
        <f t="shared" si="21"/>
        <v>346.83</v>
      </c>
      <c r="Q142" s="5">
        <f t="shared" si="22"/>
        <v>0</v>
      </c>
      <c r="R142" s="8">
        <f t="shared" si="23"/>
        <v>346.83</v>
      </c>
    </row>
    <row r="143" spans="1:18" x14ac:dyDescent="0.55000000000000004">
      <c r="A143">
        <v>2019</v>
      </c>
      <c r="B143" t="s">
        <v>689</v>
      </c>
      <c r="C143" t="s">
        <v>533</v>
      </c>
      <c r="F143" t="s">
        <v>533</v>
      </c>
      <c r="G143" s="28" t="s">
        <v>831</v>
      </c>
      <c r="H143" s="29">
        <f>INDEX(TransportationData!$A$6:$M$338,MATCH(FinalPayment_NoReorg!$F143,TransportationData!$A$6:$A$338,0),3)</f>
        <v>1433.6</v>
      </c>
      <c r="I143" s="30">
        <f>INDEX(TransportationData!$A$6:$M$338,MATCH(FinalPayment_NoReorg!$F143,TransportationData!$A$6:$A$338,0),8)</f>
        <v>467096</v>
      </c>
      <c r="J143" s="28">
        <f t="shared" si="19"/>
        <v>325.82</v>
      </c>
      <c r="K143" s="31">
        <f t="shared" si="16"/>
        <v>347.65</v>
      </c>
      <c r="L143" s="32">
        <f t="shared" si="17"/>
        <v>0</v>
      </c>
      <c r="M143" s="9">
        <f t="shared" si="20"/>
        <v>325.82</v>
      </c>
      <c r="N143" s="5">
        <f t="shared" si="18"/>
        <v>1174</v>
      </c>
      <c r="O143" s="8">
        <f t="shared" si="21"/>
        <v>325</v>
      </c>
      <c r="Q143" s="5">
        <f t="shared" si="22"/>
        <v>0</v>
      </c>
      <c r="R143" s="8">
        <f t="shared" si="23"/>
        <v>325</v>
      </c>
    </row>
    <row r="144" spans="1:18" x14ac:dyDescent="0.55000000000000004">
      <c r="A144">
        <v>2019</v>
      </c>
      <c r="B144" t="s">
        <v>686</v>
      </c>
      <c r="C144" t="s">
        <v>532</v>
      </c>
      <c r="F144" t="s">
        <v>532</v>
      </c>
      <c r="G144" s="28" t="s">
        <v>832</v>
      </c>
      <c r="H144" s="29">
        <f>INDEX(TransportationData!$A$6:$M$338,MATCH(FinalPayment_NoReorg!$F144,TransportationData!$A$6:$A$338,0),3)</f>
        <v>3496.6</v>
      </c>
      <c r="I144" s="30">
        <f>INDEX(TransportationData!$A$6:$M$338,MATCH(FinalPayment_NoReorg!$F144,TransportationData!$A$6:$A$338,0),8)</f>
        <v>971391.09000000008</v>
      </c>
      <c r="J144" s="28">
        <f t="shared" si="19"/>
        <v>277.81</v>
      </c>
      <c r="K144" s="31">
        <f t="shared" si="16"/>
        <v>347.65</v>
      </c>
      <c r="L144" s="32">
        <f t="shared" si="17"/>
        <v>0</v>
      </c>
      <c r="M144" s="9">
        <f t="shared" si="20"/>
        <v>277.81</v>
      </c>
      <c r="N144" s="5">
        <f t="shared" si="18"/>
        <v>2862</v>
      </c>
      <c r="O144" s="8">
        <f t="shared" si="21"/>
        <v>276.99</v>
      </c>
      <c r="Q144" s="5">
        <f t="shared" si="22"/>
        <v>0</v>
      </c>
      <c r="R144" s="8">
        <f t="shared" si="23"/>
        <v>276.99</v>
      </c>
    </row>
    <row r="145" spans="1:18" x14ac:dyDescent="0.55000000000000004">
      <c r="A145">
        <v>2019</v>
      </c>
      <c r="B145" t="s">
        <v>686</v>
      </c>
      <c r="C145" t="s">
        <v>531</v>
      </c>
      <c r="F145" t="s">
        <v>531</v>
      </c>
      <c r="G145" s="28" t="s">
        <v>833</v>
      </c>
      <c r="H145" s="29">
        <f>INDEX(TransportationData!$A$6:$M$338,MATCH(FinalPayment_NoReorg!$F145,TransportationData!$A$6:$A$338,0),3)</f>
        <v>860.8</v>
      </c>
      <c r="I145" s="30">
        <f>INDEX(TransportationData!$A$6:$M$338,MATCH(FinalPayment_NoReorg!$F145,TransportationData!$A$6:$A$338,0),8)</f>
        <v>563140.78</v>
      </c>
      <c r="J145" s="28">
        <f t="shared" si="19"/>
        <v>654.21</v>
      </c>
      <c r="K145" s="31">
        <f t="shared" si="16"/>
        <v>347.65</v>
      </c>
      <c r="L145" s="32">
        <f t="shared" si="17"/>
        <v>263887</v>
      </c>
      <c r="M145" s="9">
        <f t="shared" si="20"/>
        <v>347.65</v>
      </c>
      <c r="N145" s="5">
        <f t="shared" si="18"/>
        <v>705</v>
      </c>
      <c r="O145" s="8">
        <f t="shared" si="21"/>
        <v>346.83</v>
      </c>
      <c r="Q145" s="5">
        <f t="shared" si="22"/>
        <v>0</v>
      </c>
      <c r="R145" s="8">
        <f t="shared" si="23"/>
        <v>346.83</v>
      </c>
    </row>
    <row r="146" spans="1:18" x14ac:dyDescent="0.55000000000000004">
      <c r="A146">
        <v>2019</v>
      </c>
      <c r="B146" t="s">
        <v>698</v>
      </c>
      <c r="C146" t="s">
        <v>530</v>
      </c>
      <c r="F146" t="s">
        <v>530</v>
      </c>
      <c r="G146" s="28" t="s">
        <v>834</v>
      </c>
      <c r="H146" s="29">
        <f>INDEX(TransportationData!$A$6:$M$338,MATCH(FinalPayment_NoReorg!$F146,TransportationData!$A$6:$A$338,0),3)</f>
        <v>14279.9</v>
      </c>
      <c r="I146" s="30">
        <f>INDEX(TransportationData!$A$6:$M$338,MATCH(FinalPayment_NoReorg!$F146,TransportationData!$A$6:$A$338,0),8)</f>
        <v>2544407.66</v>
      </c>
      <c r="J146" s="28">
        <f t="shared" si="19"/>
        <v>178.18</v>
      </c>
      <c r="K146" s="31">
        <f t="shared" si="16"/>
        <v>347.65</v>
      </c>
      <c r="L146" s="32">
        <f t="shared" si="17"/>
        <v>0</v>
      </c>
      <c r="M146" s="9">
        <f t="shared" si="20"/>
        <v>178.18</v>
      </c>
      <c r="N146" s="5">
        <f t="shared" si="18"/>
        <v>11689</v>
      </c>
      <c r="O146" s="8">
        <f t="shared" si="21"/>
        <v>177.36</v>
      </c>
      <c r="Q146" s="5">
        <f t="shared" si="22"/>
        <v>0</v>
      </c>
      <c r="R146" s="8">
        <f t="shared" si="23"/>
        <v>177.36</v>
      </c>
    </row>
    <row r="147" spans="1:18" x14ac:dyDescent="0.55000000000000004">
      <c r="A147">
        <v>2019</v>
      </c>
      <c r="B147" t="s">
        <v>689</v>
      </c>
      <c r="C147" t="s">
        <v>529</v>
      </c>
      <c r="F147" t="s">
        <v>529</v>
      </c>
      <c r="G147" s="28" t="s">
        <v>835</v>
      </c>
      <c r="H147" s="29">
        <f>INDEX(TransportationData!$A$6:$M$338,MATCH(FinalPayment_NoReorg!$F147,TransportationData!$A$6:$A$338,0),3)</f>
        <v>1052.7</v>
      </c>
      <c r="I147" s="30">
        <f>INDEX(TransportationData!$A$6:$M$338,MATCH(FinalPayment_NoReorg!$F147,TransportationData!$A$6:$A$338,0),8)</f>
        <v>313419.24</v>
      </c>
      <c r="J147" s="28">
        <f t="shared" si="19"/>
        <v>297.73</v>
      </c>
      <c r="K147" s="31">
        <f t="shared" si="16"/>
        <v>347.65</v>
      </c>
      <c r="L147" s="32">
        <f t="shared" si="17"/>
        <v>0</v>
      </c>
      <c r="M147" s="9">
        <f t="shared" si="20"/>
        <v>297.73</v>
      </c>
      <c r="N147" s="5">
        <f t="shared" si="18"/>
        <v>862</v>
      </c>
      <c r="O147" s="8">
        <f t="shared" si="21"/>
        <v>296.91000000000003</v>
      </c>
      <c r="Q147" s="5">
        <f t="shared" si="22"/>
        <v>0</v>
      </c>
      <c r="R147" s="8">
        <f t="shared" si="23"/>
        <v>296.91000000000003</v>
      </c>
    </row>
    <row r="148" spans="1:18" x14ac:dyDescent="0.55000000000000004">
      <c r="A148">
        <v>2019</v>
      </c>
      <c r="B148" t="s">
        <v>698</v>
      </c>
      <c r="C148" t="s">
        <v>528</v>
      </c>
      <c r="F148" t="s">
        <v>528</v>
      </c>
      <c r="G148" s="28" t="s">
        <v>836</v>
      </c>
      <c r="H148" s="29">
        <f>INDEX(TransportationData!$A$6:$M$338,MATCH(FinalPayment_NoReorg!$F148,TransportationData!$A$6:$A$338,0),3)</f>
        <v>550.1</v>
      </c>
      <c r="I148" s="30">
        <f>INDEX(TransportationData!$A$6:$M$338,MATCH(FinalPayment_NoReorg!$F148,TransportationData!$A$6:$A$338,0),8)</f>
        <v>175398.08</v>
      </c>
      <c r="J148" s="28">
        <f t="shared" si="19"/>
        <v>318.85000000000002</v>
      </c>
      <c r="K148" s="31">
        <f t="shared" si="16"/>
        <v>347.65</v>
      </c>
      <c r="L148" s="32">
        <f t="shared" si="17"/>
        <v>0</v>
      </c>
      <c r="M148" s="9">
        <f t="shared" si="20"/>
        <v>318.85000000000002</v>
      </c>
      <c r="N148" s="5">
        <f t="shared" si="18"/>
        <v>450</v>
      </c>
      <c r="O148" s="8">
        <f t="shared" si="21"/>
        <v>318.02999999999997</v>
      </c>
      <c r="Q148" s="5">
        <f t="shared" si="22"/>
        <v>0</v>
      </c>
      <c r="R148" s="8">
        <f t="shared" si="23"/>
        <v>318.02999999999997</v>
      </c>
    </row>
    <row r="149" spans="1:18" x14ac:dyDescent="0.55000000000000004">
      <c r="A149">
        <v>2019</v>
      </c>
      <c r="B149" t="s">
        <v>689</v>
      </c>
      <c r="C149" t="s">
        <v>526</v>
      </c>
      <c r="F149" t="s">
        <v>526</v>
      </c>
      <c r="G149" s="28" t="s">
        <v>837</v>
      </c>
      <c r="H149" s="29">
        <f>INDEX(TransportationData!$A$6:$M$338,MATCH(FinalPayment_NoReorg!$F149,TransportationData!$A$6:$A$338,0),3)</f>
        <v>432.1</v>
      </c>
      <c r="I149" s="30">
        <f>INDEX(TransportationData!$A$6:$M$338,MATCH(FinalPayment_NoReorg!$F149,TransportationData!$A$6:$A$338,0),8)</f>
        <v>126611.85</v>
      </c>
      <c r="J149" s="28">
        <f t="shared" si="19"/>
        <v>293.02</v>
      </c>
      <c r="K149" s="31">
        <f t="shared" si="16"/>
        <v>347.65</v>
      </c>
      <c r="L149" s="32">
        <f t="shared" si="17"/>
        <v>0</v>
      </c>
      <c r="M149" s="9">
        <f t="shared" si="20"/>
        <v>293.02</v>
      </c>
      <c r="N149" s="5">
        <f t="shared" si="18"/>
        <v>354</v>
      </c>
      <c r="O149" s="8">
        <f t="shared" si="21"/>
        <v>292.2</v>
      </c>
      <c r="Q149" s="5">
        <f t="shared" si="22"/>
        <v>0</v>
      </c>
      <c r="R149" s="8">
        <f t="shared" si="23"/>
        <v>292.2</v>
      </c>
    </row>
    <row r="150" spans="1:18" x14ac:dyDescent="0.55000000000000004">
      <c r="A150">
        <v>2019</v>
      </c>
      <c r="B150" t="s">
        <v>689</v>
      </c>
      <c r="C150" t="s">
        <v>524</v>
      </c>
      <c r="F150" t="s">
        <v>524</v>
      </c>
      <c r="G150" s="28" t="s">
        <v>838</v>
      </c>
      <c r="H150" s="29">
        <f>INDEX(TransportationData!$A$6:$M$338,MATCH(FinalPayment_NoReorg!$F150,TransportationData!$A$6:$A$338,0),3)</f>
        <v>919.2</v>
      </c>
      <c r="I150" s="30">
        <f>INDEX(TransportationData!$A$6:$M$338,MATCH(FinalPayment_NoReorg!$F150,TransportationData!$A$6:$A$338,0),8)</f>
        <v>266411.53000000003</v>
      </c>
      <c r="J150" s="28">
        <f t="shared" si="19"/>
        <v>289.83</v>
      </c>
      <c r="K150" s="31">
        <f t="shared" si="16"/>
        <v>347.65</v>
      </c>
      <c r="L150" s="32">
        <f t="shared" si="17"/>
        <v>0</v>
      </c>
      <c r="M150" s="9">
        <f t="shared" si="20"/>
        <v>289.83</v>
      </c>
      <c r="N150" s="5">
        <f t="shared" si="18"/>
        <v>752</v>
      </c>
      <c r="O150" s="8">
        <f t="shared" si="21"/>
        <v>289.01</v>
      </c>
      <c r="Q150" s="5">
        <f t="shared" si="22"/>
        <v>0</v>
      </c>
      <c r="R150" s="8">
        <f t="shared" si="23"/>
        <v>289.01</v>
      </c>
    </row>
    <row r="151" spans="1:18" x14ac:dyDescent="0.55000000000000004">
      <c r="A151">
        <v>2019</v>
      </c>
      <c r="B151" t="s">
        <v>686</v>
      </c>
      <c r="C151" t="s">
        <v>523</v>
      </c>
      <c r="F151" t="s">
        <v>523</v>
      </c>
      <c r="G151" s="28" t="s">
        <v>839</v>
      </c>
      <c r="H151" s="29">
        <f>INDEX(TransportationData!$A$6:$M$338,MATCH(FinalPayment_NoReorg!$F151,TransportationData!$A$6:$A$338,0),3)</f>
        <v>7057.6</v>
      </c>
      <c r="I151" s="30">
        <f>INDEX(TransportationData!$A$6:$M$338,MATCH(FinalPayment_NoReorg!$F151,TransportationData!$A$6:$A$338,0),8)</f>
        <v>2817388.52</v>
      </c>
      <c r="J151" s="28">
        <f t="shared" si="19"/>
        <v>399.2</v>
      </c>
      <c r="K151" s="31">
        <f t="shared" si="16"/>
        <v>347.65</v>
      </c>
      <c r="L151" s="32">
        <f t="shared" si="17"/>
        <v>363819</v>
      </c>
      <c r="M151" s="9">
        <f t="shared" si="20"/>
        <v>347.65</v>
      </c>
      <c r="N151" s="5">
        <f t="shared" si="18"/>
        <v>5777</v>
      </c>
      <c r="O151" s="8">
        <f t="shared" si="21"/>
        <v>346.83</v>
      </c>
      <c r="Q151" s="5">
        <f t="shared" si="22"/>
        <v>0</v>
      </c>
      <c r="R151" s="8">
        <f t="shared" si="23"/>
        <v>346.83</v>
      </c>
    </row>
    <row r="152" spans="1:18" x14ac:dyDescent="0.55000000000000004">
      <c r="A152">
        <v>2019</v>
      </c>
      <c r="B152" t="s">
        <v>696</v>
      </c>
      <c r="C152" t="s">
        <v>522</v>
      </c>
      <c r="F152" t="s">
        <v>522</v>
      </c>
      <c r="G152" s="28" t="s">
        <v>840</v>
      </c>
      <c r="H152" s="29">
        <f>INDEX(TransportationData!$A$6:$M$338,MATCH(FinalPayment_NoReorg!$F152,TransportationData!$A$6:$A$338,0),3)</f>
        <v>1874.4</v>
      </c>
      <c r="I152" s="30">
        <f>INDEX(TransportationData!$A$6:$M$338,MATCH(FinalPayment_NoReorg!$F152,TransportationData!$A$6:$A$338,0),8)</f>
        <v>273515</v>
      </c>
      <c r="J152" s="28">
        <f t="shared" si="19"/>
        <v>145.91999999999999</v>
      </c>
      <c r="K152" s="31">
        <f t="shared" si="16"/>
        <v>347.65</v>
      </c>
      <c r="L152" s="32">
        <f t="shared" si="17"/>
        <v>0</v>
      </c>
      <c r="M152" s="9">
        <f t="shared" si="20"/>
        <v>145.91999999999999</v>
      </c>
      <c r="N152" s="5">
        <f t="shared" si="18"/>
        <v>1534</v>
      </c>
      <c r="O152" s="8">
        <f t="shared" si="21"/>
        <v>145.1</v>
      </c>
      <c r="Q152" s="5">
        <f t="shared" si="22"/>
        <v>0</v>
      </c>
      <c r="R152" s="8">
        <f t="shared" si="23"/>
        <v>145.1</v>
      </c>
    </row>
    <row r="153" spans="1:18" x14ac:dyDescent="0.55000000000000004">
      <c r="A153">
        <v>2019</v>
      </c>
      <c r="B153" t="s">
        <v>696</v>
      </c>
      <c r="C153" t="s">
        <v>521</v>
      </c>
      <c r="F153" t="s">
        <v>521</v>
      </c>
      <c r="G153" s="28" t="s">
        <v>841</v>
      </c>
      <c r="H153" s="29">
        <f>INDEX(TransportationData!$A$6:$M$338,MATCH(FinalPayment_NoReorg!$F153,TransportationData!$A$6:$A$338,0),3)</f>
        <v>332.6</v>
      </c>
      <c r="I153" s="30">
        <f>INDEX(TransportationData!$A$6:$M$338,MATCH(FinalPayment_NoReorg!$F153,TransportationData!$A$6:$A$338,0),8)</f>
        <v>196133.69</v>
      </c>
      <c r="J153" s="28">
        <f t="shared" si="19"/>
        <v>589.70000000000005</v>
      </c>
      <c r="K153" s="31">
        <f t="shared" si="16"/>
        <v>347.65</v>
      </c>
      <c r="L153" s="32">
        <f t="shared" si="17"/>
        <v>80506</v>
      </c>
      <c r="M153" s="9">
        <f t="shared" si="20"/>
        <v>347.65</v>
      </c>
      <c r="N153" s="5">
        <f t="shared" si="18"/>
        <v>272</v>
      </c>
      <c r="O153" s="8">
        <f t="shared" si="21"/>
        <v>346.83</v>
      </c>
      <c r="Q153" s="5">
        <f t="shared" si="22"/>
        <v>0</v>
      </c>
      <c r="R153" s="8">
        <f t="shared" si="23"/>
        <v>346.83</v>
      </c>
    </row>
    <row r="154" spans="1:18" x14ac:dyDescent="0.55000000000000004">
      <c r="A154">
        <v>2019</v>
      </c>
      <c r="B154" t="s">
        <v>692</v>
      </c>
      <c r="C154" t="s">
        <v>520</v>
      </c>
      <c r="F154" t="s">
        <v>520</v>
      </c>
      <c r="G154" s="28" t="s">
        <v>842</v>
      </c>
      <c r="H154" s="29">
        <f>INDEX(TransportationData!$A$6:$M$338,MATCH(FinalPayment_NoReorg!$F154,TransportationData!$A$6:$A$338,0),3)</f>
        <v>440.3</v>
      </c>
      <c r="I154" s="30">
        <f>INDEX(TransportationData!$A$6:$M$338,MATCH(FinalPayment_NoReorg!$F154,TransportationData!$A$6:$A$338,0),8)</f>
        <v>132204.29</v>
      </c>
      <c r="J154" s="28">
        <f t="shared" si="19"/>
        <v>300.26</v>
      </c>
      <c r="K154" s="31">
        <f t="shared" si="16"/>
        <v>347.65</v>
      </c>
      <c r="L154" s="32">
        <f t="shared" si="17"/>
        <v>0</v>
      </c>
      <c r="M154" s="9">
        <f t="shared" si="20"/>
        <v>300.26</v>
      </c>
      <c r="N154" s="5">
        <f t="shared" si="18"/>
        <v>360</v>
      </c>
      <c r="O154" s="8">
        <f t="shared" si="21"/>
        <v>299.44</v>
      </c>
      <c r="Q154" s="5">
        <f t="shared" si="22"/>
        <v>0</v>
      </c>
      <c r="R154" s="8">
        <f t="shared" si="23"/>
        <v>299.44</v>
      </c>
    </row>
    <row r="155" spans="1:18" x14ac:dyDescent="0.55000000000000004">
      <c r="A155">
        <v>2019</v>
      </c>
      <c r="B155" t="s">
        <v>686</v>
      </c>
      <c r="C155" t="s">
        <v>519</v>
      </c>
      <c r="F155" t="s">
        <v>519</v>
      </c>
      <c r="G155" s="28" t="s">
        <v>843</v>
      </c>
      <c r="H155" s="29">
        <f>INDEX(TransportationData!$A$6:$M$338,MATCH(FinalPayment_NoReorg!$F155,TransportationData!$A$6:$A$338,0),3)</f>
        <v>1757.7</v>
      </c>
      <c r="I155" s="30">
        <f>INDEX(TransportationData!$A$6:$M$338,MATCH(FinalPayment_NoReorg!$F155,TransportationData!$A$6:$A$338,0),8)</f>
        <v>461251.4</v>
      </c>
      <c r="J155" s="28">
        <f t="shared" si="19"/>
        <v>262.42</v>
      </c>
      <c r="K155" s="31">
        <f t="shared" si="16"/>
        <v>347.65</v>
      </c>
      <c r="L155" s="32">
        <f t="shared" si="17"/>
        <v>0</v>
      </c>
      <c r="M155" s="9">
        <f t="shared" si="20"/>
        <v>262.42</v>
      </c>
      <c r="N155" s="5">
        <f t="shared" si="18"/>
        <v>1439</v>
      </c>
      <c r="O155" s="8">
        <f t="shared" si="21"/>
        <v>261.60000000000002</v>
      </c>
      <c r="Q155" s="5">
        <f t="shared" si="22"/>
        <v>0</v>
      </c>
      <c r="R155" s="8">
        <f t="shared" si="23"/>
        <v>261.60000000000002</v>
      </c>
    </row>
    <row r="156" spans="1:18" x14ac:dyDescent="0.55000000000000004">
      <c r="A156">
        <v>2019</v>
      </c>
      <c r="B156" t="s">
        <v>689</v>
      </c>
      <c r="C156" t="s">
        <v>518</v>
      </c>
      <c r="F156" t="s">
        <v>518</v>
      </c>
      <c r="G156" s="28" t="s">
        <v>844</v>
      </c>
      <c r="H156" s="29">
        <f>INDEX(TransportationData!$A$6:$M$338,MATCH(FinalPayment_NoReorg!$F156,TransportationData!$A$6:$A$338,0),3)</f>
        <v>595.70000000000005</v>
      </c>
      <c r="I156" s="30">
        <f>INDEX(TransportationData!$A$6:$M$338,MATCH(FinalPayment_NoReorg!$F156,TransportationData!$A$6:$A$338,0),8)</f>
        <v>343854.26</v>
      </c>
      <c r="J156" s="28">
        <f t="shared" si="19"/>
        <v>577.23</v>
      </c>
      <c r="K156" s="31">
        <f t="shared" si="16"/>
        <v>347.65</v>
      </c>
      <c r="L156" s="32">
        <f t="shared" si="17"/>
        <v>136761</v>
      </c>
      <c r="M156" s="9">
        <f t="shared" si="20"/>
        <v>347.65</v>
      </c>
      <c r="N156" s="5">
        <f t="shared" si="18"/>
        <v>488</v>
      </c>
      <c r="O156" s="8">
        <f t="shared" si="21"/>
        <v>346.83</v>
      </c>
      <c r="Q156" s="5">
        <f t="shared" si="22"/>
        <v>0</v>
      </c>
      <c r="R156" s="8">
        <f t="shared" si="23"/>
        <v>346.83</v>
      </c>
    </row>
    <row r="157" spans="1:18" x14ac:dyDescent="0.55000000000000004">
      <c r="A157">
        <v>2019</v>
      </c>
      <c r="B157" t="s">
        <v>690</v>
      </c>
      <c r="C157" t="s">
        <v>517</v>
      </c>
      <c r="F157" t="s">
        <v>517</v>
      </c>
      <c r="G157" s="28" t="s">
        <v>845</v>
      </c>
      <c r="H157" s="29">
        <f>INDEX(TransportationData!$A$6:$M$338,MATCH(FinalPayment_NoReorg!$F157,TransportationData!$A$6:$A$338,0),3)</f>
        <v>314.2</v>
      </c>
      <c r="I157" s="30">
        <f>INDEX(TransportationData!$A$6:$M$338,MATCH(FinalPayment_NoReorg!$F157,TransportationData!$A$6:$A$338,0),8)</f>
        <v>157164.88</v>
      </c>
      <c r="J157" s="28">
        <f t="shared" si="19"/>
        <v>500.21</v>
      </c>
      <c r="K157" s="31">
        <f t="shared" si="16"/>
        <v>347.65</v>
      </c>
      <c r="L157" s="32">
        <f t="shared" si="17"/>
        <v>47934</v>
      </c>
      <c r="M157" s="9">
        <f t="shared" si="20"/>
        <v>347.65</v>
      </c>
      <c r="N157" s="5">
        <f t="shared" si="18"/>
        <v>257</v>
      </c>
      <c r="O157" s="8">
        <f t="shared" si="21"/>
        <v>346.83</v>
      </c>
      <c r="Q157" s="5">
        <f t="shared" si="22"/>
        <v>0</v>
      </c>
      <c r="R157" s="8">
        <f t="shared" si="23"/>
        <v>346.83</v>
      </c>
    </row>
    <row r="158" spans="1:18" x14ac:dyDescent="0.55000000000000004">
      <c r="A158">
        <v>2019</v>
      </c>
      <c r="B158" t="s">
        <v>694</v>
      </c>
      <c r="C158" t="s">
        <v>516</v>
      </c>
      <c r="F158" t="s">
        <v>516</v>
      </c>
      <c r="G158" s="28" t="s">
        <v>846</v>
      </c>
      <c r="H158" s="29">
        <f>INDEX(TransportationData!$A$6:$M$338,MATCH(FinalPayment_NoReorg!$F158,TransportationData!$A$6:$A$338,0),3)</f>
        <v>255</v>
      </c>
      <c r="I158" s="30">
        <f>INDEX(TransportationData!$A$6:$M$338,MATCH(FinalPayment_NoReorg!$F158,TransportationData!$A$6:$A$338,0),8)</f>
        <v>86594.209999999992</v>
      </c>
      <c r="J158" s="28">
        <f t="shared" si="19"/>
        <v>339.59</v>
      </c>
      <c r="K158" s="31">
        <f t="shared" si="16"/>
        <v>347.65</v>
      </c>
      <c r="L158" s="32">
        <f t="shared" si="17"/>
        <v>0</v>
      </c>
      <c r="M158" s="9">
        <f t="shared" si="20"/>
        <v>339.59</v>
      </c>
      <c r="N158" s="5">
        <f t="shared" si="18"/>
        <v>209</v>
      </c>
      <c r="O158" s="8">
        <f t="shared" si="21"/>
        <v>338.77</v>
      </c>
      <c r="Q158" s="5">
        <f t="shared" si="22"/>
        <v>0</v>
      </c>
      <c r="R158" s="8">
        <f t="shared" si="23"/>
        <v>338.77</v>
      </c>
    </row>
    <row r="159" spans="1:18" x14ac:dyDescent="0.55000000000000004">
      <c r="A159">
        <v>2019</v>
      </c>
      <c r="B159" t="s">
        <v>692</v>
      </c>
      <c r="C159" t="s">
        <v>515</v>
      </c>
      <c r="F159" t="s">
        <v>515</v>
      </c>
      <c r="G159" s="28" t="s">
        <v>847</v>
      </c>
      <c r="H159" s="29">
        <f>INDEX(TransportationData!$A$6:$M$338,MATCH(FinalPayment_NoReorg!$F159,TransportationData!$A$6:$A$338,0),3)</f>
        <v>615.29999999999995</v>
      </c>
      <c r="I159" s="30">
        <f>INDEX(TransportationData!$A$6:$M$338,MATCH(FinalPayment_NoReorg!$F159,TransportationData!$A$6:$A$338,0),8)</f>
        <v>390997</v>
      </c>
      <c r="J159" s="28">
        <f t="shared" si="19"/>
        <v>635.46</v>
      </c>
      <c r="K159" s="31">
        <f t="shared" si="16"/>
        <v>347.65</v>
      </c>
      <c r="L159" s="32">
        <f t="shared" si="17"/>
        <v>177089</v>
      </c>
      <c r="M159" s="9">
        <f t="shared" si="20"/>
        <v>347.65</v>
      </c>
      <c r="N159" s="5">
        <f t="shared" si="18"/>
        <v>504</v>
      </c>
      <c r="O159" s="8">
        <f t="shared" si="21"/>
        <v>346.83</v>
      </c>
      <c r="Q159" s="5">
        <f t="shared" si="22"/>
        <v>0</v>
      </c>
      <c r="R159" s="8">
        <f t="shared" si="23"/>
        <v>346.83</v>
      </c>
    </row>
    <row r="160" spans="1:18" x14ac:dyDescent="0.55000000000000004">
      <c r="A160">
        <v>2019</v>
      </c>
      <c r="B160" t="s">
        <v>692</v>
      </c>
      <c r="C160" t="s">
        <v>514</v>
      </c>
      <c r="F160" t="s">
        <v>514</v>
      </c>
      <c r="G160" s="28" t="s">
        <v>848</v>
      </c>
      <c r="H160" s="29">
        <f>INDEX(TransportationData!$A$6:$M$338,MATCH(FinalPayment_NoReorg!$F160,TransportationData!$A$6:$A$338,0),3)</f>
        <v>2254.3000000000002</v>
      </c>
      <c r="I160" s="30">
        <f>INDEX(TransportationData!$A$6:$M$338,MATCH(FinalPayment_NoReorg!$F160,TransportationData!$A$6:$A$338,0),8)</f>
        <v>687406.75</v>
      </c>
      <c r="J160" s="28">
        <f t="shared" si="19"/>
        <v>304.93</v>
      </c>
      <c r="K160" s="31">
        <f t="shared" si="16"/>
        <v>347.65</v>
      </c>
      <c r="L160" s="32">
        <f t="shared" si="17"/>
        <v>0</v>
      </c>
      <c r="M160" s="9">
        <f t="shared" si="20"/>
        <v>304.93</v>
      </c>
      <c r="N160" s="5">
        <f t="shared" si="18"/>
        <v>1845</v>
      </c>
      <c r="O160" s="8">
        <f t="shared" si="21"/>
        <v>304.11</v>
      </c>
      <c r="Q160" s="5">
        <f t="shared" si="22"/>
        <v>0</v>
      </c>
      <c r="R160" s="8">
        <f t="shared" si="23"/>
        <v>304.11</v>
      </c>
    </row>
    <row r="161" spans="1:18" x14ac:dyDescent="0.55000000000000004">
      <c r="A161">
        <v>2019</v>
      </c>
      <c r="B161" t="s">
        <v>690</v>
      </c>
      <c r="C161" t="s">
        <v>513</v>
      </c>
      <c r="F161" t="s">
        <v>513</v>
      </c>
      <c r="G161" s="28" t="s">
        <v>849</v>
      </c>
      <c r="H161" s="29">
        <f>INDEX(TransportationData!$A$6:$M$338,MATCH(FinalPayment_NoReorg!$F161,TransportationData!$A$6:$A$338,0),3)</f>
        <v>447.7</v>
      </c>
      <c r="I161" s="30">
        <f>INDEX(TransportationData!$A$6:$M$338,MATCH(FinalPayment_NoReorg!$F161,TransportationData!$A$6:$A$338,0),8)</f>
        <v>122846.23</v>
      </c>
      <c r="J161" s="28">
        <f t="shared" si="19"/>
        <v>274.39</v>
      </c>
      <c r="K161" s="31">
        <f t="shared" si="16"/>
        <v>347.65</v>
      </c>
      <c r="L161" s="32">
        <f t="shared" si="17"/>
        <v>0</v>
      </c>
      <c r="M161" s="9">
        <f t="shared" si="20"/>
        <v>274.39</v>
      </c>
      <c r="N161" s="5">
        <f t="shared" si="18"/>
        <v>366</v>
      </c>
      <c r="O161" s="8">
        <f t="shared" si="21"/>
        <v>273.58</v>
      </c>
      <c r="Q161" s="5">
        <f t="shared" si="22"/>
        <v>0</v>
      </c>
      <c r="R161" s="8">
        <f t="shared" si="23"/>
        <v>273.58</v>
      </c>
    </row>
    <row r="162" spans="1:18" x14ac:dyDescent="0.55000000000000004">
      <c r="A162">
        <v>2019</v>
      </c>
      <c r="B162" t="s">
        <v>690</v>
      </c>
      <c r="C162" t="s">
        <v>512</v>
      </c>
      <c r="F162" t="s">
        <v>512</v>
      </c>
      <c r="G162" s="28" t="s">
        <v>850</v>
      </c>
      <c r="H162" s="29">
        <f>INDEX(TransportationData!$A$6:$M$338,MATCH(FinalPayment_NoReorg!$F162,TransportationData!$A$6:$A$338,0),3)</f>
        <v>2542.8000000000002</v>
      </c>
      <c r="I162" s="30">
        <f>INDEX(TransportationData!$A$6:$M$338,MATCH(FinalPayment_NoReorg!$F162,TransportationData!$A$6:$A$338,0),8)</f>
        <v>1033060.54</v>
      </c>
      <c r="J162" s="28">
        <f t="shared" si="19"/>
        <v>406.27</v>
      </c>
      <c r="K162" s="31">
        <f t="shared" si="16"/>
        <v>347.65</v>
      </c>
      <c r="L162" s="32">
        <f t="shared" si="17"/>
        <v>149059</v>
      </c>
      <c r="M162" s="9">
        <f t="shared" si="20"/>
        <v>347.65</v>
      </c>
      <c r="N162" s="5">
        <f t="shared" si="18"/>
        <v>2081</v>
      </c>
      <c r="O162" s="8">
        <f t="shared" si="21"/>
        <v>346.83</v>
      </c>
      <c r="Q162" s="5">
        <f t="shared" si="22"/>
        <v>0</v>
      </c>
      <c r="R162" s="8">
        <f t="shared" si="23"/>
        <v>346.83</v>
      </c>
    </row>
    <row r="163" spans="1:18" x14ac:dyDescent="0.55000000000000004">
      <c r="A163">
        <v>2019</v>
      </c>
      <c r="B163" t="s">
        <v>698</v>
      </c>
      <c r="C163" t="s">
        <v>510</v>
      </c>
      <c r="F163" t="s">
        <v>510</v>
      </c>
      <c r="G163" s="28" t="s">
        <v>851</v>
      </c>
      <c r="H163" s="29">
        <f>INDEX(TransportationData!$A$6:$M$338,MATCH(FinalPayment_NoReorg!$F163,TransportationData!$A$6:$A$338,0),3)</f>
        <v>7556.7</v>
      </c>
      <c r="I163" s="30">
        <f>INDEX(TransportationData!$A$6:$M$338,MATCH(FinalPayment_NoReorg!$F163,TransportationData!$A$6:$A$338,0),8)</f>
        <v>2088190.81</v>
      </c>
      <c r="J163" s="28">
        <f t="shared" si="19"/>
        <v>276.33999999999997</v>
      </c>
      <c r="K163" s="31">
        <f t="shared" si="16"/>
        <v>347.65</v>
      </c>
      <c r="L163" s="32">
        <f t="shared" si="17"/>
        <v>0</v>
      </c>
      <c r="M163" s="9">
        <f t="shared" si="20"/>
        <v>276.33999999999997</v>
      </c>
      <c r="N163" s="5">
        <f t="shared" si="18"/>
        <v>6186</v>
      </c>
      <c r="O163" s="8">
        <f t="shared" si="21"/>
        <v>275.52</v>
      </c>
      <c r="Q163" s="5">
        <f t="shared" si="22"/>
        <v>0</v>
      </c>
      <c r="R163" s="8">
        <f t="shared" si="23"/>
        <v>275.52</v>
      </c>
    </row>
    <row r="164" spans="1:18" x14ac:dyDescent="0.55000000000000004">
      <c r="A164">
        <v>2019</v>
      </c>
      <c r="B164" t="s">
        <v>698</v>
      </c>
      <c r="C164" t="s">
        <v>509</v>
      </c>
      <c r="F164" t="s">
        <v>509</v>
      </c>
      <c r="G164" s="28" t="s">
        <v>852</v>
      </c>
      <c r="H164" s="29">
        <f>INDEX(TransportationData!$A$6:$M$338,MATCH(FinalPayment_NoReorg!$F164,TransportationData!$A$6:$A$338,0),3)</f>
        <v>636.79999999999995</v>
      </c>
      <c r="I164" s="30">
        <f>INDEX(TransportationData!$A$6:$M$338,MATCH(FinalPayment_NoReorg!$F164,TransportationData!$A$6:$A$338,0),8)</f>
        <v>187803.50999999998</v>
      </c>
      <c r="J164" s="28">
        <f t="shared" si="19"/>
        <v>294.92</v>
      </c>
      <c r="K164" s="31">
        <f t="shared" si="16"/>
        <v>347.65</v>
      </c>
      <c r="L164" s="32">
        <f t="shared" si="17"/>
        <v>0</v>
      </c>
      <c r="M164" s="9">
        <f t="shared" si="20"/>
        <v>294.92</v>
      </c>
      <c r="N164" s="5">
        <f t="shared" si="18"/>
        <v>521</v>
      </c>
      <c r="O164" s="8">
        <f t="shared" si="21"/>
        <v>294.10000000000002</v>
      </c>
      <c r="Q164" s="5">
        <f t="shared" si="22"/>
        <v>0</v>
      </c>
      <c r="R164" s="8">
        <f t="shared" si="23"/>
        <v>294.10000000000002</v>
      </c>
    </row>
    <row r="165" spans="1:18" x14ac:dyDescent="0.55000000000000004">
      <c r="A165">
        <v>2019</v>
      </c>
      <c r="B165" t="s">
        <v>690</v>
      </c>
      <c r="C165" t="s">
        <v>508</v>
      </c>
      <c r="F165" t="s">
        <v>508</v>
      </c>
      <c r="G165" s="28" t="s">
        <v>853</v>
      </c>
      <c r="H165" s="29">
        <f>INDEX(TransportationData!$A$6:$M$338,MATCH(FinalPayment_NoReorg!$F165,TransportationData!$A$6:$A$338,0),3)</f>
        <v>565.1</v>
      </c>
      <c r="I165" s="30">
        <f>INDEX(TransportationData!$A$6:$M$338,MATCH(FinalPayment_NoReorg!$F165,TransportationData!$A$6:$A$338,0),8)</f>
        <v>233456.16</v>
      </c>
      <c r="J165" s="28">
        <f t="shared" si="19"/>
        <v>413.12</v>
      </c>
      <c r="K165" s="31">
        <f t="shared" si="16"/>
        <v>347.65</v>
      </c>
      <c r="L165" s="32">
        <f t="shared" si="17"/>
        <v>36997</v>
      </c>
      <c r="M165" s="9">
        <f t="shared" si="20"/>
        <v>347.65</v>
      </c>
      <c r="N165" s="5">
        <f t="shared" si="18"/>
        <v>463</v>
      </c>
      <c r="O165" s="8">
        <f t="shared" si="21"/>
        <v>346.83</v>
      </c>
      <c r="Q165" s="5">
        <f t="shared" si="22"/>
        <v>0</v>
      </c>
      <c r="R165" s="8">
        <f t="shared" si="23"/>
        <v>346.83</v>
      </c>
    </row>
    <row r="166" spans="1:18" x14ac:dyDescent="0.55000000000000004">
      <c r="A166">
        <v>2019</v>
      </c>
      <c r="B166" t="s">
        <v>698</v>
      </c>
      <c r="C166" t="s">
        <v>507</v>
      </c>
      <c r="F166" t="s">
        <v>507</v>
      </c>
      <c r="G166" s="28" t="s">
        <v>854</v>
      </c>
      <c r="H166" s="29">
        <f>INDEX(TransportationData!$A$6:$M$338,MATCH(FinalPayment_NoReorg!$F166,TransportationData!$A$6:$A$338,0),3)</f>
        <v>363.7</v>
      </c>
      <c r="I166" s="30">
        <f>INDEX(TransportationData!$A$6:$M$338,MATCH(FinalPayment_NoReorg!$F166,TransportationData!$A$6:$A$338,0),8)</f>
        <v>116908.79000000001</v>
      </c>
      <c r="J166" s="28">
        <f t="shared" si="19"/>
        <v>321.44</v>
      </c>
      <c r="K166" s="31">
        <f t="shared" si="16"/>
        <v>347.65</v>
      </c>
      <c r="L166" s="32">
        <f t="shared" si="17"/>
        <v>0</v>
      </c>
      <c r="M166" s="9">
        <f t="shared" si="20"/>
        <v>321.44</v>
      </c>
      <c r="N166" s="5">
        <f t="shared" si="18"/>
        <v>298</v>
      </c>
      <c r="O166" s="8">
        <f t="shared" si="21"/>
        <v>320.62</v>
      </c>
      <c r="Q166" s="5">
        <f t="shared" si="22"/>
        <v>0</v>
      </c>
      <c r="R166" s="8">
        <f t="shared" si="23"/>
        <v>320.62</v>
      </c>
    </row>
    <row r="167" spans="1:18" x14ac:dyDescent="0.55000000000000004">
      <c r="A167">
        <v>2019</v>
      </c>
      <c r="B167" t="s">
        <v>707</v>
      </c>
      <c r="C167" t="s">
        <v>506</v>
      </c>
      <c r="F167" t="s">
        <v>506</v>
      </c>
      <c r="G167" s="28" t="s">
        <v>855</v>
      </c>
      <c r="H167" s="29">
        <f>INDEX(TransportationData!$A$6:$M$338,MATCH(FinalPayment_NoReorg!$F167,TransportationData!$A$6:$A$338,0),3)</f>
        <v>711.7</v>
      </c>
      <c r="I167" s="30">
        <f>INDEX(TransportationData!$A$6:$M$338,MATCH(FinalPayment_NoReorg!$F167,TransportationData!$A$6:$A$338,0),8)</f>
        <v>440882.94</v>
      </c>
      <c r="J167" s="28">
        <f t="shared" si="19"/>
        <v>619.48</v>
      </c>
      <c r="K167" s="31">
        <f t="shared" si="16"/>
        <v>347.65</v>
      </c>
      <c r="L167" s="32">
        <f t="shared" si="17"/>
        <v>193461</v>
      </c>
      <c r="M167" s="9">
        <f t="shared" si="20"/>
        <v>347.65</v>
      </c>
      <c r="N167" s="5">
        <f t="shared" si="18"/>
        <v>583</v>
      </c>
      <c r="O167" s="8">
        <f t="shared" si="21"/>
        <v>346.83</v>
      </c>
      <c r="Q167" s="5">
        <f t="shared" si="22"/>
        <v>0</v>
      </c>
      <c r="R167" s="8">
        <f t="shared" si="23"/>
        <v>346.83</v>
      </c>
    </row>
    <row r="168" spans="1:18" x14ac:dyDescent="0.55000000000000004">
      <c r="A168">
        <v>2019</v>
      </c>
      <c r="B168" t="s">
        <v>694</v>
      </c>
      <c r="C168" t="s">
        <v>505</v>
      </c>
      <c r="F168" t="s">
        <v>505</v>
      </c>
      <c r="G168" s="28" t="s">
        <v>856</v>
      </c>
      <c r="H168" s="29">
        <f>INDEX(TransportationData!$A$6:$M$338,MATCH(FinalPayment_NoReorg!$F168,TransportationData!$A$6:$A$338,0),3)</f>
        <v>164.1</v>
      </c>
      <c r="I168" s="30">
        <f>INDEX(TransportationData!$A$6:$M$338,MATCH(FinalPayment_NoReorg!$F168,TransportationData!$A$6:$A$338,0),8)</f>
        <v>121555.29000000001</v>
      </c>
      <c r="J168" s="28">
        <f t="shared" si="19"/>
        <v>740.74</v>
      </c>
      <c r="K168" s="31">
        <f t="shared" si="16"/>
        <v>347.65</v>
      </c>
      <c r="L168" s="32">
        <f t="shared" si="17"/>
        <v>64506</v>
      </c>
      <c r="M168" s="9">
        <f t="shared" si="20"/>
        <v>347.65</v>
      </c>
      <c r="N168" s="5">
        <f t="shared" si="18"/>
        <v>134</v>
      </c>
      <c r="O168" s="8">
        <f t="shared" si="21"/>
        <v>346.83</v>
      </c>
      <c r="Q168" s="5">
        <f t="shared" si="22"/>
        <v>0</v>
      </c>
      <c r="R168" s="8">
        <f t="shared" si="23"/>
        <v>346.83</v>
      </c>
    </row>
    <row r="169" spans="1:18" x14ac:dyDescent="0.55000000000000004">
      <c r="A169">
        <v>2019</v>
      </c>
      <c r="B169" t="s">
        <v>686</v>
      </c>
      <c r="C169" t="s">
        <v>504</v>
      </c>
      <c r="F169" t="s">
        <v>504</v>
      </c>
      <c r="G169" s="28" t="s">
        <v>857</v>
      </c>
      <c r="H169" s="29">
        <f>INDEX(TransportationData!$A$6:$M$338,MATCH(FinalPayment_NoReorg!$F169,TransportationData!$A$6:$A$338,0),3)</f>
        <v>463.3</v>
      </c>
      <c r="I169" s="30">
        <f>INDEX(TransportationData!$A$6:$M$338,MATCH(FinalPayment_NoReorg!$F169,TransportationData!$A$6:$A$338,0),8)</f>
        <v>218407.21000000002</v>
      </c>
      <c r="J169" s="28">
        <f t="shared" si="19"/>
        <v>471.42</v>
      </c>
      <c r="K169" s="31">
        <f t="shared" si="16"/>
        <v>347.65</v>
      </c>
      <c r="L169" s="32">
        <f t="shared" si="17"/>
        <v>57343</v>
      </c>
      <c r="M169" s="9">
        <f t="shared" si="20"/>
        <v>347.65</v>
      </c>
      <c r="N169" s="5">
        <f t="shared" si="18"/>
        <v>379</v>
      </c>
      <c r="O169" s="8">
        <f t="shared" si="21"/>
        <v>346.83</v>
      </c>
      <c r="Q169" s="5">
        <f t="shared" si="22"/>
        <v>0</v>
      </c>
      <c r="R169" s="8">
        <f t="shared" si="23"/>
        <v>346.83</v>
      </c>
    </row>
    <row r="170" spans="1:18" x14ac:dyDescent="0.55000000000000004">
      <c r="A170">
        <v>2019</v>
      </c>
      <c r="B170" t="s">
        <v>686</v>
      </c>
      <c r="C170" t="s">
        <v>503</v>
      </c>
      <c r="F170" t="s">
        <v>503</v>
      </c>
      <c r="G170" s="28" t="s">
        <v>858</v>
      </c>
      <c r="H170" s="29">
        <f>INDEX(TransportationData!$A$6:$M$338,MATCH(FinalPayment_NoReorg!$F170,TransportationData!$A$6:$A$338,0),3)</f>
        <v>662.3</v>
      </c>
      <c r="I170" s="30">
        <f>INDEX(TransportationData!$A$6:$M$338,MATCH(FinalPayment_NoReorg!$F170,TransportationData!$A$6:$A$338,0),8)</f>
        <v>153550.81</v>
      </c>
      <c r="J170" s="28">
        <f t="shared" si="19"/>
        <v>231.84</v>
      </c>
      <c r="K170" s="31">
        <f t="shared" si="16"/>
        <v>347.65</v>
      </c>
      <c r="L170" s="32">
        <f t="shared" si="17"/>
        <v>0</v>
      </c>
      <c r="M170" s="9">
        <f t="shared" si="20"/>
        <v>231.84</v>
      </c>
      <c r="N170" s="5">
        <f t="shared" si="18"/>
        <v>542</v>
      </c>
      <c r="O170" s="8">
        <f t="shared" si="21"/>
        <v>231.03</v>
      </c>
      <c r="Q170" s="5">
        <f t="shared" si="22"/>
        <v>0</v>
      </c>
      <c r="R170" s="8">
        <f t="shared" si="23"/>
        <v>231.03</v>
      </c>
    </row>
    <row r="171" spans="1:18" x14ac:dyDescent="0.55000000000000004">
      <c r="A171">
        <v>2019</v>
      </c>
      <c r="B171" t="s">
        <v>694</v>
      </c>
      <c r="C171" t="s">
        <v>501</v>
      </c>
      <c r="F171" t="s">
        <v>501</v>
      </c>
      <c r="G171" s="28" t="s">
        <v>859</v>
      </c>
      <c r="H171" s="29">
        <f>INDEX(TransportationData!$A$6:$M$338,MATCH(FinalPayment_NoReorg!$F171,TransportationData!$A$6:$A$338,0),3)</f>
        <v>655.20000000000005</v>
      </c>
      <c r="I171" s="30">
        <f>INDEX(TransportationData!$A$6:$M$338,MATCH(FinalPayment_NoReorg!$F171,TransportationData!$A$6:$A$338,0),8)</f>
        <v>576778.54999999993</v>
      </c>
      <c r="J171" s="28">
        <f t="shared" si="19"/>
        <v>880.31</v>
      </c>
      <c r="K171" s="31">
        <f t="shared" si="16"/>
        <v>347.65</v>
      </c>
      <c r="L171" s="32">
        <f t="shared" si="17"/>
        <v>348999</v>
      </c>
      <c r="M171" s="9">
        <f t="shared" si="20"/>
        <v>347.65</v>
      </c>
      <c r="N171" s="5">
        <f t="shared" si="18"/>
        <v>536</v>
      </c>
      <c r="O171" s="8">
        <f t="shared" si="21"/>
        <v>346.83</v>
      </c>
      <c r="Q171" s="5">
        <f t="shared" si="22"/>
        <v>0</v>
      </c>
      <c r="R171" s="8">
        <f t="shared" si="23"/>
        <v>346.83</v>
      </c>
    </row>
    <row r="172" spans="1:18" x14ac:dyDescent="0.55000000000000004">
      <c r="A172">
        <v>2019</v>
      </c>
      <c r="B172" t="s">
        <v>692</v>
      </c>
      <c r="C172" t="s">
        <v>500</v>
      </c>
      <c r="D172" t="s">
        <v>860</v>
      </c>
      <c r="F172" t="s">
        <v>500</v>
      </c>
      <c r="G172" s="28" t="s">
        <v>861</v>
      </c>
      <c r="H172" s="29">
        <f>INDEX(TransportationData!$A$6:$M$338,MATCH(FinalPayment_NoReorg!$F172,TransportationData!$A$6:$A$338,0),3)</f>
        <v>613.79999999999995</v>
      </c>
      <c r="I172" s="30">
        <f>INDEX(TransportationData!$A$6:$M$338,MATCH(FinalPayment_NoReorg!$F172,TransportationData!$A$6:$A$338,0),8)</f>
        <v>477815.89</v>
      </c>
      <c r="J172" s="28">
        <f t="shared" si="19"/>
        <v>778.46</v>
      </c>
      <c r="K172" s="31">
        <f t="shared" si="16"/>
        <v>347.65</v>
      </c>
      <c r="L172" s="32">
        <f t="shared" si="17"/>
        <v>264431</v>
      </c>
      <c r="M172" s="9">
        <f t="shared" si="20"/>
        <v>347.65</v>
      </c>
      <c r="N172" s="5">
        <f t="shared" si="18"/>
        <v>502</v>
      </c>
      <c r="O172" s="8">
        <f t="shared" si="21"/>
        <v>346.83</v>
      </c>
      <c r="Q172" s="5">
        <f t="shared" si="22"/>
        <v>0</v>
      </c>
      <c r="R172" s="8">
        <f t="shared" si="23"/>
        <v>346.83</v>
      </c>
    </row>
    <row r="173" spans="1:18" x14ac:dyDescent="0.55000000000000004">
      <c r="A173">
        <v>2019</v>
      </c>
      <c r="B173" t="s">
        <v>707</v>
      </c>
      <c r="C173" t="s">
        <v>499</v>
      </c>
      <c r="F173" t="s">
        <v>499</v>
      </c>
      <c r="G173" s="28" t="s">
        <v>862</v>
      </c>
      <c r="H173" s="29">
        <f>INDEX(TransportationData!$A$6:$M$338,MATCH(FinalPayment_NoReorg!$F173,TransportationData!$A$6:$A$338,0),3)</f>
        <v>1305.3</v>
      </c>
      <c r="I173" s="30">
        <f>INDEX(TransportationData!$A$6:$M$338,MATCH(FinalPayment_NoReorg!$F173,TransportationData!$A$6:$A$338,0),8)</f>
        <v>460248.97000000003</v>
      </c>
      <c r="J173" s="28">
        <f t="shared" si="19"/>
        <v>352.6</v>
      </c>
      <c r="K173" s="31">
        <f t="shared" si="16"/>
        <v>347.65</v>
      </c>
      <c r="L173" s="32">
        <f t="shared" si="17"/>
        <v>6461</v>
      </c>
      <c r="M173" s="9">
        <f t="shared" si="20"/>
        <v>347.65</v>
      </c>
      <c r="N173" s="5">
        <f t="shared" si="18"/>
        <v>1068</v>
      </c>
      <c r="O173" s="8">
        <f t="shared" si="21"/>
        <v>346.83</v>
      </c>
      <c r="Q173" s="5">
        <f t="shared" si="22"/>
        <v>0</v>
      </c>
      <c r="R173" s="8">
        <f t="shared" si="23"/>
        <v>346.83</v>
      </c>
    </row>
    <row r="174" spans="1:18" x14ac:dyDescent="0.55000000000000004">
      <c r="A174">
        <v>2019</v>
      </c>
      <c r="B174" t="s">
        <v>703</v>
      </c>
      <c r="C174" t="s">
        <v>498</v>
      </c>
      <c r="F174" t="s">
        <v>498</v>
      </c>
      <c r="G174" s="28" t="s">
        <v>863</v>
      </c>
      <c r="H174" s="29">
        <f>INDEX(TransportationData!$A$6:$M$338,MATCH(FinalPayment_NoReorg!$F174,TransportationData!$A$6:$A$338,0),3)</f>
        <v>699.4</v>
      </c>
      <c r="I174" s="30">
        <f>INDEX(TransportationData!$A$6:$M$338,MATCH(FinalPayment_NoReorg!$F174,TransportationData!$A$6:$A$338,0),8)</f>
        <v>358784.87</v>
      </c>
      <c r="J174" s="28">
        <f t="shared" si="19"/>
        <v>512.99</v>
      </c>
      <c r="K174" s="31">
        <f t="shared" si="16"/>
        <v>347.65</v>
      </c>
      <c r="L174" s="32">
        <f t="shared" si="17"/>
        <v>115639</v>
      </c>
      <c r="M174" s="9">
        <f t="shared" si="20"/>
        <v>347.65</v>
      </c>
      <c r="N174" s="5">
        <f t="shared" si="18"/>
        <v>573</v>
      </c>
      <c r="O174" s="8">
        <f t="shared" si="21"/>
        <v>346.83</v>
      </c>
      <c r="Q174" s="5">
        <f t="shared" si="22"/>
        <v>0</v>
      </c>
      <c r="R174" s="8">
        <f t="shared" si="23"/>
        <v>346.83</v>
      </c>
    </row>
    <row r="175" spans="1:18" x14ac:dyDescent="0.55000000000000004">
      <c r="A175">
        <v>2019</v>
      </c>
      <c r="B175" t="s">
        <v>692</v>
      </c>
      <c r="C175" t="s">
        <v>497</v>
      </c>
      <c r="F175" t="s">
        <v>497</v>
      </c>
      <c r="G175" s="28" t="s">
        <v>864</v>
      </c>
      <c r="H175" s="29">
        <f>INDEX(TransportationData!$A$6:$M$338,MATCH(FinalPayment_NoReorg!$F175,TransportationData!$A$6:$A$338,0),3)</f>
        <v>421.3</v>
      </c>
      <c r="I175" s="30">
        <f>INDEX(TransportationData!$A$6:$M$338,MATCH(FinalPayment_NoReorg!$F175,TransportationData!$A$6:$A$338,0),8)</f>
        <v>200525.9</v>
      </c>
      <c r="J175" s="28">
        <f t="shared" si="19"/>
        <v>475.97</v>
      </c>
      <c r="K175" s="31">
        <f t="shared" si="16"/>
        <v>347.65</v>
      </c>
      <c r="L175" s="32">
        <f t="shared" si="17"/>
        <v>54061</v>
      </c>
      <c r="M175" s="9">
        <f t="shared" si="20"/>
        <v>347.65</v>
      </c>
      <c r="N175" s="5">
        <f t="shared" si="18"/>
        <v>345</v>
      </c>
      <c r="O175" s="8">
        <f t="shared" si="21"/>
        <v>346.83</v>
      </c>
      <c r="Q175" s="5">
        <f t="shared" si="22"/>
        <v>0</v>
      </c>
      <c r="R175" s="8">
        <f t="shared" si="23"/>
        <v>346.83</v>
      </c>
    </row>
    <row r="176" spans="1:18" x14ac:dyDescent="0.55000000000000004">
      <c r="A176">
        <v>2019</v>
      </c>
      <c r="B176" t="s">
        <v>698</v>
      </c>
      <c r="C176" t="s">
        <v>496</v>
      </c>
      <c r="F176" t="s">
        <v>496</v>
      </c>
      <c r="G176" s="28" t="s">
        <v>865</v>
      </c>
      <c r="H176" s="29">
        <f>INDEX(TransportationData!$A$6:$M$338,MATCH(FinalPayment_NoReorg!$F176,TransportationData!$A$6:$A$338,0),3)</f>
        <v>1931.9</v>
      </c>
      <c r="I176" s="30">
        <f>INDEX(TransportationData!$A$6:$M$338,MATCH(FinalPayment_NoReorg!$F176,TransportationData!$A$6:$A$338,0),8)</f>
        <v>300140.40000000002</v>
      </c>
      <c r="J176" s="28">
        <f t="shared" si="19"/>
        <v>155.36000000000001</v>
      </c>
      <c r="K176" s="31">
        <f t="shared" si="16"/>
        <v>347.65</v>
      </c>
      <c r="L176" s="32">
        <f t="shared" si="17"/>
        <v>0</v>
      </c>
      <c r="M176" s="9">
        <f t="shared" si="20"/>
        <v>155.36000000000001</v>
      </c>
      <c r="N176" s="5">
        <f t="shared" si="18"/>
        <v>1581</v>
      </c>
      <c r="O176" s="8">
        <f t="shared" si="21"/>
        <v>154.54</v>
      </c>
      <c r="Q176" s="5">
        <f t="shared" si="22"/>
        <v>0</v>
      </c>
      <c r="R176" s="8">
        <f t="shared" si="23"/>
        <v>154.54</v>
      </c>
    </row>
    <row r="177" spans="1:18" x14ac:dyDescent="0.55000000000000004">
      <c r="A177">
        <v>2019</v>
      </c>
      <c r="B177" t="s">
        <v>689</v>
      </c>
      <c r="C177" t="s">
        <v>495</v>
      </c>
      <c r="F177" t="s">
        <v>495</v>
      </c>
      <c r="G177" s="28" t="s">
        <v>866</v>
      </c>
      <c r="H177" s="29">
        <f>INDEX(TransportationData!$A$6:$M$338,MATCH(FinalPayment_NoReorg!$F177,TransportationData!$A$6:$A$338,0),3)</f>
        <v>5360.9000000000005</v>
      </c>
      <c r="I177" s="30">
        <f>INDEX(TransportationData!$A$6:$M$338,MATCH(FinalPayment_NoReorg!$F177,TransportationData!$A$6:$A$338,0),8)</f>
        <v>1376368.9400000002</v>
      </c>
      <c r="J177" s="28">
        <f t="shared" si="19"/>
        <v>256.74</v>
      </c>
      <c r="K177" s="31">
        <f t="shared" si="16"/>
        <v>347.65</v>
      </c>
      <c r="L177" s="32">
        <f t="shared" si="17"/>
        <v>0</v>
      </c>
      <c r="M177" s="9">
        <f t="shared" si="20"/>
        <v>256.74</v>
      </c>
      <c r="N177" s="5">
        <f t="shared" si="18"/>
        <v>4388</v>
      </c>
      <c r="O177" s="8">
        <f t="shared" si="21"/>
        <v>255.92</v>
      </c>
      <c r="Q177" s="5">
        <f t="shared" si="22"/>
        <v>0</v>
      </c>
      <c r="R177" s="8">
        <f t="shared" si="23"/>
        <v>255.92</v>
      </c>
    </row>
    <row r="178" spans="1:18" x14ac:dyDescent="0.55000000000000004">
      <c r="A178">
        <v>2019</v>
      </c>
      <c r="B178" t="s">
        <v>686</v>
      </c>
      <c r="C178" t="s">
        <v>494</v>
      </c>
      <c r="F178" t="s">
        <v>494</v>
      </c>
      <c r="G178" s="28" t="s">
        <v>867</v>
      </c>
      <c r="H178" s="29">
        <f>INDEX(TransportationData!$A$6:$M$338,MATCH(FinalPayment_NoReorg!$F178,TransportationData!$A$6:$A$338,0),3)</f>
        <v>516.70000000000005</v>
      </c>
      <c r="I178" s="30">
        <f>INDEX(TransportationData!$A$6:$M$338,MATCH(FinalPayment_NoReorg!$F178,TransportationData!$A$6:$A$338,0),8)</f>
        <v>234923.65</v>
      </c>
      <c r="J178" s="28">
        <f t="shared" si="19"/>
        <v>454.66</v>
      </c>
      <c r="K178" s="31">
        <f t="shared" si="16"/>
        <v>347.65</v>
      </c>
      <c r="L178" s="32">
        <f t="shared" si="17"/>
        <v>55292</v>
      </c>
      <c r="M178" s="9">
        <f t="shared" si="20"/>
        <v>347.65</v>
      </c>
      <c r="N178" s="5">
        <f t="shared" si="18"/>
        <v>423</v>
      </c>
      <c r="O178" s="8">
        <f t="shared" si="21"/>
        <v>346.83</v>
      </c>
      <c r="Q178" s="5">
        <f t="shared" si="22"/>
        <v>0</v>
      </c>
      <c r="R178" s="8">
        <f t="shared" si="23"/>
        <v>346.83</v>
      </c>
    </row>
    <row r="179" spans="1:18" x14ac:dyDescent="0.55000000000000004">
      <c r="A179">
        <v>2019</v>
      </c>
      <c r="B179" t="s">
        <v>689</v>
      </c>
      <c r="C179" t="s">
        <v>493</v>
      </c>
      <c r="F179" t="s">
        <v>493</v>
      </c>
      <c r="G179" s="28" t="s">
        <v>868</v>
      </c>
      <c r="H179" s="29">
        <f>INDEX(TransportationData!$A$6:$M$338,MATCH(FinalPayment_NoReorg!$F179,TransportationData!$A$6:$A$338,0),3)</f>
        <v>3587.5</v>
      </c>
      <c r="I179" s="30">
        <f>INDEX(TransportationData!$A$6:$M$338,MATCH(FinalPayment_NoReorg!$F179,TransportationData!$A$6:$A$338,0),8)</f>
        <v>1212378.1300000001</v>
      </c>
      <c r="J179" s="28">
        <f t="shared" si="19"/>
        <v>337.95</v>
      </c>
      <c r="K179" s="31">
        <f t="shared" si="16"/>
        <v>347.65</v>
      </c>
      <c r="L179" s="32">
        <f t="shared" si="17"/>
        <v>0</v>
      </c>
      <c r="M179" s="9">
        <f t="shared" si="20"/>
        <v>337.95</v>
      </c>
      <c r="N179" s="5">
        <f t="shared" si="18"/>
        <v>2937</v>
      </c>
      <c r="O179" s="8">
        <f t="shared" si="21"/>
        <v>337.13</v>
      </c>
      <c r="Q179" s="5">
        <f t="shared" si="22"/>
        <v>0</v>
      </c>
      <c r="R179" s="8">
        <f t="shared" si="23"/>
        <v>337.13</v>
      </c>
    </row>
    <row r="180" spans="1:18" x14ac:dyDescent="0.55000000000000004">
      <c r="A180">
        <v>2019</v>
      </c>
      <c r="B180" t="s">
        <v>696</v>
      </c>
      <c r="C180" t="s">
        <v>491</v>
      </c>
      <c r="F180" t="s">
        <v>491</v>
      </c>
      <c r="G180" s="28" t="s">
        <v>869</v>
      </c>
      <c r="H180" s="29">
        <f>INDEX(TransportationData!$A$6:$M$338,MATCH(FinalPayment_NoReorg!$F180,TransportationData!$A$6:$A$338,0),3)</f>
        <v>807.6</v>
      </c>
      <c r="I180" s="30">
        <f>INDEX(TransportationData!$A$6:$M$338,MATCH(FinalPayment_NoReorg!$F180,TransportationData!$A$6:$A$338,0),8)</f>
        <v>527671.17999999993</v>
      </c>
      <c r="J180" s="28">
        <f t="shared" si="19"/>
        <v>653.38</v>
      </c>
      <c r="K180" s="31">
        <f t="shared" si="16"/>
        <v>347.65</v>
      </c>
      <c r="L180" s="32">
        <f t="shared" si="17"/>
        <v>246908</v>
      </c>
      <c r="M180" s="9">
        <f t="shared" si="20"/>
        <v>347.65</v>
      </c>
      <c r="N180" s="5">
        <f t="shared" si="18"/>
        <v>661</v>
      </c>
      <c r="O180" s="8">
        <f t="shared" si="21"/>
        <v>346.83</v>
      </c>
      <c r="Q180" s="5">
        <f t="shared" si="22"/>
        <v>0</v>
      </c>
      <c r="R180" s="8">
        <f t="shared" si="23"/>
        <v>346.83</v>
      </c>
    </row>
    <row r="181" spans="1:18" x14ac:dyDescent="0.55000000000000004">
      <c r="A181">
        <v>2019</v>
      </c>
      <c r="B181" t="s">
        <v>686</v>
      </c>
      <c r="C181" t="s">
        <v>490</v>
      </c>
      <c r="F181" t="s">
        <v>490</v>
      </c>
      <c r="G181" s="28" t="s">
        <v>870</v>
      </c>
      <c r="H181" s="29">
        <f>INDEX(TransportationData!$A$6:$M$338,MATCH(FinalPayment_NoReorg!$F181,TransportationData!$A$6:$A$338,0),3)</f>
        <v>345.1</v>
      </c>
      <c r="I181" s="30">
        <f>INDEX(TransportationData!$A$6:$M$338,MATCH(FinalPayment_NoReorg!$F181,TransportationData!$A$6:$A$338,0),8)</f>
        <v>97185.9</v>
      </c>
      <c r="J181" s="28">
        <f t="shared" si="19"/>
        <v>281.62</v>
      </c>
      <c r="K181" s="31">
        <f t="shared" si="16"/>
        <v>347.65</v>
      </c>
      <c r="L181" s="32">
        <f t="shared" si="17"/>
        <v>0</v>
      </c>
      <c r="M181" s="9">
        <f t="shared" si="20"/>
        <v>281.62</v>
      </c>
      <c r="N181" s="5">
        <f t="shared" si="18"/>
        <v>282</v>
      </c>
      <c r="O181" s="8">
        <f t="shared" si="21"/>
        <v>280.8</v>
      </c>
      <c r="Q181" s="5">
        <f t="shared" si="22"/>
        <v>0</v>
      </c>
      <c r="R181" s="8">
        <f t="shared" si="23"/>
        <v>280.8</v>
      </c>
    </row>
    <row r="182" spans="1:18" x14ac:dyDescent="0.55000000000000004">
      <c r="A182">
        <v>2019</v>
      </c>
      <c r="B182" t="s">
        <v>703</v>
      </c>
      <c r="C182" t="s">
        <v>486</v>
      </c>
      <c r="F182" t="s">
        <v>486</v>
      </c>
      <c r="G182" s="28" t="s">
        <v>871</v>
      </c>
      <c r="H182" s="29">
        <f>INDEX(TransportationData!$A$6:$M$338,MATCH(FinalPayment_NoReorg!$F182,TransportationData!$A$6:$A$338,0),3)</f>
        <v>772.1</v>
      </c>
      <c r="I182" s="30">
        <f>INDEX(TransportationData!$A$6:$M$338,MATCH(FinalPayment_NoReorg!$F182,TransportationData!$A$6:$A$338,0),8)</f>
        <v>461777.91999999998</v>
      </c>
      <c r="J182" s="28">
        <f t="shared" si="19"/>
        <v>598.08000000000004</v>
      </c>
      <c r="K182" s="31">
        <f t="shared" si="16"/>
        <v>347.65</v>
      </c>
      <c r="L182" s="32">
        <f t="shared" si="17"/>
        <v>193357</v>
      </c>
      <c r="M182" s="9">
        <f t="shared" si="20"/>
        <v>347.65</v>
      </c>
      <c r="N182" s="5">
        <f t="shared" si="18"/>
        <v>632</v>
      </c>
      <c r="O182" s="8">
        <f t="shared" si="21"/>
        <v>346.83</v>
      </c>
      <c r="Q182" s="5">
        <f t="shared" si="22"/>
        <v>0</v>
      </c>
      <c r="R182" s="8">
        <f t="shared" si="23"/>
        <v>346.83</v>
      </c>
    </row>
    <row r="183" spans="1:18" x14ac:dyDescent="0.55000000000000004">
      <c r="A183">
        <v>2019</v>
      </c>
      <c r="B183" t="s">
        <v>698</v>
      </c>
      <c r="C183" t="s">
        <v>489</v>
      </c>
      <c r="F183" t="s">
        <v>489</v>
      </c>
      <c r="G183" s="28" t="s">
        <v>872</v>
      </c>
      <c r="H183" s="29">
        <f>INDEX(TransportationData!$A$6:$M$338,MATCH(FinalPayment_NoReorg!$F183,TransportationData!$A$6:$A$338,0),3)</f>
        <v>535.5</v>
      </c>
      <c r="I183" s="30">
        <f>INDEX(TransportationData!$A$6:$M$338,MATCH(FinalPayment_NoReorg!$F183,TransportationData!$A$6:$A$338,0),8)</f>
        <v>426212.53</v>
      </c>
      <c r="J183" s="28">
        <f t="shared" si="19"/>
        <v>795.92</v>
      </c>
      <c r="K183" s="31">
        <f t="shared" si="16"/>
        <v>347.65</v>
      </c>
      <c r="L183" s="32">
        <f t="shared" si="17"/>
        <v>240049</v>
      </c>
      <c r="M183" s="9">
        <f t="shared" si="20"/>
        <v>347.64</v>
      </c>
      <c r="N183" s="5">
        <f t="shared" si="18"/>
        <v>438</v>
      </c>
      <c r="O183" s="8">
        <f t="shared" si="21"/>
        <v>346.83</v>
      </c>
      <c r="Q183" s="5">
        <f t="shared" si="22"/>
        <v>0</v>
      </c>
      <c r="R183" s="8">
        <f t="shared" si="23"/>
        <v>346.83</v>
      </c>
    </row>
    <row r="184" spans="1:18" x14ac:dyDescent="0.55000000000000004">
      <c r="A184">
        <v>2019</v>
      </c>
      <c r="B184" t="s">
        <v>698</v>
      </c>
      <c r="C184" t="s">
        <v>488</v>
      </c>
      <c r="F184" t="s">
        <v>488</v>
      </c>
      <c r="G184" s="28" t="s">
        <v>873</v>
      </c>
      <c r="H184" s="29">
        <f>INDEX(TransportationData!$A$6:$M$338,MATCH(FinalPayment_NoReorg!$F184,TransportationData!$A$6:$A$338,0),3)</f>
        <v>1259</v>
      </c>
      <c r="I184" s="30">
        <f>INDEX(TransportationData!$A$6:$M$338,MATCH(FinalPayment_NoReorg!$F184,TransportationData!$A$6:$A$338,0),8)</f>
        <v>676832.9</v>
      </c>
      <c r="J184" s="28">
        <f t="shared" si="19"/>
        <v>537.6</v>
      </c>
      <c r="K184" s="31">
        <f t="shared" si="16"/>
        <v>347.65</v>
      </c>
      <c r="L184" s="32">
        <f t="shared" si="17"/>
        <v>239147</v>
      </c>
      <c r="M184" s="9">
        <f t="shared" si="20"/>
        <v>347.65</v>
      </c>
      <c r="N184" s="5">
        <f t="shared" si="18"/>
        <v>1031</v>
      </c>
      <c r="O184" s="8">
        <f t="shared" si="21"/>
        <v>346.83</v>
      </c>
      <c r="Q184" s="5">
        <f t="shared" si="22"/>
        <v>0</v>
      </c>
      <c r="R184" s="8">
        <f t="shared" si="23"/>
        <v>346.83</v>
      </c>
    </row>
    <row r="185" spans="1:18" x14ac:dyDescent="0.55000000000000004">
      <c r="A185">
        <v>2019</v>
      </c>
      <c r="B185" t="s">
        <v>690</v>
      </c>
      <c r="C185" t="s">
        <v>487</v>
      </c>
      <c r="F185" t="s">
        <v>487</v>
      </c>
      <c r="G185" s="28" t="s">
        <v>874</v>
      </c>
      <c r="H185" s="29">
        <f>INDEX(TransportationData!$A$6:$M$338,MATCH(FinalPayment_NoReorg!$F185,TransportationData!$A$6:$A$338,0),3)</f>
        <v>809.3</v>
      </c>
      <c r="I185" s="30">
        <f>INDEX(TransportationData!$A$6:$M$338,MATCH(FinalPayment_NoReorg!$F185,TransportationData!$A$6:$A$338,0),8)</f>
        <v>304741.09000000003</v>
      </c>
      <c r="J185" s="28">
        <f t="shared" si="19"/>
        <v>376.55</v>
      </c>
      <c r="K185" s="31">
        <f t="shared" si="16"/>
        <v>347.65</v>
      </c>
      <c r="L185" s="32">
        <f t="shared" si="17"/>
        <v>23389</v>
      </c>
      <c r="M185" s="9">
        <f t="shared" si="20"/>
        <v>347.65</v>
      </c>
      <c r="N185" s="5">
        <f t="shared" si="18"/>
        <v>662</v>
      </c>
      <c r="O185" s="8">
        <f t="shared" si="21"/>
        <v>346.83</v>
      </c>
      <c r="Q185" s="5">
        <f t="shared" si="22"/>
        <v>0</v>
      </c>
      <c r="R185" s="8">
        <f t="shared" si="23"/>
        <v>346.83</v>
      </c>
    </row>
    <row r="186" spans="1:18" x14ac:dyDescent="0.55000000000000004">
      <c r="A186">
        <v>2019</v>
      </c>
      <c r="B186" t="s">
        <v>692</v>
      </c>
      <c r="C186" t="s">
        <v>492</v>
      </c>
      <c r="F186" t="s">
        <v>492</v>
      </c>
      <c r="G186" s="28" t="s">
        <v>875</v>
      </c>
      <c r="H186" s="29">
        <f>INDEX(TransportationData!$A$6:$M$338,MATCH(FinalPayment_NoReorg!$F186,TransportationData!$A$6:$A$338,0),3)</f>
        <v>1447.1</v>
      </c>
      <c r="I186" s="30">
        <f>INDEX(TransportationData!$A$6:$M$338,MATCH(FinalPayment_NoReorg!$F186,TransportationData!$A$6:$A$338,0),8)</f>
        <v>415411.13</v>
      </c>
      <c r="J186" s="28">
        <f t="shared" si="19"/>
        <v>287.06</v>
      </c>
      <c r="K186" s="31">
        <f t="shared" si="16"/>
        <v>347.65</v>
      </c>
      <c r="L186" s="32">
        <f t="shared" si="17"/>
        <v>0</v>
      </c>
      <c r="M186" s="9">
        <f t="shared" si="20"/>
        <v>287.06</v>
      </c>
      <c r="N186" s="5">
        <f t="shared" si="18"/>
        <v>1185</v>
      </c>
      <c r="O186" s="8">
        <f t="shared" si="21"/>
        <v>286.25</v>
      </c>
      <c r="Q186" s="5">
        <f t="shared" si="22"/>
        <v>0</v>
      </c>
      <c r="R186" s="8">
        <f t="shared" si="23"/>
        <v>286.25</v>
      </c>
    </row>
    <row r="187" spans="1:18" x14ac:dyDescent="0.55000000000000004">
      <c r="A187">
        <v>2019</v>
      </c>
      <c r="B187" t="s">
        <v>689</v>
      </c>
      <c r="C187" t="s">
        <v>485</v>
      </c>
      <c r="F187" t="s">
        <v>485</v>
      </c>
      <c r="G187" s="28" t="s">
        <v>876</v>
      </c>
      <c r="H187" s="29">
        <f>INDEX(TransportationData!$A$6:$M$338,MATCH(FinalPayment_NoReorg!$F187,TransportationData!$A$6:$A$338,0),3)</f>
        <v>487.4</v>
      </c>
      <c r="I187" s="30">
        <f>INDEX(TransportationData!$A$6:$M$338,MATCH(FinalPayment_NoReorg!$F187,TransportationData!$A$6:$A$338,0),8)</f>
        <v>159070.30000000002</v>
      </c>
      <c r="J187" s="28">
        <f t="shared" si="19"/>
        <v>326.36</v>
      </c>
      <c r="K187" s="31">
        <f t="shared" si="16"/>
        <v>347.65</v>
      </c>
      <c r="L187" s="32">
        <f t="shared" si="17"/>
        <v>0</v>
      </c>
      <c r="M187" s="9">
        <f t="shared" si="20"/>
        <v>326.36</v>
      </c>
      <c r="N187" s="5">
        <f t="shared" si="18"/>
        <v>399</v>
      </c>
      <c r="O187" s="8">
        <f t="shared" si="21"/>
        <v>325.55</v>
      </c>
      <c r="Q187" s="5">
        <f t="shared" si="22"/>
        <v>0</v>
      </c>
      <c r="R187" s="8">
        <f t="shared" si="23"/>
        <v>325.55</v>
      </c>
    </row>
    <row r="188" spans="1:18" x14ac:dyDescent="0.55000000000000004">
      <c r="A188">
        <v>2019</v>
      </c>
      <c r="B188" t="s">
        <v>698</v>
      </c>
      <c r="C188" t="s">
        <v>484</v>
      </c>
      <c r="F188" t="s">
        <v>484</v>
      </c>
      <c r="G188" s="28" t="s">
        <v>877</v>
      </c>
      <c r="H188" s="29">
        <f>INDEX(TransportationData!$A$6:$M$338,MATCH(FinalPayment_NoReorg!$F188,TransportationData!$A$6:$A$338,0),3)</f>
        <v>959</v>
      </c>
      <c r="I188" s="30">
        <f>INDEX(TransportationData!$A$6:$M$338,MATCH(FinalPayment_NoReorg!$F188,TransportationData!$A$6:$A$338,0),8)</f>
        <v>357579.77</v>
      </c>
      <c r="J188" s="28">
        <f t="shared" si="19"/>
        <v>372.87</v>
      </c>
      <c r="K188" s="31">
        <f t="shared" si="16"/>
        <v>347.65</v>
      </c>
      <c r="L188" s="32">
        <f t="shared" si="17"/>
        <v>24186</v>
      </c>
      <c r="M188" s="9">
        <f t="shared" si="20"/>
        <v>347.65</v>
      </c>
      <c r="N188" s="5">
        <f t="shared" si="18"/>
        <v>785</v>
      </c>
      <c r="O188" s="8">
        <f t="shared" si="21"/>
        <v>346.83</v>
      </c>
      <c r="Q188" s="5">
        <f t="shared" si="22"/>
        <v>0</v>
      </c>
      <c r="R188" s="8">
        <f t="shared" si="23"/>
        <v>346.83</v>
      </c>
    </row>
    <row r="189" spans="1:18" x14ac:dyDescent="0.55000000000000004">
      <c r="A189">
        <v>2019</v>
      </c>
      <c r="B189" t="s">
        <v>696</v>
      </c>
      <c r="C189" t="s">
        <v>483</v>
      </c>
      <c r="F189" t="s">
        <v>483</v>
      </c>
      <c r="G189" s="28" t="s">
        <v>878</v>
      </c>
      <c r="H189" s="29">
        <f>INDEX(TransportationData!$A$6:$M$338,MATCH(FinalPayment_NoReorg!$F189,TransportationData!$A$6:$A$338,0),3)</f>
        <v>351</v>
      </c>
      <c r="I189" s="30">
        <f>INDEX(TransportationData!$A$6:$M$338,MATCH(FinalPayment_NoReorg!$F189,TransportationData!$A$6:$A$338,0),8)</f>
        <v>148117.85</v>
      </c>
      <c r="J189" s="28">
        <f t="shared" si="19"/>
        <v>421.99</v>
      </c>
      <c r="K189" s="31">
        <f t="shared" si="16"/>
        <v>347.65</v>
      </c>
      <c r="L189" s="32">
        <f t="shared" si="17"/>
        <v>26093</v>
      </c>
      <c r="M189" s="9">
        <f t="shared" si="20"/>
        <v>347.65</v>
      </c>
      <c r="N189" s="5">
        <f t="shared" si="18"/>
        <v>287</v>
      </c>
      <c r="O189" s="8">
        <f t="shared" si="21"/>
        <v>346.83</v>
      </c>
      <c r="Q189" s="5">
        <f t="shared" si="22"/>
        <v>0</v>
      </c>
      <c r="R189" s="8">
        <f t="shared" si="23"/>
        <v>346.83</v>
      </c>
    </row>
    <row r="190" spans="1:18" x14ac:dyDescent="0.55000000000000004">
      <c r="A190">
        <v>2019</v>
      </c>
      <c r="B190" t="s">
        <v>690</v>
      </c>
      <c r="C190" t="s">
        <v>482</v>
      </c>
      <c r="F190" t="s">
        <v>482</v>
      </c>
      <c r="G190" s="28" t="s">
        <v>879</v>
      </c>
      <c r="H190" s="29">
        <f>INDEX(TransportationData!$A$6:$M$338,MATCH(FinalPayment_NoReorg!$F190,TransportationData!$A$6:$A$338,0),3)</f>
        <v>249.1</v>
      </c>
      <c r="I190" s="30">
        <f>INDEX(TransportationData!$A$6:$M$338,MATCH(FinalPayment_NoReorg!$F190,TransportationData!$A$6:$A$338,0),8)</f>
        <v>127495.72</v>
      </c>
      <c r="J190" s="28">
        <f t="shared" si="19"/>
        <v>511.83</v>
      </c>
      <c r="K190" s="31">
        <f t="shared" si="16"/>
        <v>347.65</v>
      </c>
      <c r="L190" s="32">
        <f t="shared" si="17"/>
        <v>40897</v>
      </c>
      <c r="M190" s="9">
        <f t="shared" si="20"/>
        <v>347.65</v>
      </c>
      <c r="N190" s="5">
        <f t="shared" si="18"/>
        <v>204</v>
      </c>
      <c r="O190" s="8">
        <f t="shared" si="21"/>
        <v>346.83</v>
      </c>
      <c r="Q190" s="5">
        <f t="shared" si="22"/>
        <v>0</v>
      </c>
      <c r="R190" s="8">
        <f t="shared" si="23"/>
        <v>346.83</v>
      </c>
    </row>
    <row r="191" spans="1:18" x14ac:dyDescent="0.55000000000000004">
      <c r="A191">
        <v>2019</v>
      </c>
      <c r="B191" t="s">
        <v>696</v>
      </c>
      <c r="C191" t="s">
        <v>481</v>
      </c>
      <c r="F191" t="s">
        <v>481</v>
      </c>
      <c r="G191" s="28" t="s">
        <v>880</v>
      </c>
      <c r="H191" s="29">
        <f>INDEX(TransportationData!$A$6:$M$338,MATCH(FinalPayment_NoReorg!$F191,TransportationData!$A$6:$A$338,0),3)</f>
        <v>205.6</v>
      </c>
      <c r="I191" s="30">
        <f>INDEX(TransportationData!$A$6:$M$338,MATCH(FinalPayment_NoReorg!$F191,TransportationData!$A$6:$A$338,0),8)</f>
        <v>46058.18</v>
      </c>
      <c r="J191" s="28">
        <f t="shared" si="19"/>
        <v>224.02</v>
      </c>
      <c r="K191" s="31">
        <f t="shared" si="16"/>
        <v>347.65</v>
      </c>
      <c r="L191" s="32">
        <f t="shared" si="17"/>
        <v>0</v>
      </c>
      <c r="M191" s="9">
        <f t="shared" si="20"/>
        <v>224.02</v>
      </c>
      <c r="N191" s="5">
        <f t="shared" si="18"/>
        <v>168</v>
      </c>
      <c r="O191" s="8">
        <f t="shared" si="21"/>
        <v>223.2</v>
      </c>
      <c r="Q191" s="5">
        <f t="shared" si="22"/>
        <v>0</v>
      </c>
      <c r="R191" s="8">
        <f t="shared" si="23"/>
        <v>223.2</v>
      </c>
    </row>
    <row r="192" spans="1:18" x14ac:dyDescent="0.55000000000000004">
      <c r="A192">
        <v>2019</v>
      </c>
      <c r="B192" t="s">
        <v>696</v>
      </c>
      <c r="C192" t="s">
        <v>480</v>
      </c>
      <c r="F192" t="s">
        <v>480</v>
      </c>
      <c r="G192" s="28" t="s">
        <v>881</v>
      </c>
      <c r="H192" s="29">
        <f>INDEX(TransportationData!$A$6:$M$338,MATCH(FinalPayment_NoReorg!$F192,TransportationData!$A$6:$A$338,0),3)</f>
        <v>219.3</v>
      </c>
      <c r="I192" s="30">
        <f>INDEX(TransportationData!$A$6:$M$338,MATCH(FinalPayment_NoReorg!$F192,TransportationData!$A$6:$A$338,0),8)</f>
        <v>111863.97</v>
      </c>
      <c r="J192" s="28">
        <f t="shared" si="19"/>
        <v>510.1</v>
      </c>
      <c r="K192" s="31">
        <f t="shared" si="16"/>
        <v>347.65</v>
      </c>
      <c r="L192" s="32">
        <f t="shared" si="17"/>
        <v>35625</v>
      </c>
      <c r="M192" s="9">
        <f t="shared" si="20"/>
        <v>347.65</v>
      </c>
      <c r="N192" s="5">
        <f t="shared" si="18"/>
        <v>180</v>
      </c>
      <c r="O192" s="8">
        <f t="shared" si="21"/>
        <v>346.83</v>
      </c>
      <c r="Q192" s="5">
        <f t="shared" si="22"/>
        <v>0</v>
      </c>
      <c r="R192" s="8">
        <f t="shared" si="23"/>
        <v>346.83</v>
      </c>
    </row>
    <row r="193" spans="1:18" x14ac:dyDescent="0.55000000000000004">
      <c r="A193">
        <v>2019</v>
      </c>
      <c r="B193" t="s">
        <v>690</v>
      </c>
      <c r="C193" t="s">
        <v>479</v>
      </c>
      <c r="F193" t="s">
        <v>479</v>
      </c>
      <c r="G193" s="28" t="s">
        <v>882</v>
      </c>
      <c r="H193" s="29">
        <f>INDEX(TransportationData!$A$6:$M$338,MATCH(FinalPayment_NoReorg!$F193,TransportationData!$A$6:$A$338,0),3)</f>
        <v>607.4</v>
      </c>
      <c r="I193" s="30">
        <f>INDEX(TransportationData!$A$6:$M$338,MATCH(FinalPayment_NoReorg!$F193,TransportationData!$A$6:$A$338,0),8)</f>
        <v>363572.97</v>
      </c>
      <c r="J193" s="28">
        <f t="shared" si="19"/>
        <v>598.57000000000005</v>
      </c>
      <c r="K193" s="31">
        <f t="shared" si="16"/>
        <v>347.65</v>
      </c>
      <c r="L193" s="32">
        <f t="shared" si="17"/>
        <v>152409</v>
      </c>
      <c r="M193" s="9">
        <f t="shared" si="20"/>
        <v>347.65</v>
      </c>
      <c r="N193" s="5">
        <f t="shared" si="18"/>
        <v>497</v>
      </c>
      <c r="O193" s="8">
        <f t="shared" si="21"/>
        <v>346.83</v>
      </c>
      <c r="Q193" s="5">
        <f t="shared" si="22"/>
        <v>0</v>
      </c>
      <c r="R193" s="8">
        <f t="shared" si="23"/>
        <v>346.83</v>
      </c>
    </row>
    <row r="194" spans="1:18" x14ac:dyDescent="0.55000000000000004">
      <c r="A194">
        <v>2019</v>
      </c>
      <c r="B194" t="s">
        <v>696</v>
      </c>
      <c r="C194" t="s">
        <v>478</v>
      </c>
      <c r="F194" t="s">
        <v>478</v>
      </c>
      <c r="G194" s="28" t="s">
        <v>883</v>
      </c>
      <c r="H194" s="29">
        <f>INDEX(TransportationData!$A$6:$M$338,MATCH(FinalPayment_NoReorg!$F194,TransportationData!$A$6:$A$338,0),3)</f>
        <v>1922</v>
      </c>
      <c r="I194" s="30">
        <f>INDEX(TransportationData!$A$6:$M$338,MATCH(FinalPayment_NoReorg!$F194,TransportationData!$A$6:$A$338,0),8)</f>
        <v>641373.74</v>
      </c>
      <c r="J194" s="28">
        <f t="shared" si="19"/>
        <v>333.7</v>
      </c>
      <c r="K194" s="31">
        <f t="shared" ref="K194:K257" si="24">$L$336</f>
        <v>347.65</v>
      </c>
      <c r="L194" s="32">
        <f t="shared" ref="L194:L257" si="25">IF(J194&gt;K194,ROUND((J194-K194)*H194,0),0)</f>
        <v>0</v>
      </c>
      <c r="M194" s="9">
        <f t="shared" si="20"/>
        <v>333.7</v>
      </c>
      <c r="N194" s="5">
        <f t="shared" ref="N194:N257" si="26">IF(ROUND(H194*$N$336,0)&gt;I194-L194,ROUND(I194-L194,0),ROUND(H194*$N$336,0))</f>
        <v>1573</v>
      </c>
      <c r="O194" s="8">
        <f t="shared" si="21"/>
        <v>332.88</v>
      </c>
      <c r="Q194" s="5">
        <f t="shared" si="22"/>
        <v>0</v>
      </c>
      <c r="R194" s="8">
        <f t="shared" si="23"/>
        <v>332.88</v>
      </c>
    </row>
    <row r="195" spans="1:18" x14ac:dyDescent="0.55000000000000004">
      <c r="A195">
        <v>2019</v>
      </c>
      <c r="B195" t="s">
        <v>698</v>
      </c>
      <c r="C195" t="s">
        <v>477</v>
      </c>
      <c r="F195" t="s">
        <v>477</v>
      </c>
      <c r="G195" s="28" t="s">
        <v>884</v>
      </c>
      <c r="H195" s="29">
        <f>INDEX(TransportationData!$A$6:$M$338,MATCH(FinalPayment_NoReorg!$F195,TransportationData!$A$6:$A$338,0),3)</f>
        <v>1121.8</v>
      </c>
      <c r="I195" s="30">
        <f>INDEX(TransportationData!$A$6:$M$338,MATCH(FinalPayment_NoReorg!$F195,TransportationData!$A$6:$A$338,0),8)</f>
        <v>191108.17</v>
      </c>
      <c r="J195" s="28">
        <f t="shared" ref="J195:J258" si="27">ROUND(I195/H195,2)</f>
        <v>170.36</v>
      </c>
      <c r="K195" s="31">
        <f t="shared" si="24"/>
        <v>347.65</v>
      </c>
      <c r="L195" s="32">
        <f t="shared" si="25"/>
        <v>0</v>
      </c>
      <c r="M195" s="9">
        <f t="shared" ref="M195:M258" si="28">ROUND((I195-L195)/H195,2)</f>
        <v>170.36</v>
      </c>
      <c r="N195" s="5">
        <f t="shared" si="26"/>
        <v>918</v>
      </c>
      <c r="O195" s="8">
        <f t="shared" ref="O195:O258" si="29">ROUND((I195-L195-N195)/H195,2)</f>
        <v>169.54</v>
      </c>
      <c r="Q195" s="5">
        <f t="shared" ref="Q195:Q258" si="30">IF(ROUND($H195*$N$340,0)&gt;$I195-$L195-N195,ROUND($I195-$L195-$N195,0),ROUND($H195*$N$340,0))</f>
        <v>0</v>
      </c>
      <c r="R195" s="8">
        <f t="shared" si="23"/>
        <v>169.54</v>
      </c>
    </row>
    <row r="196" spans="1:18" x14ac:dyDescent="0.55000000000000004">
      <c r="A196">
        <v>2019</v>
      </c>
      <c r="B196" t="s">
        <v>690</v>
      </c>
      <c r="C196" t="s">
        <v>476</v>
      </c>
      <c r="F196" t="s">
        <v>476</v>
      </c>
      <c r="G196" s="28" t="s">
        <v>885</v>
      </c>
      <c r="H196" s="29">
        <f>INDEX(TransportationData!$A$6:$M$338,MATCH(FinalPayment_NoReorg!$F196,TransportationData!$A$6:$A$338,0),3)</f>
        <v>243.2</v>
      </c>
      <c r="I196" s="30">
        <f>INDEX(TransportationData!$A$6:$M$338,MATCH(FinalPayment_NoReorg!$F196,TransportationData!$A$6:$A$338,0),8)</f>
        <v>131467.41</v>
      </c>
      <c r="J196" s="28">
        <f t="shared" si="27"/>
        <v>540.57000000000005</v>
      </c>
      <c r="K196" s="31">
        <f t="shared" si="24"/>
        <v>347.65</v>
      </c>
      <c r="L196" s="32">
        <f t="shared" si="25"/>
        <v>46918</v>
      </c>
      <c r="M196" s="9">
        <f t="shared" si="28"/>
        <v>347.65</v>
      </c>
      <c r="N196" s="5">
        <f t="shared" si="26"/>
        <v>199</v>
      </c>
      <c r="O196" s="8">
        <f t="shared" si="29"/>
        <v>346.84</v>
      </c>
      <c r="Q196" s="5">
        <f t="shared" si="30"/>
        <v>0</v>
      </c>
      <c r="R196" s="8">
        <f t="shared" ref="R196:R259" si="31">ROUND(($I196-$L196-$N196-$Q196)/$H196,2)</f>
        <v>346.84</v>
      </c>
    </row>
    <row r="197" spans="1:18" x14ac:dyDescent="0.55000000000000004">
      <c r="A197">
        <v>2019</v>
      </c>
      <c r="B197" t="s">
        <v>707</v>
      </c>
      <c r="C197" t="s">
        <v>475</v>
      </c>
      <c r="F197" t="s">
        <v>475</v>
      </c>
      <c r="G197" s="28" t="s">
        <v>886</v>
      </c>
      <c r="H197" s="29">
        <f>INDEX(TransportationData!$A$6:$M$338,MATCH(FinalPayment_NoReorg!$F197,TransportationData!$A$6:$A$338,0),3)</f>
        <v>4894</v>
      </c>
      <c r="I197" s="30">
        <f>INDEX(TransportationData!$A$6:$M$338,MATCH(FinalPayment_NoReorg!$F197,TransportationData!$A$6:$A$338,0),8)</f>
        <v>918299.53</v>
      </c>
      <c r="J197" s="28">
        <f t="shared" si="27"/>
        <v>187.64</v>
      </c>
      <c r="K197" s="31">
        <f t="shared" si="24"/>
        <v>347.65</v>
      </c>
      <c r="L197" s="32">
        <f t="shared" si="25"/>
        <v>0</v>
      </c>
      <c r="M197" s="9">
        <f t="shared" si="28"/>
        <v>187.64</v>
      </c>
      <c r="N197" s="5">
        <f t="shared" si="26"/>
        <v>4006</v>
      </c>
      <c r="O197" s="8">
        <f t="shared" si="29"/>
        <v>186.82</v>
      </c>
      <c r="Q197" s="5">
        <f t="shared" si="30"/>
        <v>0</v>
      </c>
      <c r="R197" s="8">
        <f t="shared" si="31"/>
        <v>186.82</v>
      </c>
    </row>
    <row r="198" spans="1:18" x14ac:dyDescent="0.55000000000000004">
      <c r="A198">
        <v>2019</v>
      </c>
      <c r="B198" t="s">
        <v>689</v>
      </c>
      <c r="C198" t="s">
        <v>474</v>
      </c>
      <c r="F198" t="s">
        <v>474</v>
      </c>
      <c r="G198" s="28" t="s">
        <v>887</v>
      </c>
      <c r="H198" s="29">
        <f>INDEX(TransportationData!$A$6:$M$338,MATCH(FinalPayment_NoReorg!$F198,TransportationData!$A$6:$A$338,0),3)</f>
        <v>599.79999999999995</v>
      </c>
      <c r="I198" s="30">
        <f>INDEX(TransportationData!$A$6:$M$338,MATCH(FinalPayment_NoReorg!$F198,TransportationData!$A$6:$A$338,0),8)</f>
        <v>283975.7</v>
      </c>
      <c r="J198" s="28">
        <f t="shared" si="27"/>
        <v>473.45</v>
      </c>
      <c r="K198" s="31">
        <f t="shared" si="24"/>
        <v>347.65</v>
      </c>
      <c r="L198" s="32">
        <f t="shared" si="25"/>
        <v>75455</v>
      </c>
      <c r="M198" s="9">
        <f t="shared" si="28"/>
        <v>347.65</v>
      </c>
      <c r="N198" s="5">
        <f t="shared" si="26"/>
        <v>491</v>
      </c>
      <c r="O198" s="8">
        <f t="shared" si="29"/>
        <v>346.83</v>
      </c>
      <c r="Q198" s="5">
        <f t="shared" si="30"/>
        <v>0</v>
      </c>
      <c r="R198" s="8">
        <f t="shared" si="31"/>
        <v>346.83</v>
      </c>
    </row>
    <row r="199" spans="1:18" x14ac:dyDescent="0.55000000000000004">
      <c r="A199">
        <v>2019</v>
      </c>
      <c r="B199" t="s">
        <v>686</v>
      </c>
      <c r="C199" t="s">
        <v>473</v>
      </c>
      <c r="F199" t="s">
        <v>473</v>
      </c>
      <c r="G199" s="28" t="s">
        <v>888</v>
      </c>
      <c r="H199" s="29">
        <f>INDEX(TransportationData!$A$6:$M$338,MATCH(FinalPayment_NoReorg!$F199,TransportationData!$A$6:$A$338,0),3)</f>
        <v>1482.3</v>
      </c>
      <c r="I199" s="30">
        <f>INDEX(TransportationData!$A$6:$M$338,MATCH(FinalPayment_NoReorg!$F199,TransportationData!$A$6:$A$338,0),8)</f>
        <v>328093.81</v>
      </c>
      <c r="J199" s="28">
        <f t="shared" si="27"/>
        <v>221.34</v>
      </c>
      <c r="K199" s="31">
        <f t="shared" si="24"/>
        <v>347.65</v>
      </c>
      <c r="L199" s="32">
        <f t="shared" si="25"/>
        <v>0</v>
      </c>
      <c r="M199" s="9">
        <f t="shared" si="28"/>
        <v>221.34</v>
      </c>
      <c r="N199" s="5">
        <f t="shared" si="26"/>
        <v>1213</v>
      </c>
      <c r="O199" s="8">
        <f t="shared" si="29"/>
        <v>220.52</v>
      </c>
      <c r="Q199" s="5">
        <f t="shared" si="30"/>
        <v>0</v>
      </c>
      <c r="R199" s="8">
        <f t="shared" si="31"/>
        <v>220.52</v>
      </c>
    </row>
    <row r="200" spans="1:18" x14ac:dyDescent="0.55000000000000004">
      <c r="A200">
        <v>2019</v>
      </c>
      <c r="B200" t="s">
        <v>703</v>
      </c>
      <c r="C200" t="s">
        <v>471</v>
      </c>
      <c r="F200" t="s">
        <v>471</v>
      </c>
      <c r="G200" s="28" t="s">
        <v>889</v>
      </c>
      <c r="H200" s="29">
        <f>INDEX(TransportationData!$A$6:$M$338,MATCH(FinalPayment_NoReorg!$F200,TransportationData!$A$6:$A$338,0),3)</f>
        <v>938</v>
      </c>
      <c r="I200" s="30">
        <f>INDEX(TransportationData!$A$6:$M$338,MATCH(FinalPayment_NoReorg!$F200,TransportationData!$A$6:$A$338,0),8)</f>
        <v>421345.46</v>
      </c>
      <c r="J200" s="28">
        <f t="shared" si="27"/>
        <v>449.2</v>
      </c>
      <c r="K200" s="31">
        <f t="shared" si="24"/>
        <v>347.65</v>
      </c>
      <c r="L200" s="32">
        <f t="shared" si="25"/>
        <v>95254</v>
      </c>
      <c r="M200" s="9">
        <f t="shared" si="28"/>
        <v>347.65</v>
      </c>
      <c r="N200" s="5">
        <f t="shared" si="26"/>
        <v>768</v>
      </c>
      <c r="O200" s="8">
        <f t="shared" si="29"/>
        <v>346.83</v>
      </c>
      <c r="Q200" s="5">
        <f t="shared" si="30"/>
        <v>0</v>
      </c>
      <c r="R200" s="8">
        <f t="shared" si="31"/>
        <v>346.83</v>
      </c>
    </row>
    <row r="201" spans="1:18" x14ac:dyDescent="0.55000000000000004">
      <c r="A201">
        <v>2019</v>
      </c>
      <c r="B201" t="s">
        <v>696</v>
      </c>
      <c r="C201" t="s">
        <v>470</v>
      </c>
      <c r="F201" t="s">
        <v>470</v>
      </c>
      <c r="G201" s="28" t="s">
        <v>890</v>
      </c>
      <c r="H201" s="29">
        <f>INDEX(TransportationData!$A$6:$M$338,MATCH(FinalPayment_NoReorg!$F201,TransportationData!$A$6:$A$338,0),3)</f>
        <v>495.2</v>
      </c>
      <c r="I201" s="30">
        <f>INDEX(TransportationData!$A$6:$M$338,MATCH(FinalPayment_NoReorg!$F201,TransportationData!$A$6:$A$338,0),8)</f>
        <v>150321.88</v>
      </c>
      <c r="J201" s="28">
        <f t="shared" si="27"/>
        <v>303.56</v>
      </c>
      <c r="K201" s="31">
        <f t="shared" si="24"/>
        <v>347.65</v>
      </c>
      <c r="L201" s="32">
        <f t="shared" si="25"/>
        <v>0</v>
      </c>
      <c r="M201" s="9">
        <f t="shared" si="28"/>
        <v>303.56</v>
      </c>
      <c r="N201" s="5">
        <f t="shared" si="26"/>
        <v>405</v>
      </c>
      <c r="O201" s="8">
        <f t="shared" si="29"/>
        <v>302.74</v>
      </c>
      <c r="Q201" s="5">
        <f t="shared" si="30"/>
        <v>0</v>
      </c>
      <c r="R201" s="8">
        <f t="shared" si="31"/>
        <v>302.74</v>
      </c>
    </row>
    <row r="202" spans="1:18" x14ac:dyDescent="0.55000000000000004">
      <c r="A202">
        <v>2019</v>
      </c>
      <c r="B202" t="s">
        <v>694</v>
      </c>
      <c r="C202" t="s">
        <v>472</v>
      </c>
      <c r="F202" t="s">
        <v>472</v>
      </c>
      <c r="G202" s="28" t="s">
        <v>891</v>
      </c>
      <c r="H202" s="29">
        <f>INDEX(TransportationData!$A$6:$M$338,MATCH(FinalPayment_NoReorg!$F202,TransportationData!$A$6:$A$338,0),3)</f>
        <v>432.4</v>
      </c>
      <c r="I202" s="30">
        <f>INDEX(TransportationData!$A$6:$M$338,MATCH(FinalPayment_NoReorg!$F202,TransportationData!$A$6:$A$338,0),8)</f>
        <v>217212.93000000002</v>
      </c>
      <c r="J202" s="28">
        <f t="shared" si="27"/>
        <v>502.34</v>
      </c>
      <c r="K202" s="31">
        <f t="shared" si="24"/>
        <v>347.65</v>
      </c>
      <c r="L202" s="32">
        <f t="shared" si="25"/>
        <v>66888</v>
      </c>
      <c r="M202" s="9">
        <f t="shared" si="28"/>
        <v>347.65</v>
      </c>
      <c r="N202" s="5">
        <f t="shared" si="26"/>
        <v>354</v>
      </c>
      <c r="O202" s="8">
        <f t="shared" si="29"/>
        <v>346.83</v>
      </c>
      <c r="Q202" s="5">
        <f t="shared" si="30"/>
        <v>0</v>
      </c>
      <c r="R202" s="8">
        <f t="shared" si="31"/>
        <v>346.83</v>
      </c>
    </row>
    <row r="203" spans="1:18" x14ac:dyDescent="0.55000000000000004">
      <c r="A203">
        <v>2019</v>
      </c>
      <c r="B203" t="s">
        <v>686</v>
      </c>
      <c r="C203" t="s">
        <v>469</v>
      </c>
      <c r="F203" t="s">
        <v>469</v>
      </c>
      <c r="G203" s="28" t="s">
        <v>892</v>
      </c>
      <c r="H203" s="29">
        <f>INDEX(TransportationData!$A$6:$M$338,MATCH(FinalPayment_NoReorg!$F203,TransportationData!$A$6:$A$338,0),3)</f>
        <v>3030.3</v>
      </c>
      <c r="I203" s="30">
        <f>INDEX(TransportationData!$A$6:$M$338,MATCH(FinalPayment_NoReorg!$F203,TransportationData!$A$6:$A$338,0),8)</f>
        <v>909457.49</v>
      </c>
      <c r="J203" s="28">
        <f t="shared" si="27"/>
        <v>300.12</v>
      </c>
      <c r="K203" s="31">
        <f t="shared" si="24"/>
        <v>347.65</v>
      </c>
      <c r="L203" s="32">
        <f t="shared" si="25"/>
        <v>0</v>
      </c>
      <c r="M203" s="9">
        <f t="shared" si="28"/>
        <v>300.12</v>
      </c>
      <c r="N203" s="5">
        <f t="shared" si="26"/>
        <v>2481</v>
      </c>
      <c r="O203" s="8">
        <f t="shared" si="29"/>
        <v>299.3</v>
      </c>
      <c r="Q203" s="5">
        <f t="shared" si="30"/>
        <v>0</v>
      </c>
      <c r="R203" s="8">
        <f t="shared" si="31"/>
        <v>299.3</v>
      </c>
    </row>
    <row r="204" spans="1:18" x14ac:dyDescent="0.55000000000000004">
      <c r="A204">
        <v>2019</v>
      </c>
      <c r="B204" t="s">
        <v>690</v>
      </c>
      <c r="C204" t="s">
        <v>553</v>
      </c>
      <c r="F204" t="s">
        <v>553</v>
      </c>
      <c r="G204" s="28" t="s">
        <v>1316</v>
      </c>
      <c r="H204" s="29">
        <f>INDEX(TransportationData!$A$6:$M$338,MATCH(FinalPayment_NoReorg!$F204,TransportationData!$A$6:$A$338,0),3)</f>
        <v>642.1</v>
      </c>
      <c r="I204" s="30">
        <f>INDEX(TransportationData!$A$6:$M$338,MATCH(FinalPayment_NoReorg!$F204,TransportationData!$A$6:$A$338,0),8)</f>
        <v>603062.64</v>
      </c>
      <c r="J204" s="28">
        <f t="shared" si="27"/>
        <v>939.2</v>
      </c>
      <c r="K204" s="31">
        <f t="shared" si="24"/>
        <v>347.65</v>
      </c>
      <c r="L204" s="32">
        <f t="shared" si="25"/>
        <v>379834</v>
      </c>
      <c r="M204" s="9">
        <f t="shared" si="28"/>
        <v>347.65</v>
      </c>
      <c r="N204" s="5">
        <f t="shared" si="26"/>
        <v>526</v>
      </c>
      <c r="O204" s="8">
        <f t="shared" si="29"/>
        <v>346.83</v>
      </c>
      <c r="Q204" s="5">
        <f t="shared" si="30"/>
        <v>0</v>
      </c>
      <c r="R204" s="8">
        <f t="shared" si="31"/>
        <v>346.83</v>
      </c>
    </row>
    <row r="205" spans="1:18" x14ac:dyDescent="0.55000000000000004">
      <c r="A205">
        <v>2019</v>
      </c>
      <c r="B205" t="s">
        <v>689</v>
      </c>
      <c r="C205" t="s">
        <v>673</v>
      </c>
      <c r="D205" t="s">
        <v>893</v>
      </c>
      <c r="F205" t="s">
        <v>673</v>
      </c>
      <c r="G205" s="28" t="s">
        <v>894</v>
      </c>
      <c r="H205" s="29">
        <f>INDEX(TransportationData!$A$6:$M$338,MATCH(FinalPayment_NoReorg!$F205,TransportationData!$A$6:$A$338,0),3)</f>
        <v>575.6</v>
      </c>
      <c r="I205" s="30">
        <f>INDEX(TransportationData!$A$6:$M$338,MATCH(FinalPayment_NoReorg!$F205,TransportationData!$A$6:$A$338,0),8)</f>
        <v>477154.8</v>
      </c>
      <c r="J205" s="28">
        <f t="shared" si="27"/>
        <v>828.97</v>
      </c>
      <c r="K205" s="31">
        <f t="shared" si="24"/>
        <v>347.65</v>
      </c>
      <c r="L205" s="32">
        <f t="shared" si="25"/>
        <v>277048</v>
      </c>
      <c r="M205" s="9">
        <f t="shared" si="28"/>
        <v>347.65</v>
      </c>
      <c r="N205" s="5">
        <f t="shared" si="26"/>
        <v>471</v>
      </c>
      <c r="O205" s="8">
        <f t="shared" si="29"/>
        <v>346.83</v>
      </c>
      <c r="Q205" s="5">
        <f t="shared" si="30"/>
        <v>0</v>
      </c>
      <c r="R205" s="8">
        <f t="shared" si="31"/>
        <v>346.83</v>
      </c>
    </row>
    <row r="206" spans="1:18" x14ac:dyDescent="0.55000000000000004">
      <c r="A206">
        <v>2019</v>
      </c>
      <c r="B206" t="s">
        <v>698</v>
      </c>
      <c r="C206" t="s">
        <v>511</v>
      </c>
      <c r="F206" t="s">
        <v>511</v>
      </c>
      <c r="G206" s="28" t="s">
        <v>895</v>
      </c>
      <c r="H206" s="29">
        <f>INDEX(TransportationData!$A$6:$M$338,MATCH(FinalPayment_NoReorg!$F206,TransportationData!$A$6:$A$338,0),3)</f>
        <v>774.3</v>
      </c>
      <c r="I206" s="30">
        <f>INDEX(TransportationData!$A$6:$M$338,MATCH(FinalPayment_NoReorg!$F206,TransportationData!$A$6:$A$338,0),8)</f>
        <v>322072.82</v>
      </c>
      <c r="J206" s="28">
        <f t="shared" si="27"/>
        <v>415.95</v>
      </c>
      <c r="K206" s="31">
        <f t="shared" si="24"/>
        <v>347.65</v>
      </c>
      <c r="L206" s="32">
        <f t="shared" si="25"/>
        <v>52885</v>
      </c>
      <c r="M206" s="9">
        <f t="shared" si="28"/>
        <v>347.65</v>
      </c>
      <c r="N206" s="5">
        <f t="shared" si="26"/>
        <v>634</v>
      </c>
      <c r="O206" s="8">
        <f t="shared" si="29"/>
        <v>346.83</v>
      </c>
      <c r="Q206" s="5">
        <f t="shared" si="30"/>
        <v>0</v>
      </c>
      <c r="R206" s="8">
        <f t="shared" si="31"/>
        <v>346.83</v>
      </c>
    </row>
    <row r="207" spans="1:18" x14ac:dyDescent="0.55000000000000004">
      <c r="A207">
        <v>2019</v>
      </c>
      <c r="B207" t="s">
        <v>703</v>
      </c>
      <c r="C207" t="s">
        <v>466</v>
      </c>
      <c r="D207" t="s">
        <v>381</v>
      </c>
      <c r="F207" t="s">
        <v>466</v>
      </c>
      <c r="G207" s="28" t="s">
        <v>1317</v>
      </c>
      <c r="H207" s="29">
        <f>INDEX(TransportationData!$A$6:$M$338,MATCH(FinalPayment_NoReorg!$F207,TransportationData!$A$6:$A$338,0),3)</f>
        <v>1124.4000000000001</v>
      </c>
      <c r="I207" s="30">
        <f>INDEX(TransportationData!$A$6:$M$338,MATCH(FinalPayment_NoReorg!$F207,TransportationData!$A$6:$A$338,0),8)</f>
        <v>578931.13</v>
      </c>
      <c r="J207" s="28">
        <f t="shared" si="27"/>
        <v>514.88</v>
      </c>
      <c r="K207" s="31">
        <f t="shared" si="24"/>
        <v>347.65</v>
      </c>
      <c r="L207" s="32">
        <f t="shared" si="25"/>
        <v>188033</v>
      </c>
      <c r="M207" s="9">
        <f t="shared" si="28"/>
        <v>347.65</v>
      </c>
      <c r="N207" s="5">
        <f t="shared" si="26"/>
        <v>920</v>
      </c>
      <c r="O207" s="8">
        <f t="shared" si="29"/>
        <v>346.83</v>
      </c>
      <c r="Q207" s="5">
        <f t="shared" si="30"/>
        <v>0</v>
      </c>
      <c r="R207" s="8">
        <f t="shared" si="31"/>
        <v>346.83</v>
      </c>
    </row>
    <row r="208" spans="1:18" x14ac:dyDescent="0.55000000000000004">
      <c r="A208">
        <v>2019</v>
      </c>
      <c r="B208" t="s">
        <v>689</v>
      </c>
      <c r="C208" t="s">
        <v>642</v>
      </c>
      <c r="F208" t="s">
        <v>642</v>
      </c>
      <c r="G208" s="28" t="s">
        <v>896</v>
      </c>
      <c r="H208" s="29">
        <f>INDEX(TransportationData!$A$6:$M$338,MATCH(FinalPayment_NoReorg!$F208,TransportationData!$A$6:$A$338,0),3)</f>
        <v>458</v>
      </c>
      <c r="I208" s="30">
        <f>INDEX(TransportationData!$A$6:$M$338,MATCH(FinalPayment_NoReorg!$F208,TransportationData!$A$6:$A$338,0),8)</f>
        <v>171583.3</v>
      </c>
      <c r="J208" s="28">
        <f t="shared" si="27"/>
        <v>374.64</v>
      </c>
      <c r="K208" s="31">
        <f t="shared" si="24"/>
        <v>347.65</v>
      </c>
      <c r="L208" s="32">
        <f t="shared" si="25"/>
        <v>12361</v>
      </c>
      <c r="M208" s="9">
        <f t="shared" si="28"/>
        <v>347.65</v>
      </c>
      <c r="N208" s="5">
        <f t="shared" si="26"/>
        <v>375</v>
      </c>
      <c r="O208" s="8">
        <f t="shared" si="29"/>
        <v>346.83</v>
      </c>
      <c r="Q208" s="5">
        <f t="shared" si="30"/>
        <v>0</v>
      </c>
      <c r="R208" s="8">
        <f t="shared" si="31"/>
        <v>346.83</v>
      </c>
    </row>
    <row r="209" spans="1:18" x14ac:dyDescent="0.55000000000000004">
      <c r="A209">
        <v>2019</v>
      </c>
      <c r="B209" t="s">
        <v>694</v>
      </c>
      <c r="C209" t="s">
        <v>462</v>
      </c>
      <c r="F209" t="s">
        <v>462</v>
      </c>
      <c r="G209" s="28" t="s">
        <v>897</v>
      </c>
      <c r="H209" s="29">
        <f>INDEX(TransportationData!$A$6:$M$338,MATCH(FinalPayment_NoReorg!$F209,TransportationData!$A$6:$A$338,0),3)</f>
        <v>273.8</v>
      </c>
      <c r="I209" s="30">
        <f>INDEX(TransportationData!$A$6:$M$338,MATCH(FinalPayment_NoReorg!$F209,TransportationData!$A$6:$A$338,0),8)</f>
        <v>194883.17</v>
      </c>
      <c r="J209" s="28">
        <f t="shared" si="27"/>
        <v>711.77</v>
      </c>
      <c r="K209" s="31">
        <f t="shared" si="24"/>
        <v>347.65</v>
      </c>
      <c r="L209" s="32">
        <f t="shared" si="25"/>
        <v>99696</v>
      </c>
      <c r="M209" s="9">
        <f t="shared" si="28"/>
        <v>347.65</v>
      </c>
      <c r="N209" s="5">
        <f t="shared" si="26"/>
        <v>224</v>
      </c>
      <c r="O209" s="8">
        <f t="shared" si="29"/>
        <v>346.83</v>
      </c>
      <c r="Q209" s="5">
        <f t="shared" si="30"/>
        <v>0</v>
      </c>
      <c r="R209" s="8">
        <f t="shared" si="31"/>
        <v>346.83</v>
      </c>
    </row>
    <row r="210" spans="1:18" x14ac:dyDescent="0.55000000000000004">
      <c r="A210">
        <v>2019</v>
      </c>
      <c r="B210" t="s">
        <v>698</v>
      </c>
      <c r="C210" t="s">
        <v>463</v>
      </c>
      <c r="F210" t="s">
        <v>463</v>
      </c>
      <c r="G210" s="28" t="s">
        <v>898</v>
      </c>
      <c r="H210" s="29">
        <f>INDEX(TransportationData!$A$6:$M$338,MATCH(FinalPayment_NoReorg!$F210,TransportationData!$A$6:$A$338,0),3)</f>
        <v>618.20000000000005</v>
      </c>
      <c r="I210" s="30">
        <f>INDEX(TransportationData!$A$6:$M$338,MATCH(FinalPayment_NoReorg!$F210,TransportationData!$A$6:$A$338,0),8)</f>
        <v>295255.77999999997</v>
      </c>
      <c r="J210" s="28">
        <f t="shared" si="27"/>
        <v>477.61</v>
      </c>
      <c r="K210" s="31">
        <f t="shared" si="24"/>
        <v>347.65</v>
      </c>
      <c r="L210" s="32">
        <f t="shared" si="25"/>
        <v>80341</v>
      </c>
      <c r="M210" s="9">
        <f t="shared" si="28"/>
        <v>347.65</v>
      </c>
      <c r="N210" s="5">
        <f t="shared" si="26"/>
        <v>506</v>
      </c>
      <c r="O210" s="8">
        <f t="shared" si="29"/>
        <v>346.83</v>
      </c>
      <c r="Q210" s="5">
        <f t="shared" si="30"/>
        <v>0</v>
      </c>
      <c r="R210" s="8">
        <f t="shared" si="31"/>
        <v>346.83</v>
      </c>
    </row>
    <row r="211" spans="1:18" x14ac:dyDescent="0.55000000000000004">
      <c r="A211">
        <v>2019</v>
      </c>
      <c r="B211" t="s">
        <v>696</v>
      </c>
      <c r="C211" t="s">
        <v>464</v>
      </c>
      <c r="F211" t="s">
        <v>464</v>
      </c>
      <c r="G211" s="28" t="s">
        <v>899</v>
      </c>
      <c r="H211" s="29">
        <f>INDEX(TransportationData!$A$6:$M$338,MATCH(FinalPayment_NoReorg!$F211,TransportationData!$A$6:$A$338,0),3)</f>
        <v>450.1</v>
      </c>
      <c r="I211" s="30">
        <f>INDEX(TransportationData!$A$6:$M$338,MATCH(FinalPayment_NoReorg!$F211,TransportationData!$A$6:$A$338,0),8)</f>
        <v>188396.78999999998</v>
      </c>
      <c r="J211" s="28">
        <f t="shared" si="27"/>
        <v>418.57</v>
      </c>
      <c r="K211" s="31">
        <f t="shared" si="24"/>
        <v>347.65</v>
      </c>
      <c r="L211" s="32">
        <f t="shared" si="25"/>
        <v>31921</v>
      </c>
      <c r="M211" s="9">
        <f t="shared" si="28"/>
        <v>347.65</v>
      </c>
      <c r="N211" s="5">
        <f t="shared" si="26"/>
        <v>368</v>
      </c>
      <c r="O211" s="8">
        <f t="shared" si="29"/>
        <v>346.83</v>
      </c>
      <c r="Q211" s="5">
        <f t="shared" si="30"/>
        <v>0</v>
      </c>
      <c r="R211" s="8">
        <f t="shared" si="31"/>
        <v>346.83</v>
      </c>
    </row>
    <row r="212" spans="1:18" x14ac:dyDescent="0.55000000000000004">
      <c r="A212">
        <v>2019</v>
      </c>
      <c r="B212" t="s">
        <v>686</v>
      </c>
      <c r="C212" t="s">
        <v>461</v>
      </c>
      <c r="F212" t="s">
        <v>461</v>
      </c>
      <c r="G212" s="28" t="s">
        <v>900</v>
      </c>
      <c r="H212" s="29">
        <f>INDEX(TransportationData!$A$6:$M$338,MATCH(FinalPayment_NoReorg!$F212,TransportationData!$A$6:$A$338,0),3)</f>
        <v>1727.5</v>
      </c>
      <c r="I212" s="30">
        <f>INDEX(TransportationData!$A$6:$M$338,MATCH(FinalPayment_NoReorg!$F212,TransportationData!$A$6:$A$338,0),8)</f>
        <v>736195.24</v>
      </c>
      <c r="J212" s="28">
        <f t="shared" si="27"/>
        <v>426.16</v>
      </c>
      <c r="K212" s="31">
        <f t="shared" si="24"/>
        <v>347.65</v>
      </c>
      <c r="L212" s="32">
        <f t="shared" si="25"/>
        <v>135626</v>
      </c>
      <c r="M212" s="9">
        <f t="shared" si="28"/>
        <v>347.65</v>
      </c>
      <c r="N212" s="5">
        <f t="shared" si="26"/>
        <v>1414</v>
      </c>
      <c r="O212" s="8">
        <f t="shared" si="29"/>
        <v>346.83</v>
      </c>
      <c r="Q212" s="5">
        <f t="shared" si="30"/>
        <v>0</v>
      </c>
      <c r="R212" s="8">
        <f t="shared" si="31"/>
        <v>346.83</v>
      </c>
    </row>
    <row r="213" spans="1:18" x14ac:dyDescent="0.55000000000000004">
      <c r="A213">
        <v>2019</v>
      </c>
      <c r="B213" t="s">
        <v>707</v>
      </c>
      <c r="C213" t="s">
        <v>460</v>
      </c>
      <c r="F213" t="s">
        <v>460</v>
      </c>
      <c r="G213" s="28" t="s">
        <v>901</v>
      </c>
      <c r="H213" s="29">
        <f>INDEX(TransportationData!$A$6:$M$338,MATCH(FinalPayment_NoReorg!$F213,TransportationData!$A$6:$A$338,0),3)</f>
        <v>3077.3</v>
      </c>
      <c r="I213" s="30">
        <f>INDEX(TransportationData!$A$6:$M$338,MATCH(FinalPayment_NoReorg!$F213,TransportationData!$A$6:$A$338,0),8)</f>
        <v>861290.1</v>
      </c>
      <c r="J213" s="28">
        <f t="shared" si="27"/>
        <v>279.88</v>
      </c>
      <c r="K213" s="31">
        <f t="shared" si="24"/>
        <v>347.65</v>
      </c>
      <c r="L213" s="32">
        <f t="shared" si="25"/>
        <v>0</v>
      </c>
      <c r="M213" s="9">
        <f t="shared" si="28"/>
        <v>279.88</v>
      </c>
      <c r="N213" s="5">
        <f t="shared" si="26"/>
        <v>2519</v>
      </c>
      <c r="O213" s="8">
        <f t="shared" si="29"/>
        <v>279.07</v>
      </c>
      <c r="Q213" s="5">
        <f t="shared" si="30"/>
        <v>0</v>
      </c>
      <c r="R213" s="8">
        <f t="shared" si="31"/>
        <v>279.07</v>
      </c>
    </row>
    <row r="214" spans="1:18" x14ac:dyDescent="0.55000000000000004">
      <c r="A214">
        <v>2019</v>
      </c>
      <c r="B214" t="s">
        <v>689</v>
      </c>
      <c r="C214" t="s">
        <v>459</v>
      </c>
      <c r="F214" t="s">
        <v>459</v>
      </c>
      <c r="G214" s="28" t="s">
        <v>902</v>
      </c>
      <c r="H214" s="29">
        <f>INDEX(TransportationData!$A$6:$M$338,MATCH(FinalPayment_NoReorg!$F214,TransportationData!$A$6:$A$338,0),3)</f>
        <v>446</v>
      </c>
      <c r="I214" s="30">
        <f>INDEX(TransportationData!$A$6:$M$338,MATCH(FinalPayment_NoReorg!$F214,TransportationData!$A$6:$A$338,0),8)</f>
        <v>239001.86</v>
      </c>
      <c r="J214" s="28">
        <f t="shared" si="27"/>
        <v>535.88</v>
      </c>
      <c r="K214" s="31">
        <f t="shared" si="24"/>
        <v>347.65</v>
      </c>
      <c r="L214" s="32">
        <f t="shared" si="25"/>
        <v>83951</v>
      </c>
      <c r="M214" s="9">
        <f t="shared" si="28"/>
        <v>347.65</v>
      </c>
      <c r="N214" s="5">
        <f t="shared" si="26"/>
        <v>365</v>
      </c>
      <c r="O214" s="8">
        <f t="shared" si="29"/>
        <v>346.83</v>
      </c>
      <c r="Q214" s="5">
        <f t="shared" si="30"/>
        <v>0</v>
      </c>
      <c r="R214" s="8">
        <f t="shared" si="31"/>
        <v>346.83</v>
      </c>
    </row>
    <row r="215" spans="1:18" x14ac:dyDescent="0.55000000000000004">
      <c r="A215">
        <v>2019</v>
      </c>
      <c r="B215" t="s">
        <v>694</v>
      </c>
      <c r="C215" t="s">
        <v>666</v>
      </c>
      <c r="F215" t="s">
        <v>666</v>
      </c>
      <c r="G215" s="28" t="s">
        <v>903</v>
      </c>
      <c r="H215" s="29">
        <f>INDEX(TransportationData!$A$6:$M$338,MATCH(FinalPayment_NoReorg!$F215,TransportationData!$A$6:$A$338,0),3)</f>
        <v>410.3</v>
      </c>
      <c r="I215" s="30">
        <f>INDEX(TransportationData!$A$6:$M$338,MATCH(FinalPayment_NoReorg!$F215,TransportationData!$A$6:$A$338,0),8)</f>
        <v>270775.21999999997</v>
      </c>
      <c r="J215" s="28">
        <f t="shared" si="27"/>
        <v>659.94</v>
      </c>
      <c r="K215" s="31">
        <f t="shared" si="24"/>
        <v>347.65</v>
      </c>
      <c r="L215" s="32">
        <f t="shared" si="25"/>
        <v>128133</v>
      </c>
      <c r="M215" s="9">
        <f t="shared" si="28"/>
        <v>347.65</v>
      </c>
      <c r="N215" s="5">
        <f t="shared" si="26"/>
        <v>336</v>
      </c>
      <c r="O215" s="8">
        <f t="shared" si="29"/>
        <v>346.83</v>
      </c>
      <c r="Q215" s="5">
        <f t="shared" si="30"/>
        <v>0</v>
      </c>
      <c r="R215" s="8">
        <f t="shared" si="31"/>
        <v>346.83</v>
      </c>
    </row>
    <row r="216" spans="1:18" x14ac:dyDescent="0.55000000000000004">
      <c r="A216">
        <v>2019</v>
      </c>
      <c r="B216" t="s">
        <v>703</v>
      </c>
      <c r="C216" t="s">
        <v>458</v>
      </c>
      <c r="F216" t="s">
        <v>458</v>
      </c>
      <c r="G216" s="28" t="s">
        <v>904</v>
      </c>
      <c r="H216" s="29">
        <f>INDEX(TransportationData!$A$6:$M$338,MATCH(FinalPayment_NoReorg!$F216,TransportationData!$A$6:$A$338,0),3)</f>
        <v>265</v>
      </c>
      <c r="I216" s="30">
        <f>INDEX(TransportationData!$A$6:$M$338,MATCH(FinalPayment_NoReorg!$F216,TransportationData!$A$6:$A$338,0),8)</f>
        <v>235674.43</v>
      </c>
      <c r="J216" s="28">
        <f t="shared" si="27"/>
        <v>889.34</v>
      </c>
      <c r="K216" s="31">
        <f t="shared" si="24"/>
        <v>347.65</v>
      </c>
      <c r="L216" s="32">
        <f t="shared" si="25"/>
        <v>143548</v>
      </c>
      <c r="M216" s="9">
        <f t="shared" si="28"/>
        <v>347.65</v>
      </c>
      <c r="N216" s="5">
        <f t="shared" si="26"/>
        <v>217</v>
      </c>
      <c r="O216" s="8">
        <f t="shared" si="29"/>
        <v>346.83</v>
      </c>
      <c r="Q216" s="5">
        <f t="shared" si="30"/>
        <v>0</v>
      </c>
      <c r="R216" s="8">
        <f t="shared" si="31"/>
        <v>346.83</v>
      </c>
    </row>
    <row r="217" spans="1:18" x14ac:dyDescent="0.55000000000000004">
      <c r="A217">
        <v>2019</v>
      </c>
      <c r="B217" t="s">
        <v>707</v>
      </c>
      <c r="C217" t="s">
        <v>467</v>
      </c>
      <c r="F217" t="s">
        <v>467</v>
      </c>
      <c r="G217" s="28" t="s">
        <v>905</v>
      </c>
      <c r="H217" s="29">
        <f>INDEX(TransportationData!$A$6:$M$338,MATCH(FinalPayment_NoReorg!$F217,TransportationData!$A$6:$A$338,0),3)</f>
        <v>522.6</v>
      </c>
      <c r="I217" s="30">
        <f>INDEX(TransportationData!$A$6:$M$338,MATCH(FinalPayment_NoReorg!$F217,TransportationData!$A$6:$A$338,0),8)</f>
        <v>330889.15999999997</v>
      </c>
      <c r="J217" s="28">
        <f t="shared" si="27"/>
        <v>633.16</v>
      </c>
      <c r="K217" s="31">
        <f t="shared" si="24"/>
        <v>347.65</v>
      </c>
      <c r="L217" s="32">
        <f t="shared" si="25"/>
        <v>149208</v>
      </c>
      <c r="M217" s="9">
        <f t="shared" si="28"/>
        <v>347.65</v>
      </c>
      <c r="N217" s="5">
        <f t="shared" si="26"/>
        <v>428</v>
      </c>
      <c r="O217" s="8">
        <f t="shared" si="29"/>
        <v>346.83</v>
      </c>
      <c r="Q217" s="5">
        <f t="shared" si="30"/>
        <v>0</v>
      </c>
      <c r="R217" s="8">
        <f t="shared" si="31"/>
        <v>346.83</v>
      </c>
    </row>
    <row r="218" spans="1:18" x14ac:dyDescent="0.55000000000000004">
      <c r="A218">
        <v>2019</v>
      </c>
      <c r="B218" t="s">
        <v>694</v>
      </c>
      <c r="C218" t="s">
        <v>465</v>
      </c>
      <c r="F218" t="s">
        <v>465</v>
      </c>
      <c r="G218" s="28" t="s">
        <v>906</v>
      </c>
      <c r="H218" s="29">
        <f>INDEX(TransportationData!$A$6:$M$338,MATCH(FinalPayment_NoReorg!$F218,TransportationData!$A$6:$A$338,0),3)</f>
        <v>186.5</v>
      </c>
      <c r="I218" s="30">
        <f>INDEX(TransportationData!$A$6:$M$338,MATCH(FinalPayment_NoReorg!$F218,TransportationData!$A$6:$A$338,0),8)</f>
        <v>146378.20000000001</v>
      </c>
      <c r="J218" s="28">
        <f t="shared" si="27"/>
        <v>784.87</v>
      </c>
      <c r="K218" s="31">
        <f t="shared" si="24"/>
        <v>347.65</v>
      </c>
      <c r="L218" s="32">
        <f t="shared" si="25"/>
        <v>81542</v>
      </c>
      <c r="M218" s="9">
        <f t="shared" si="28"/>
        <v>347.65</v>
      </c>
      <c r="N218" s="5">
        <f t="shared" si="26"/>
        <v>153</v>
      </c>
      <c r="O218" s="8">
        <f t="shared" si="29"/>
        <v>346.83</v>
      </c>
      <c r="Q218" s="5">
        <f t="shared" si="30"/>
        <v>0</v>
      </c>
      <c r="R218" s="8">
        <f t="shared" si="31"/>
        <v>346.83</v>
      </c>
    </row>
    <row r="219" spans="1:18" x14ac:dyDescent="0.55000000000000004">
      <c r="A219">
        <v>2019</v>
      </c>
      <c r="B219" t="s">
        <v>689</v>
      </c>
      <c r="C219" t="s">
        <v>457</v>
      </c>
      <c r="F219" t="s">
        <v>457</v>
      </c>
      <c r="G219" s="28" t="s">
        <v>907</v>
      </c>
      <c r="H219" s="29">
        <f>INDEX(TransportationData!$A$6:$M$338,MATCH(FinalPayment_NoReorg!$F219,TransportationData!$A$6:$A$338,0),3)</f>
        <v>511.5</v>
      </c>
      <c r="I219" s="30">
        <f>INDEX(TransportationData!$A$6:$M$338,MATCH(FinalPayment_NoReorg!$F219,TransportationData!$A$6:$A$338,0),8)</f>
        <v>228061.35</v>
      </c>
      <c r="J219" s="28">
        <f t="shared" si="27"/>
        <v>445.87</v>
      </c>
      <c r="K219" s="31">
        <f t="shared" si="24"/>
        <v>347.65</v>
      </c>
      <c r="L219" s="32">
        <f t="shared" si="25"/>
        <v>50240</v>
      </c>
      <c r="M219" s="9">
        <f t="shared" si="28"/>
        <v>347.65</v>
      </c>
      <c r="N219" s="5">
        <f t="shared" si="26"/>
        <v>419</v>
      </c>
      <c r="O219" s="8">
        <f t="shared" si="29"/>
        <v>346.83</v>
      </c>
      <c r="Q219" s="5">
        <f t="shared" si="30"/>
        <v>0</v>
      </c>
      <c r="R219" s="8">
        <f t="shared" si="31"/>
        <v>346.83</v>
      </c>
    </row>
    <row r="220" spans="1:18" x14ac:dyDescent="0.55000000000000004">
      <c r="A220">
        <v>2019</v>
      </c>
      <c r="B220" t="s">
        <v>686</v>
      </c>
      <c r="C220" t="s">
        <v>456</v>
      </c>
      <c r="F220" t="s">
        <v>456</v>
      </c>
      <c r="G220" s="28" t="s">
        <v>908</v>
      </c>
      <c r="H220" s="29">
        <f>INDEX(TransportationData!$A$6:$M$338,MATCH(FinalPayment_NoReorg!$F220,TransportationData!$A$6:$A$338,0),3)</f>
        <v>2993.6</v>
      </c>
      <c r="I220" s="30">
        <f>INDEX(TransportationData!$A$6:$M$338,MATCH(FinalPayment_NoReorg!$F220,TransportationData!$A$6:$A$338,0),8)</f>
        <v>538672.91999999993</v>
      </c>
      <c r="J220" s="28">
        <f t="shared" si="27"/>
        <v>179.94</v>
      </c>
      <c r="K220" s="31">
        <f t="shared" si="24"/>
        <v>347.65</v>
      </c>
      <c r="L220" s="32">
        <f t="shared" si="25"/>
        <v>0</v>
      </c>
      <c r="M220" s="9">
        <f t="shared" si="28"/>
        <v>179.94</v>
      </c>
      <c r="N220" s="5">
        <f t="shared" si="26"/>
        <v>2450</v>
      </c>
      <c r="O220" s="8">
        <f t="shared" si="29"/>
        <v>179.12</v>
      </c>
      <c r="Q220" s="5">
        <f t="shared" si="30"/>
        <v>0</v>
      </c>
      <c r="R220" s="8">
        <f t="shared" si="31"/>
        <v>179.12</v>
      </c>
    </row>
    <row r="221" spans="1:18" x14ac:dyDescent="0.55000000000000004">
      <c r="A221">
        <v>2019</v>
      </c>
      <c r="B221" t="s">
        <v>692</v>
      </c>
      <c r="C221" t="s">
        <v>455</v>
      </c>
      <c r="D221" t="s">
        <v>659</v>
      </c>
      <c r="F221" t="s">
        <v>455</v>
      </c>
      <c r="G221" s="28" t="s">
        <v>1318</v>
      </c>
      <c r="H221" s="29">
        <f>INDEX(TransportationData!$A$6:$M$338,MATCH(FinalPayment_NoReorg!$F221,TransportationData!$A$6:$A$338,0),3)</f>
        <v>987.4</v>
      </c>
      <c r="I221" s="30">
        <f>INDEX(TransportationData!$A$6:$M$338,MATCH(FinalPayment_NoReorg!$F221,TransportationData!$A$6:$A$338,0),8)</f>
        <v>425944.18</v>
      </c>
      <c r="J221" s="28">
        <f t="shared" si="27"/>
        <v>431.38</v>
      </c>
      <c r="K221" s="31">
        <f t="shared" si="24"/>
        <v>347.65</v>
      </c>
      <c r="L221" s="32">
        <f t="shared" si="25"/>
        <v>82675</v>
      </c>
      <c r="M221" s="9">
        <f t="shared" si="28"/>
        <v>347.65</v>
      </c>
      <c r="N221" s="5">
        <f t="shared" si="26"/>
        <v>808</v>
      </c>
      <c r="O221" s="8">
        <f t="shared" si="29"/>
        <v>346.83</v>
      </c>
      <c r="Q221" s="5">
        <f t="shared" si="30"/>
        <v>0</v>
      </c>
      <c r="R221" s="8">
        <f t="shared" si="31"/>
        <v>346.83</v>
      </c>
    </row>
    <row r="222" spans="1:18" x14ac:dyDescent="0.55000000000000004">
      <c r="A222">
        <v>2019</v>
      </c>
      <c r="B222" t="s">
        <v>703</v>
      </c>
      <c r="C222" t="s">
        <v>454</v>
      </c>
      <c r="F222" t="s">
        <v>454</v>
      </c>
      <c r="G222" s="28" t="s">
        <v>909</v>
      </c>
      <c r="H222" s="29">
        <f>INDEX(TransportationData!$A$6:$M$338,MATCH(FinalPayment_NoReorg!$F222,TransportationData!$A$6:$A$338,0),3)</f>
        <v>1317.1999999999998</v>
      </c>
      <c r="I222" s="30">
        <f>INDEX(TransportationData!$A$6:$M$338,MATCH(FinalPayment_NoReorg!$F222,TransportationData!$A$6:$A$338,0),8)</f>
        <v>292837.87</v>
      </c>
      <c r="J222" s="28">
        <f t="shared" si="27"/>
        <v>222.32</v>
      </c>
      <c r="K222" s="31">
        <f t="shared" si="24"/>
        <v>347.65</v>
      </c>
      <c r="L222" s="32">
        <f t="shared" si="25"/>
        <v>0</v>
      </c>
      <c r="M222" s="9">
        <f t="shared" si="28"/>
        <v>222.32</v>
      </c>
      <c r="N222" s="5">
        <f t="shared" si="26"/>
        <v>1078</v>
      </c>
      <c r="O222" s="8">
        <f t="shared" si="29"/>
        <v>221.5</v>
      </c>
      <c r="Q222" s="5">
        <f t="shared" si="30"/>
        <v>0</v>
      </c>
      <c r="R222" s="8">
        <f t="shared" si="31"/>
        <v>221.5</v>
      </c>
    </row>
    <row r="223" spans="1:18" x14ac:dyDescent="0.55000000000000004">
      <c r="A223">
        <v>2019</v>
      </c>
      <c r="B223" t="s">
        <v>686</v>
      </c>
      <c r="C223" t="s">
        <v>453</v>
      </c>
      <c r="F223" t="s">
        <v>453</v>
      </c>
      <c r="G223" s="28" t="s">
        <v>910</v>
      </c>
      <c r="H223" s="29">
        <f>INDEX(TransportationData!$A$6:$M$338,MATCH(FinalPayment_NoReorg!$F223,TransportationData!$A$6:$A$338,0),3)</f>
        <v>609.20000000000005</v>
      </c>
      <c r="I223" s="30">
        <f>INDEX(TransportationData!$A$6:$M$338,MATCH(FinalPayment_NoReorg!$F223,TransportationData!$A$6:$A$338,0),8)</f>
        <v>223745.07</v>
      </c>
      <c r="J223" s="28">
        <f t="shared" si="27"/>
        <v>367.28</v>
      </c>
      <c r="K223" s="31">
        <f t="shared" si="24"/>
        <v>347.65</v>
      </c>
      <c r="L223" s="32">
        <f t="shared" si="25"/>
        <v>11959</v>
      </c>
      <c r="M223" s="9">
        <f t="shared" si="28"/>
        <v>347.65</v>
      </c>
      <c r="N223" s="5">
        <f t="shared" si="26"/>
        <v>499</v>
      </c>
      <c r="O223" s="8">
        <f t="shared" si="29"/>
        <v>346.83</v>
      </c>
      <c r="Q223" s="5">
        <f t="shared" si="30"/>
        <v>0</v>
      </c>
      <c r="R223" s="8">
        <f t="shared" si="31"/>
        <v>346.83</v>
      </c>
    </row>
    <row r="224" spans="1:18" x14ac:dyDescent="0.55000000000000004">
      <c r="A224">
        <v>2019</v>
      </c>
      <c r="B224" t="s">
        <v>694</v>
      </c>
      <c r="C224" t="s">
        <v>452</v>
      </c>
      <c r="F224" t="s">
        <v>452</v>
      </c>
      <c r="G224" s="28" t="s">
        <v>911</v>
      </c>
      <c r="H224" s="29">
        <f>INDEX(TransportationData!$A$6:$M$338,MATCH(FinalPayment_NoReorg!$F224,TransportationData!$A$6:$A$338,0),3)</f>
        <v>978.4</v>
      </c>
      <c r="I224" s="30">
        <f>INDEX(TransportationData!$A$6:$M$338,MATCH(FinalPayment_NoReorg!$F224,TransportationData!$A$6:$A$338,0),8)</f>
        <v>335692.07999999996</v>
      </c>
      <c r="J224" s="28">
        <f t="shared" si="27"/>
        <v>343.1</v>
      </c>
      <c r="K224" s="31">
        <f t="shared" si="24"/>
        <v>347.65</v>
      </c>
      <c r="L224" s="32">
        <f t="shared" si="25"/>
        <v>0</v>
      </c>
      <c r="M224" s="9">
        <f t="shared" si="28"/>
        <v>343.1</v>
      </c>
      <c r="N224" s="5">
        <f t="shared" si="26"/>
        <v>801</v>
      </c>
      <c r="O224" s="8">
        <f t="shared" si="29"/>
        <v>342.28</v>
      </c>
      <c r="Q224" s="5">
        <f t="shared" si="30"/>
        <v>0</v>
      </c>
      <c r="R224" s="8">
        <f t="shared" si="31"/>
        <v>342.28</v>
      </c>
    </row>
    <row r="225" spans="1:18" x14ac:dyDescent="0.55000000000000004">
      <c r="A225">
        <v>2019</v>
      </c>
      <c r="B225" t="s">
        <v>698</v>
      </c>
      <c r="C225" t="s">
        <v>451</v>
      </c>
      <c r="F225" t="s">
        <v>451</v>
      </c>
      <c r="G225" s="28" t="s">
        <v>912</v>
      </c>
      <c r="H225" s="29">
        <f>INDEX(TransportationData!$A$6:$M$338,MATCH(FinalPayment_NoReorg!$F225,TransportationData!$A$6:$A$338,0),3)</f>
        <v>212</v>
      </c>
      <c r="I225" s="30">
        <f>INDEX(TransportationData!$A$6:$M$338,MATCH(FinalPayment_NoReorg!$F225,TransportationData!$A$6:$A$338,0),8)</f>
        <v>147804.53</v>
      </c>
      <c r="J225" s="28">
        <f t="shared" si="27"/>
        <v>697.19</v>
      </c>
      <c r="K225" s="31">
        <f t="shared" si="24"/>
        <v>347.65</v>
      </c>
      <c r="L225" s="32">
        <f t="shared" si="25"/>
        <v>74102</v>
      </c>
      <c r="M225" s="9">
        <f t="shared" si="28"/>
        <v>347.65</v>
      </c>
      <c r="N225" s="5">
        <f t="shared" si="26"/>
        <v>174</v>
      </c>
      <c r="O225" s="8">
        <f t="shared" si="29"/>
        <v>346.83</v>
      </c>
      <c r="Q225" s="5">
        <f t="shared" si="30"/>
        <v>0</v>
      </c>
      <c r="R225" s="8">
        <f t="shared" si="31"/>
        <v>346.83</v>
      </c>
    </row>
    <row r="226" spans="1:18" x14ac:dyDescent="0.55000000000000004">
      <c r="A226">
        <v>2019</v>
      </c>
      <c r="B226" t="s">
        <v>690</v>
      </c>
      <c r="C226" t="s">
        <v>450</v>
      </c>
      <c r="F226" t="s">
        <v>450</v>
      </c>
      <c r="G226" s="28" t="s">
        <v>913</v>
      </c>
      <c r="H226" s="29">
        <f>INDEX(TransportationData!$A$6:$M$338,MATCH(FinalPayment_NoReorg!$F226,TransportationData!$A$6:$A$338,0),3)</f>
        <v>190.3</v>
      </c>
      <c r="I226" s="30">
        <f>INDEX(TransportationData!$A$6:$M$338,MATCH(FinalPayment_NoReorg!$F226,TransportationData!$A$6:$A$338,0),8)</f>
        <v>98322.180000000008</v>
      </c>
      <c r="J226" s="28">
        <f t="shared" si="27"/>
        <v>516.66999999999996</v>
      </c>
      <c r="K226" s="31">
        <f t="shared" si="24"/>
        <v>347.65</v>
      </c>
      <c r="L226" s="32">
        <f t="shared" si="25"/>
        <v>32165</v>
      </c>
      <c r="M226" s="9">
        <f t="shared" si="28"/>
        <v>347.65</v>
      </c>
      <c r="N226" s="5">
        <f t="shared" si="26"/>
        <v>156</v>
      </c>
      <c r="O226" s="8">
        <f t="shared" si="29"/>
        <v>346.83</v>
      </c>
      <c r="Q226" s="5">
        <f t="shared" si="30"/>
        <v>0</v>
      </c>
      <c r="R226" s="8">
        <f t="shared" si="31"/>
        <v>346.83</v>
      </c>
    </row>
    <row r="227" spans="1:18" x14ac:dyDescent="0.55000000000000004">
      <c r="A227">
        <v>2019</v>
      </c>
      <c r="B227" t="s">
        <v>689</v>
      </c>
      <c r="C227" t="s">
        <v>449</v>
      </c>
      <c r="F227" t="s">
        <v>449</v>
      </c>
      <c r="G227" s="28" t="s">
        <v>914</v>
      </c>
      <c r="H227" s="29">
        <f>INDEX(TransportationData!$A$6:$M$338,MATCH(FinalPayment_NoReorg!$F227,TransportationData!$A$6:$A$338,0),3)</f>
        <v>918.7</v>
      </c>
      <c r="I227" s="30">
        <f>INDEX(TransportationData!$A$6:$M$338,MATCH(FinalPayment_NoReorg!$F227,TransportationData!$A$6:$A$338,0),8)</f>
        <v>501219.01999999996</v>
      </c>
      <c r="J227" s="28">
        <f t="shared" si="27"/>
        <v>545.57000000000005</v>
      </c>
      <c r="K227" s="31">
        <f t="shared" si="24"/>
        <v>347.65</v>
      </c>
      <c r="L227" s="32">
        <f t="shared" si="25"/>
        <v>181829</v>
      </c>
      <c r="M227" s="9">
        <f t="shared" si="28"/>
        <v>347.65</v>
      </c>
      <c r="N227" s="5">
        <f t="shared" si="26"/>
        <v>752</v>
      </c>
      <c r="O227" s="8">
        <f t="shared" si="29"/>
        <v>346.84</v>
      </c>
      <c r="Q227" s="5">
        <f t="shared" si="30"/>
        <v>0</v>
      </c>
      <c r="R227" s="8">
        <f t="shared" si="31"/>
        <v>346.84</v>
      </c>
    </row>
    <row r="228" spans="1:18" x14ac:dyDescent="0.55000000000000004">
      <c r="A228">
        <v>2019</v>
      </c>
      <c r="B228" t="s">
        <v>696</v>
      </c>
      <c r="C228" t="s">
        <v>448</v>
      </c>
      <c r="F228" t="s">
        <v>448</v>
      </c>
      <c r="G228" s="28" t="s">
        <v>915</v>
      </c>
      <c r="H228" s="29">
        <f>INDEX(TransportationData!$A$6:$M$338,MATCH(FinalPayment_NoReorg!$F228,TransportationData!$A$6:$A$338,0),3)</f>
        <v>2328.5</v>
      </c>
      <c r="I228" s="30">
        <f>INDEX(TransportationData!$A$6:$M$338,MATCH(FinalPayment_NoReorg!$F228,TransportationData!$A$6:$A$338,0),8)</f>
        <v>865987.08000000007</v>
      </c>
      <c r="J228" s="28">
        <f t="shared" si="27"/>
        <v>371.91</v>
      </c>
      <c r="K228" s="31">
        <f t="shared" si="24"/>
        <v>347.65</v>
      </c>
      <c r="L228" s="32">
        <f t="shared" si="25"/>
        <v>56489</v>
      </c>
      <c r="M228" s="9">
        <f t="shared" si="28"/>
        <v>347.65</v>
      </c>
      <c r="N228" s="5">
        <f t="shared" si="26"/>
        <v>1906</v>
      </c>
      <c r="O228" s="8">
        <f t="shared" si="29"/>
        <v>346.83</v>
      </c>
      <c r="Q228" s="5">
        <f t="shared" si="30"/>
        <v>0</v>
      </c>
      <c r="R228" s="8">
        <f t="shared" si="31"/>
        <v>346.83</v>
      </c>
    </row>
    <row r="229" spans="1:18" x14ac:dyDescent="0.55000000000000004">
      <c r="A229">
        <v>2019</v>
      </c>
      <c r="B229" t="s">
        <v>696</v>
      </c>
      <c r="C229" t="s">
        <v>447</v>
      </c>
      <c r="F229" t="s">
        <v>447</v>
      </c>
      <c r="G229" s="28" t="s">
        <v>916</v>
      </c>
      <c r="H229" s="29">
        <f>INDEX(TransportationData!$A$6:$M$338,MATCH(FinalPayment_NoReorg!$F229,TransportationData!$A$6:$A$338,0),3)</f>
        <v>4655</v>
      </c>
      <c r="I229" s="30">
        <f>INDEX(TransportationData!$A$6:$M$338,MATCH(FinalPayment_NoReorg!$F229,TransportationData!$A$6:$A$338,0),8)</f>
        <v>1411533.7</v>
      </c>
      <c r="J229" s="28">
        <f t="shared" si="27"/>
        <v>303.23</v>
      </c>
      <c r="K229" s="31">
        <f t="shared" si="24"/>
        <v>347.65</v>
      </c>
      <c r="L229" s="32">
        <f t="shared" si="25"/>
        <v>0</v>
      </c>
      <c r="M229" s="9">
        <f t="shared" si="28"/>
        <v>303.23</v>
      </c>
      <c r="N229" s="5">
        <f t="shared" si="26"/>
        <v>3810</v>
      </c>
      <c r="O229" s="8">
        <f t="shared" si="29"/>
        <v>302.41000000000003</v>
      </c>
      <c r="Q229" s="5">
        <f t="shared" si="30"/>
        <v>0</v>
      </c>
      <c r="R229" s="8">
        <f t="shared" si="31"/>
        <v>302.41000000000003</v>
      </c>
    </row>
    <row r="230" spans="1:18" x14ac:dyDescent="0.55000000000000004">
      <c r="A230">
        <v>2019</v>
      </c>
      <c r="B230" t="s">
        <v>686</v>
      </c>
      <c r="C230" t="s">
        <v>446</v>
      </c>
      <c r="F230" t="s">
        <v>446</v>
      </c>
      <c r="G230" s="28" t="s">
        <v>917</v>
      </c>
      <c r="H230" s="29">
        <f>INDEX(TransportationData!$A$6:$M$338,MATCH(FinalPayment_NoReorg!$F230,TransportationData!$A$6:$A$338,0),3)</f>
        <v>696.9</v>
      </c>
      <c r="I230" s="30">
        <f>INDEX(TransportationData!$A$6:$M$338,MATCH(FinalPayment_NoReorg!$F230,TransportationData!$A$6:$A$338,0),8)</f>
        <v>353410.25</v>
      </c>
      <c r="J230" s="28">
        <f t="shared" si="27"/>
        <v>507.12</v>
      </c>
      <c r="K230" s="31">
        <f t="shared" si="24"/>
        <v>347.65</v>
      </c>
      <c r="L230" s="32">
        <f t="shared" si="25"/>
        <v>111135</v>
      </c>
      <c r="M230" s="9">
        <f t="shared" si="28"/>
        <v>347.65</v>
      </c>
      <c r="N230" s="5">
        <f t="shared" si="26"/>
        <v>570</v>
      </c>
      <c r="O230" s="8">
        <f t="shared" si="29"/>
        <v>346.83</v>
      </c>
      <c r="Q230" s="5">
        <f t="shared" si="30"/>
        <v>0</v>
      </c>
      <c r="R230" s="8">
        <f t="shared" si="31"/>
        <v>346.83</v>
      </c>
    </row>
    <row r="231" spans="1:18" x14ac:dyDescent="0.55000000000000004">
      <c r="A231">
        <v>2019</v>
      </c>
      <c r="B231" t="s">
        <v>694</v>
      </c>
      <c r="C231" t="s">
        <v>445</v>
      </c>
      <c r="F231" t="s">
        <v>445</v>
      </c>
      <c r="G231" s="28" t="s">
        <v>918</v>
      </c>
      <c r="H231" s="29">
        <f>INDEX(TransportationData!$A$6:$M$338,MATCH(FinalPayment_NoReorg!$F231,TransportationData!$A$6:$A$338,0),3)</f>
        <v>211.7</v>
      </c>
      <c r="I231" s="30">
        <f>INDEX(TransportationData!$A$6:$M$338,MATCH(FinalPayment_NoReorg!$F231,TransportationData!$A$6:$A$338,0),8)</f>
        <v>165652.95000000001</v>
      </c>
      <c r="J231" s="28">
        <f t="shared" si="27"/>
        <v>782.49</v>
      </c>
      <c r="K231" s="31">
        <f t="shared" si="24"/>
        <v>347.65</v>
      </c>
      <c r="L231" s="32">
        <f t="shared" si="25"/>
        <v>92056</v>
      </c>
      <c r="M231" s="9">
        <f t="shared" si="28"/>
        <v>347.65</v>
      </c>
      <c r="N231" s="5">
        <f t="shared" si="26"/>
        <v>173</v>
      </c>
      <c r="O231" s="8">
        <f t="shared" si="29"/>
        <v>346.83</v>
      </c>
      <c r="Q231" s="5">
        <f t="shared" si="30"/>
        <v>0</v>
      </c>
      <c r="R231" s="8">
        <f t="shared" si="31"/>
        <v>346.83</v>
      </c>
    </row>
    <row r="232" spans="1:18" x14ac:dyDescent="0.55000000000000004">
      <c r="A232">
        <v>2019</v>
      </c>
      <c r="B232" t="s">
        <v>686</v>
      </c>
      <c r="C232" t="s">
        <v>919</v>
      </c>
      <c r="F232" t="s">
        <v>444</v>
      </c>
      <c r="G232" s="28" t="s">
        <v>234</v>
      </c>
      <c r="H232" s="29">
        <f>INDEX(TransportationData!$A$6:$M$338,MATCH(FinalPayment_NoReorg!$F232,TransportationData!$A$6:$A$338,0),3)</f>
        <v>1070.9000000000001</v>
      </c>
      <c r="I232" s="30">
        <f>INDEX(TransportationData!$A$6:$M$338,MATCH(FinalPayment_NoReorg!$F232,TransportationData!$A$6:$A$338,0),8)</f>
        <v>413314.43</v>
      </c>
      <c r="J232" s="28">
        <f t="shared" si="27"/>
        <v>385.95</v>
      </c>
      <c r="K232" s="31">
        <f t="shared" si="24"/>
        <v>347.65</v>
      </c>
      <c r="L232" s="32">
        <f t="shared" si="25"/>
        <v>41015</v>
      </c>
      <c r="M232" s="9">
        <f t="shared" si="28"/>
        <v>347.65</v>
      </c>
      <c r="N232" s="5">
        <f t="shared" si="26"/>
        <v>877</v>
      </c>
      <c r="O232" s="8">
        <f t="shared" si="29"/>
        <v>346.83</v>
      </c>
      <c r="Q232" s="5">
        <f t="shared" si="30"/>
        <v>0</v>
      </c>
      <c r="R232" s="8">
        <f t="shared" si="31"/>
        <v>346.83</v>
      </c>
    </row>
    <row r="233" spans="1:18" x14ac:dyDescent="0.55000000000000004">
      <c r="A233">
        <v>2019</v>
      </c>
      <c r="B233" t="s">
        <v>696</v>
      </c>
      <c r="C233" t="s">
        <v>443</v>
      </c>
      <c r="F233" t="s">
        <v>443</v>
      </c>
      <c r="G233" s="28" t="s">
        <v>920</v>
      </c>
      <c r="H233" s="29">
        <f>INDEX(TransportationData!$A$6:$M$338,MATCH(FinalPayment_NoReorg!$F233,TransportationData!$A$6:$A$338,0),3)</f>
        <v>598.29999999999995</v>
      </c>
      <c r="I233" s="30">
        <f>INDEX(TransportationData!$A$6:$M$338,MATCH(FinalPayment_NoReorg!$F233,TransportationData!$A$6:$A$338,0),8)</f>
        <v>459517.06</v>
      </c>
      <c r="J233" s="28">
        <f t="shared" si="27"/>
        <v>768.04</v>
      </c>
      <c r="K233" s="31">
        <f t="shared" si="24"/>
        <v>347.65</v>
      </c>
      <c r="L233" s="32">
        <f t="shared" si="25"/>
        <v>251519</v>
      </c>
      <c r="M233" s="9">
        <f t="shared" si="28"/>
        <v>347.65</v>
      </c>
      <c r="N233" s="5">
        <f t="shared" si="26"/>
        <v>490</v>
      </c>
      <c r="O233" s="8">
        <f t="shared" si="29"/>
        <v>346.83</v>
      </c>
      <c r="Q233" s="5">
        <f t="shared" si="30"/>
        <v>0</v>
      </c>
      <c r="R233" s="8">
        <f t="shared" si="31"/>
        <v>346.83</v>
      </c>
    </row>
    <row r="234" spans="1:18" x14ac:dyDescent="0.55000000000000004">
      <c r="A234">
        <v>2019</v>
      </c>
      <c r="B234" t="s">
        <v>686</v>
      </c>
      <c r="C234" t="s">
        <v>442</v>
      </c>
      <c r="F234" t="s">
        <v>442</v>
      </c>
      <c r="G234" s="28" t="s">
        <v>921</v>
      </c>
      <c r="H234" s="29">
        <f>INDEX(TransportationData!$A$6:$M$338,MATCH(FinalPayment_NoReorg!$F234,TransportationData!$A$6:$A$338,0),3)</f>
        <v>2154.5</v>
      </c>
      <c r="I234" s="30">
        <f>INDEX(TransportationData!$A$6:$M$338,MATCH(FinalPayment_NoReorg!$F234,TransportationData!$A$6:$A$338,0),8)</f>
        <v>725405.55</v>
      </c>
      <c r="J234" s="28">
        <f t="shared" si="27"/>
        <v>336.69</v>
      </c>
      <c r="K234" s="31">
        <f t="shared" si="24"/>
        <v>347.65</v>
      </c>
      <c r="L234" s="32">
        <f t="shared" si="25"/>
        <v>0</v>
      </c>
      <c r="M234" s="9">
        <f t="shared" si="28"/>
        <v>336.69</v>
      </c>
      <c r="N234" s="5">
        <f t="shared" si="26"/>
        <v>1764</v>
      </c>
      <c r="O234" s="8">
        <f t="shared" si="29"/>
        <v>335.87</v>
      </c>
      <c r="Q234" s="5">
        <f t="shared" si="30"/>
        <v>0</v>
      </c>
      <c r="R234" s="8">
        <f t="shared" si="31"/>
        <v>335.87</v>
      </c>
    </row>
    <row r="235" spans="1:18" x14ac:dyDescent="0.55000000000000004">
      <c r="A235">
        <v>2019</v>
      </c>
      <c r="B235" t="s">
        <v>686</v>
      </c>
      <c r="C235" t="s">
        <v>441</v>
      </c>
      <c r="F235" t="s">
        <v>441</v>
      </c>
      <c r="G235" s="28" t="s">
        <v>922</v>
      </c>
      <c r="H235" s="29">
        <f>INDEX(TransportationData!$A$6:$M$338,MATCH(FinalPayment_NoReorg!$F235,TransportationData!$A$6:$A$338,0),3)</f>
        <v>1802.3999999999999</v>
      </c>
      <c r="I235" s="30">
        <f>INDEX(TransportationData!$A$6:$M$338,MATCH(FinalPayment_NoReorg!$F235,TransportationData!$A$6:$A$338,0),8)</f>
        <v>625564.32999999996</v>
      </c>
      <c r="J235" s="28">
        <f t="shared" si="27"/>
        <v>347.07</v>
      </c>
      <c r="K235" s="31">
        <f t="shared" si="24"/>
        <v>347.65</v>
      </c>
      <c r="L235" s="32">
        <f t="shared" si="25"/>
        <v>0</v>
      </c>
      <c r="M235" s="9">
        <f t="shared" si="28"/>
        <v>347.07</v>
      </c>
      <c r="N235" s="5">
        <f t="shared" si="26"/>
        <v>1475</v>
      </c>
      <c r="O235" s="8">
        <f t="shared" si="29"/>
        <v>346.25</v>
      </c>
      <c r="Q235" s="5">
        <f t="shared" si="30"/>
        <v>0</v>
      </c>
      <c r="R235" s="8">
        <f t="shared" si="31"/>
        <v>346.25</v>
      </c>
    </row>
    <row r="236" spans="1:18" x14ac:dyDescent="0.55000000000000004">
      <c r="A236">
        <v>2019</v>
      </c>
      <c r="B236" t="s">
        <v>707</v>
      </c>
      <c r="C236" t="s">
        <v>440</v>
      </c>
      <c r="F236" t="s">
        <v>440</v>
      </c>
      <c r="G236" s="28" t="s">
        <v>923</v>
      </c>
      <c r="H236" s="29">
        <f>INDEX(TransportationData!$A$6:$M$338,MATCH(FinalPayment_NoReorg!$F236,TransportationData!$A$6:$A$338,0),3)</f>
        <v>5036.7</v>
      </c>
      <c r="I236" s="30">
        <f>INDEX(TransportationData!$A$6:$M$338,MATCH(FinalPayment_NoReorg!$F236,TransportationData!$A$6:$A$338,0),8)</f>
        <v>1375165.19</v>
      </c>
      <c r="J236" s="28">
        <f t="shared" si="27"/>
        <v>273.02999999999997</v>
      </c>
      <c r="K236" s="31">
        <f t="shared" si="24"/>
        <v>347.65</v>
      </c>
      <c r="L236" s="32">
        <f t="shared" si="25"/>
        <v>0</v>
      </c>
      <c r="M236" s="9">
        <f t="shared" si="28"/>
        <v>273.02999999999997</v>
      </c>
      <c r="N236" s="5">
        <f t="shared" si="26"/>
        <v>4123</v>
      </c>
      <c r="O236" s="8">
        <f t="shared" si="29"/>
        <v>272.20999999999998</v>
      </c>
      <c r="Q236" s="5">
        <f t="shared" si="30"/>
        <v>0</v>
      </c>
      <c r="R236" s="8">
        <f t="shared" si="31"/>
        <v>272.20999999999998</v>
      </c>
    </row>
    <row r="237" spans="1:18" x14ac:dyDescent="0.55000000000000004">
      <c r="A237">
        <v>2019</v>
      </c>
      <c r="B237" t="s">
        <v>686</v>
      </c>
      <c r="C237" t="s">
        <v>439</v>
      </c>
      <c r="F237" t="s">
        <v>439</v>
      </c>
      <c r="G237" s="28" t="s">
        <v>924</v>
      </c>
      <c r="H237" s="29">
        <f>INDEX(TransportationData!$A$6:$M$338,MATCH(FinalPayment_NoReorg!$F237,TransportationData!$A$6:$A$338,0),3)</f>
        <v>681</v>
      </c>
      <c r="I237" s="30">
        <f>INDEX(TransportationData!$A$6:$M$338,MATCH(FinalPayment_NoReorg!$F237,TransportationData!$A$6:$A$338,0),8)</f>
        <v>206530.87</v>
      </c>
      <c r="J237" s="28">
        <f t="shared" si="27"/>
        <v>303.27999999999997</v>
      </c>
      <c r="K237" s="31">
        <f t="shared" si="24"/>
        <v>347.65</v>
      </c>
      <c r="L237" s="32">
        <f t="shared" si="25"/>
        <v>0</v>
      </c>
      <c r="M237" s="9">
        <f t="shared" si="28"/>
        <v>303.27999999999997</v>
      </c>
      <c r="N237" s="5">
        <f t="shared" si="26"/>
        <v>557</v>
      </c>
      <c r="O237" s="8">
        <f t="shared" si="29"/>
        <v>302.45999999999998</v>
      </c>
      <c r="Q237" s="5">
        <f t="shared" si="30"/>
        <v>0</v>
      </c>
      <c r="R237" s="8">
        <f t="shared" si="31"/>
        <v>302.45999999999998</v>
      </c>
    </row>
    <row r="238" spans="1:18" x14ac:dyDescent="0.55000000000000004">
      <c r="A238">
        <v>2019</v>
      </c>
      <c r="B238" t="s">
        <v>694</v>
      </c>
      <c r="C238" t="s">
        <v>438</v>
      </c>
      <c r="F238" t="s">
        <v>438</v>
      </c>
      <c r="G238" s="28" t="s">
        <v>925</v>
      </c>
      <c r="H238" s="29">
        <f>INDEX(TransportationData!$A$6:$M$338,MATCH(FinalPayment_NoReorg!$F238,TransportationData!$A$6:$A$338,0),3)</f>
        <v>665.40000000000009</v>
      </c>
      <c r="I238" s="30">
        <f>INDEX(TransportationData!$A$6:$M$338,MATCH(FinalPayment_NoReorg!$F238,TransportationData!$A$6:$A$338,0),8)</f>
        <v>436771.36</v>
      </c>
      <c r="J238" s="28">
        <f t="shared" si="27"/>
        <v>656.4</v>
      </c>
      <c r="K238" s="31">
        <f t="shared" si="24"/>
        <v>347.65</v>
      </c>
      <c r="L238" s="32">
        <f t="shared" si="25"/>
        <v>205442</v>
      </c>
      <c r="M238" s="9">
        <f t="shared" si="28"/>
        <v>347.65</v>
      </c>
      <c r="N238" s="5">
        <f t="shared" si="26"/>
        <v>545</v>
      </c>
      <c r="O238" s="8">
        <f t="shared" si="29"/>
        <v>346.84</v>
      </c>
      <c r="Q238" s="5">
        <f t="shared" si="30"/>
        <v>0</v>
      </c>
      <c r="R238" s="8">
        <f t="shared" si="31"/>
        <v>346.84</v>
      </c>
    </row>
    <row r="239" spans="1:18" x14ac:dyDescent="0.55000000000000004">
      <c r="A239">
        <v>2019</v>
      </c>
      <c r="B239" t="s">
        <v>703</v>
      </c>
      <c r="C239" t="s">
        <v>437</v>
      </c>
      <c r="F239" t="s">
        <v>437</v>
      </c>
      <c r="G239" s="28" t="s">
        <v>926</v>
      </c>
      <c r="H239" s="29">
        <f>INDEX(TransportationData!$A$6:$M$338,MATCH(FinalPayment_NoReorg!$F239,TransportationData!$A$6:$A$338,0),3)</f>
        <v>729</v>
      </c>
      <c r="I239" s="30">
        <f>INDEX(TransportationData!$A$6:$M$338,MATCH(FinalPayment_NoReorg!$F239,TransportationData!$A$6:$A$338,0),8)</f>
        <v>161630.99</v>
      </c>
      <c r="J239" s="28">
        <f t="shared" si="27"/>
        <v>221.72</v>
      </c>
      <c r="K239" s="31">
        <f t="shared" si="24"/>
        <v>347.65</v>
      </c>
      <c r="L239" s="32">
        <f t="shared" si="25"/>
        <v>0</v>
      </c>
      <c r="M239" s="9">
        <f t="shared" si="28"/>
        <v>221.72</v>
      </c>
      <c r="N239" s="5">
        <f t="shared" si="26"/>
        <v>597</v>
      </c>
      <c r="O239" s="8">
        <f t="shared" si="29"/>
        <v>220.9</v>
      </c>
      <c r="Q239" s="5">
        <f t="shared" si="30"/>
        <v>0</v>
      </c>
      <c r="R239" s="8">
        <f t="shared" si="31"/>
        <v>220.9</v>
      </c>
    </row>
    <row r="240" spans="1:18" x14ac:dyDescent="0.55000000000000004">
      <c r="A240">
        <v>2019</v>
      </c>
      <c r="B240" t="s">
        <v>694</v>
      </c>
      <c r="C240" t="s">
        <v>927</v>
      </c>
      <c r="F240" t="s">
        <v>436</v>
      </c>
      <c r="G240" s="28" t="s">
        <v>928</v>
      </c>
      <c r="H240" s="29">
        <f>INDEX(TransportationData!$A$6:$M$338,MATCH(FinalPayment_NoReorg!$F240,TransportationData!$A$6:$A$338,0),3)</f>
        <v>574.4</v>
      </c>
      <c r="I240" s="30">
        <f>INDEX(TransportationData!$A$6:$M$338,MATCH(FinalPayment_NoReorg!$F240,TransportationData!$A$6:$A$338,0),8)</f>
        <v>442677.72</v>
      </c>
      <c r="J240" s="28">
        <f t="shared" si="27"/>
        <v>770.68</v>
      </c>
      <c r="K240" s="31">
        <f t="shared" si="24"/>
        <v>347.65</v>
      </c>
      <c r="L240" s="32">
        <f t="shared" si="25"/>
        <v>242988</v>
      </c>
      <c r="M240" s="9">
        <f t="shared" si="28"/>
        <v>347.65</v>
      </c>
      <c r="N240" s="5">
        <f t="shared" si="26"/>
        <v>470</v>
      </c>
      <c r="O240" s="8">
        <f t="shared" si="29"/>
        <v>346.83</v>
      </c>
      <c r="Q240" s="5">
        <f t="shared" si="30"/>
        <v>0</v>
      </c>
      <c r="R240" s="8">
        <f t="shared" si="31"/>
        <v>346.83</v>
      </c>
    </row>
    <row r="241" spans="1:18" x14ac:dyDescent="0.55000000000000004">
      <c r="A241">
        <v>2019</v>
      </c>
      <c r="B241" t="s">
        <v>690</v>
      </c>
      <c r="C241" t="s">
        <v>435</v>
      </c>
      <c r="F241" t="s">
        <v>435</v>
      </c>
      <c r="G241" s="28" t="s">
        <v>929</v>
      </c>
      <c r="H241" s="29">
        <f>INDEX(TransportationData!$A$6:$M$338,MATCH(FinalPayment_NoReorg!$F241,TransportationData!$A$6:$A$338,0),3)</f>
        <v>1032.5999999999999</v>
      </c>
      <c r="I241" s="30">
        <f>INDEX(TransportationData!$A$6:$M$338,MATCH(FinalPayment_NoReorg!$F241,TransportationData!$A$6:$A$338,0),8)</f>
        <v>226012.5</v>
      </c>
      <c r="J241" s="28">
        <f t="shared" si="27"/>
        <v>218.88</v>
      </c>
      <c r="K241" s="31">
        <f t="shared" si="24"/>
        <v>347.65</v>
      </c>
      <c r="L241" s="32">
        <f t="shared" si="25"/>
        <v>0</v>
      </c>
      <c r="M241" s="9">
        <f t="shared" si="28"/>
        <v>218.88</v>
      </c>
      <c r="N241" s="5">
        <f t="shared" si="26"/>
        <v>845</v>
      </c>
      <c r="O241" s="8">
        <f t="shared" si="29"/>
        <v>218.06</v>
      </c>
      <c r="Q241" s="5">
        <f t="shared" si="30"/>
        <v>0</v>
      </c>
      <c r="R241" s="8">
        <f t="shared" si="31"/>
        <v>218.06</v>
      </c>
    </row>
    <row r="242" spans="1:18" x14ac:dyDescent="0.55000000000000004">
      <c r="A242">
        <v>2019</v>
      </c>
      <c r="B242" t="s">
        <v>692</v>
      </c>
      <c r="C242" t="s">
        <v>434</v>
      </c>
      <c r="F242" t="s">
        <v>434</v>
      </c>
      <c r="G242" s="28" t="s">
        <v>930</v>
      </c>
      <c r="H242" s="29">
        <f>INDEX(TransportationData!$A$6:$M$338,MATCH(FinalPayment_NoReorg!$F242,TransportationData!$A$6:$A$338,0),3)</f>
        <v>314</v>
      </c>
      <c r="I242" s="30">
        <f>INDEX(TransportationData!$A$6:$M$338,MATCH(FinalPayment_NoReorg!$F242,TransportationData!$A$6:$A$338,0),8)</f>
        <v>139064.23000000001</v>
      </c>
      <c r="J242" s="28">
        <f t="shared" si="27"/>
        <v>442.88</v>
      </c>
      <c r="K242" s="31">
        <f t="shared" si="24"/>
        <v>347.65</v>
      </c>
      <c r="L242" s="32">
        <f t="shared" si="25"/>
        <v>29902</v>
      </c>
      <c r="M242" s="9">
        <f t="shared" si="28"/>
        <v>347.65</v>
      </c>
      <c r="N242" s="5">
        <f t="shared" si="26"/>
        <v>257</v>
      </c>
      <c r="O242" s="8">
        <f t="shared" si="29"/>
        <v>346.83</v>
      </c>
      <c r="Q242" s="5">
        <f t="shared" si="30"/>
        <v>0</v>
      </c>
      <c r="R242" s="8">
        <f t="shared" si="31"/>
        <v>346.83</v>
      </c>
    </row>
    <row r="243" spans="1:18" x14ac:dyDescent="0.55000000000000004">
      <c r="A243">
        <v>2019</v>
      </c>
      <c r="B243" t="s">
        <v>703</v>
      </c>
      <c r="C243" t="s">
        <v>433</v>
      </c>
      <c r="F243" t="s">
        <v>433</v>
      </c>
      <c r="G243" s="28" t="s">
        <v>931</v>
      </c>
      <c r="H243" s="29">
        <f>INDEX(TransportationData!$A$6:$M$338,MATCH(FinalPayment_NoReorg!$F243,TransportationData!$A$6:$A$338,0),3)</f>
        <v>313.60000000000002</v>
      </c>
      <c r="I243" s="30">
        <f>INDEX(TransportationData!$A$6:$M$338,MATCH(FinalPayment_NoReorg!$F243,TransportationData!$A$6:$A$338,0),8)</f>
        <v>158040.70000000001</v>
      </c>
      <c r="J243" s="28">
        <f t="shared" si="27"/>
        <v>503.96</v>
      </c>
      <c r="K243" s="31">
        <f t="shared" si="24"/>
        <v>347.65</v>
      </c>
      <c r="L243" s="32">
        <f t="shared" si="25"/>
        <v>49019</v>
      </c>
      <c r="M243" s="9">
        <f t="shared" si="28"/>
        <v>347.65</v>
      </c>
      <c r="N243" s="5">
        <f t="shared" si="26"/>
        <v>257</v>
      </c>
      <c r="O243" s="8">
        <f t="shared" si="29"/>
        <v>346.83</v>
      </c>
      <c r="Q243" s="5">
        <f t="shared" si="30"/>
        <v>0</v>
      </c>
      <c r="R243" s="8">
        <f t="shared" si="31"/>
        <v>346.83</v>
      </c>
    </row>
    <row r="244" spans="1:18" x14ac:dyDescent="0.55000000000000004">
      <c r="A244">
        <v>2019</v>
      </c>
      <c r="B244" t="s">
        <v>692</v>
      </c>
      <c r="C244" t="s">
        <v>577</v>
      </c>
      <c r="F244" t="s">
        <v>577</v>
      </c>
      <c r="G244" s="28" t="s">
        <v>932</v>
      </c>
      <c r="H244" s="29">
        <f>INDEX(TransportationData!$A$6:$M$338,MATCH(FinalPayment_NoReorg!$F244,TransportationData!$A$6:$A$338,0),3)</f>
        <v>407.3</v>
      </c>
      <c r="I244" s="30">
        <f>INDEX(TransportationData!$A$6:$M$338,MATCH(FinalPayment_NoReorg!$F244,TransportationData!$A$6:$A$338,0),8)</f>
        <v>251272.88</v>
      </c>
      <c r="J244" s="28">
        <f t="shared" si="27"/>
        <v>616.91999999999996</v>
      </c>
      <c r="K244" s="31">
        <f t="shared" si="24"/>
        <v>347.65</v>
      </c>
      <c r="L244" s="32">
        <f t="shared" si="25"/>
        <v>109674</v>
      </c>
      <c r="M244" s="9">
        <f t="shared" si="28"/>
        <v>347.65</v>
      </c>
      <c r="N244" s="5">
        <f t="shared" si="26"/>
        <v>333</v>
      </c>
      <c r="O244" s="8">
        <f t="shared" si="29"/>
        <v>346.83</v>
      </c>
      <c r="Q244" s="5">
        <f t="shared" si="30"/>
        <v>0</v>
      </c>
      <c r="R244" s="8">
        <f t="shared" si="31"/>
        <v>346.83</v>
      </c>
    </row>
    <row r="245" spans="1:18" x14ac:dyDescent="0.55000000000000004">
      <c r="A245">
        <v>2019</v>
      </c>
      <c r="B245" t="s">
        <v>690</v>
      </c>
      <c r="C245" t="s">
        <v>933</v>
      </c>
      <c r="F245" t="s">
        <v>432</v>
      </c>
      <c r="G245" s="28" t="s">
        <v>934</v>
      </c>
      <c r="H245" s="29">
        <f>INDEX(TransportationData!$A$6:$M$338,MATCH(FinalPayment_NoReorg!$F245,TransportationData!$A$6:$A$338,0),3)</f>
        <v>695.2</v>
      </c>
      <c r="I245" s="30">
        <f>INDEX(TransportationData!$A$6:$M$338,MATCH(FinalPayment_NoReorg!$F245,TransportationData!$A$6:$A$338,0),8)</f>
        <v>337815.09</v>
      </c>
      <c r="J245" s="28">
        <f t="shared" si="27"/>
        <v>485.93</v>
      </c>
      <c r="K245" s="31">
        <f t="shared" si="24"/>
        <v>347.65</v>
      </c>
      <c r="L245" s="32">
        <f t="shared" si="25"/>
        <v>96132</v>
      </c>
      <c r="M245" s="9">
        <f t="shared" si="28"/>
        <v>347.65</v>
      </c>
      <c r="N245" s="5">
        <f t="shared" si="26"/>
        <v>569</v>
      </c>
      <c r="O245" s="8">
        <f t="shared" si="29"/>
        <v>346.83</v>
      </c>
      <c r="Q245" s="5">
        <f t="shared" si="30"/>
        <v>0</v>
      </c>
      <c r="R245" s="8">
        <f t="shared" si="31"/>
        <v>346.83</v>
      </c>
    </row>
    <row r="246" spans="1:18" x14ac:dyDescent="0.55000000000000004">
      <c r="A246">
        <v>2019</v>
      </c>
      <c r="B246" t="s">
        <v>692</v>
      </c>
      <c r="C246" t="s">
        <v>431</v>
      </c>
      <c r="F246" t="s">
        <v>431</v>
      </c>
      <c r="G246" s="28" t="s">
        <v>935</v>
      </c>
      <c r="H246" s="29">
        <f>INDEX(TransportationData!$A$6:$M$338,MATCH(FinalPayment_NoReorg!$F246,TransportationData!$A$6:$A$338,0),3)</f>
        <v>804</v>
      </c>
      <c r="I246" s="30">
        <f>INDEX(TransportationData!$A$6:$M$338,MATCH(FinalPayment_NoReorg!$F246,TransportationData!$A$6:$A$338,0),8)</f>
        <v>159853.65000000002</v>
      </c>
      <c r="J246" s="28">
        <f t="shared" si="27"/>
        <v>198.82</v>
      </c>
      <c r="K246" s="31">
        <f t="shared" si="24"/>
        <v>347.65</v>
      </c>
      <c r="L246" s="32">
        <f t="shared" si="25"/>
        <v>0</v>
      </c>
      <c r="M246" s="9">
        <f t="shared" si="28"/>
        <v>198.82</v>
      </c>
      <c r="N246" s="5">
        <f t="shared" si="26"/>
        <v>658</v>
      </c>
      <c r="O246" s="8">
        <f t="shared" si="29"/>
        <v>198</v>
      </c>
      <c r="Q246" s="5">
        <f t="shared" si="30"/>
        <v>0</v>
      </c>
      <c r="R246" s="8">
        <f t="shared" si="31"/>
        <v>198</v>
      </c>
    </row>
    <row r="247" spans="1:18" x14ac:dyDescent="0.55000000000000004">
      <c r="A247">
        <v>2019</v>
      </c>
      <c r="B247" t="s">
        <v>686</v>
      </c>
      <c r="C247" t="s">
        <v>430</v>
      </c>
      <c r="F247" t="s">
        <v>430</v>
      </c>
      <c r="G247" s="28" t="s">
        <v>936</v>
      </c>
      <c r="H247" s="29">
        <f>INDEX(TransportationData!$A$6:$M$338,MATCH(FinalPayment_NoReorg!$F247,TransportationData!$A$6:$A$338,0),3)</f>
        <v>1041.5999999999999</v>
      </c>
      <c r="I247" s="30">
        <f>INDEX(TransportationData!$A$6:$M$338,MATCH(FinalPayment_NoReorg!$F247,TransportationData!$A$6:$A$338,0),8)</f>
        <v>306452.55</v>
      </c>
      <c r="J247" s="28">
        <f t="shared" si="27"/>
        <v>294.20999999999998</v>
      </c>
      <c r="K247" s="31">
        <f t="shared" si="24"/>
        <v>347.65</v>
      </c>
      <c r="L247" s="32">
        <f t="shared" si="25"/>
        <v>0</v>
      </c>
      <c r="M247" s="9">
        <f t="shared" si="28"/>
        <v>294.20999999999998</v>
      </c>
      <c r="N247" s="5">
        <f t="shared" si="26"/>
        <v>853</v>
      </c>
      <c r="O247" s="8">
        <f t="shared" si="29"/>
        <v>293.39</v>
      </c>
      <c r="Q247" s="5">
        <f t="shared" si="30"/>
        <v>0</v>
      </c>
      <c r="R247" s="8">
        <f t="shared" si="31"/>
        <v>293.39</v>
      </c>
    </row>
    <row r="248" spans="1:18" x14ac:dyDescent="0.55000000000000004">
      <c r="A248">
        <v>2019</v>
      </c>
      <c r="B248" t="s">
        <v>689</v>
      </c>
      <c r="C248" t="s">
        <v>429</v>
      </c>
      <c r="F248" t="s">
        <v>429</v>
      </c>
      <c r="G248" s="28" t="s">
        <v>937</v>
      </c>
      <c r="H248" s="29">
        <f>INDEX(TransportationData!$A$6:$M$338,MATCH(FinalPayment_NoReorg!$F248,TransportationData!$A$6:$A$338,0),3)</f>
        <v>414</v>
      </c>
      <c r="I248" s="30">
        <f>INDEX(TransportationData!$A$6:$M$338,MATCH(FinalPayment_NoReorg!$F248,TransportationData!$A$6:$A$338,0),8)</f>
        <v>220304.24</v>
      </c>
      <c r="J248" s="28">
        <f t="shared" si="27"/>
        <v>532.14</v>
      </c>
      <c r="K248" s="31">
        <f t="shared" si="24"/>
        <v>347.65</v>
      </c>
      <c r="L248" s="32">
        <f t="shared" si="25"/>
        <v>76379</v>
      </c>
      <c r="M248" s="9">
        <f t="shared" si="28"/>
        <v>347.65</v>
      </c>
      <c r="N248" s="5">
        <f t="shared" si="26"/>
        <v>339</v>
      </c>
      <c r="O248" s="8">
        <f t="shared" si="29"/>
        <v>346.83</v>
      </c>
      <c r="Q248" s="5">
        <f t="shared" si="30"/>
        <v>0</v>
      </c>
      <c r="R248" s="8">
        <f t="shared" si="31"/>
        <v>346.83</v>
      </c>
    </row>
    <row r="249" spans="1:18" x14ac:dyDescent="0.55000000000000004">
      <c r="A249">
        <v>2019</v>
      </c>
      <c r="B249" t="s">
        <v>694</v>
      </c>
      <c r="C249" t="s">
        <v>428</v>
      </c>
      <c r="F249" t="s">
        <v>428</v>
      </c>
      <c r="G249" s="28" t="s">
        <v>938</v>
      </c>
      <c r="H249" s="29">
        <f>INDEX(TransportationData!$A$6:$M$338,MATCH(FinalPayment_NoReorg!$F249,TransportationData!$A$6:$A$338,0),3)</f>
        <v>217</v>
      </c>
      <c r="I249" s="30">
        <f>INDEX(TransportationData!$A$6:$M$338,MATCH(FinalPayment_NoReorg!$F249,TransportationData!$A$6:$A$338,0),8)</f>
        <v>184157.31</v>
      </c>
      <c r="J249" s="28">
        <f t="shared" si="27"/>
        <v>848.65</v>
      </c>
      <c r="K249" s="31">
        <f t="shared" si="24"/>
        <v>347.65</v>
      </c>
      <c r="L249" s="32">
        <f t="shared" si="25"/>
        <v>108717</v>
      </c>
      <c r="M249" s="9">
        <f t="shared" si="28"/>
        <v>347.65</v>
      </c>
      <c r="N249" s="5">
        <f t="shared" si="26"/>
        <v>178</v>
      </c>
      <c r="O249" s="8">
        <f t="shared" si="29"/>
        <v>346.83</v>
      </c>
      <c r="Q249" s="5">
        <f t="shared" si="30"/>
        <v>0</v>
      </c>
      <c r="R249" s="8">
        <f t="shared" si="31"/>
        <v>346.83</v>
      </c>
    </row>
    <row r="250" spans="1:18" x14ac:dyDescent="0.55000000000000004">
      <c r="A250">
        <v>2019</v>
      </c>
      <c r="B250" t="s">
        <v>686</v>
      </c>
      <c r="C250" t="s">
        <v>426</v>
      </c>
      <c r="F250" t="s">
        <v>426</v>
      </c>
      <c r="G250" s="28" t="s">
        <v>939</v>
      </c>
      <c r="H250" s="29">
        <f>INDEX(TransportationData!$A$6:$M$338,MATCH(FinalPayment_NoReorg!$F250,TransportationData!$A$6:$A$338,0),3)</f>
        <v>1126.3</v>
      </c>
      <c r="I250" s="30">
        <f>INDEX(TransportationData!$A$6:$M$338,MATCH(FinalPayment_NoReorg!$F250,TransportationData!$A$6:$A$338,0),8)</f>
        <v>447694.12</v>
      </c>
      <c r="J250" s="28">
        <f t="shared" si="27"/>
        <v>397.49</v>
      </c>
      <c r="K250" s="31">
        <f t="shared" si="24"/>
        <v>347.65</v>
      </c>
      <c r="L250" s="32">
        <f t="shared" si="25"/>
        <v>56135</v>
      </c>
      <c r="M250" s="9">
        <f t="shared" si="28"/>
        <v>347.65</v>
      </c>
      <c r="N250" s="5">
        <f t="shared" si="26"/>
        <v>922</v>
      </c>
      <c r="O250" s="8">
        <f t="shared" si="29"/>
        <v>346.83</v>
      </c>
      <c r="Q250" s="5">
        <f t="shared" si="30"/>
        <v>0</v>
      </c>
      <c r="R250" s="8">
        <f t="shared" si="31"/>
        <v>346.83</v>
      </c>
    </row>
    <row r="251" spans="1:18" x14ac:dyDescent="0.55000000000000004">
      <c r="A251">
        <v>2019</v>
      </c>
      <c r="B251" t="s">
        <v>694</v>
      </c>
      <c r="C251" t="s">
        <v>425</v>
      </c>
      <c r="F251" t="s">
        <v>425</v>
      </c>
      <c r="G251" s="28" t="s">
        <v>940</v>
      </c>
      <c r="H251" s="29">
        <f>INDEX(TransportationData!$A$6:$M$338,MATCH(FinalPayment_NoReorg!$F251,TransportationData!$A$6:$A$338,0),3)</f>
        <v>367</v>
      </c>
      <c r="I251" s="30">
        <f>INDEX(TransportationData!$A$6:$M$338,MATCH(FinalPayment_NoReorg!$F251,TransportationData!$A$6:$A$338,0),8)</f>
        <v>207502.18999999997</v>
      </c>
      <c r="J251" s="28">
        <f t="shared" si="27"/>
        <v>565.4</v>
      </c>
      <c r="K251" s="31">
        <f t="shared" si="24"/>
        <v>347.65</v>
      </c>
      <c r="L251" s="32">
        <f t="shared" si="25"/>
        <v>79914</v>
      </c>
      <c r="M251" s="9">
        <f t="shared" si="28"/>
        <v>347.65</v>
      </c>
      <c r="N251" s="5">
        <f t="shared" si="26"/>
        <v>300</v>
      </c>
      <c r="O251" s="8">
        <f t="shared" si="29"/>
        <v>346.83</v>
      </c>
      <c r="Q251" s="5">
        <f t="shared" si="30"/>
        <v>0</v>
      </c>
      <c r="R251" s="8">
        <f t="shared" si="31"/>
        <v>346.83</v>
      </c>
    </row>
    <row r="252" spans="1:18" x14ac:dyDescent="0.55000000000000004">
      <c r="A252">
        <v>2019</v>
      </c>
      <c r="B252" t="s">
        <v>692</v>
      </c>
      <c r="C252" t="s">
        <v>424</v>
      </c>
      <c r="F252" t="s">
        <v>424</v>
      </c>
      <c r="G252" s="28" t="s">
        <v>941</v>
      </c>
      <c r="H252" s="29">
        <f>INDEX(TransportationData!$A$6:$M$338,MATCH(FinalPayment_NoReorg!$F252,TransportationData!$A$6:$A$338,0),3)</f>
        <v>260</v>
      </c>
      <c r="I252" s="30">
        <f>INDEX(TransportationData!$A$6:$M$338,MATCH(FinalPayment_NoReorg!$F252,TransportationData!$A$6:$A$338,0),8)</f>
        <v>204405.81</v>
      </c>
      <c r="J252" s="28">
        <f t="shared" si="27"/>
        <v>786.18</v>
      </c>
      <c r="K252" s="31">
        <f t="shared" si="24"/>
        <v>347.65</v>
      </c>
      <c r="L252" s="32">
        <f t="shared" si="25"/>
        <v>114018</v>
      </c>
      <c r="M252" s="9">
        <f t="shared" si="28"/>
        <v>347.65</v>
      </c>
      <c r="N252" s="5">
        <f t="shared" si="26"/>
        <v>213</v>
      </c>
      <c r="O252" s="8">
        <f t="shared" si="29"/>
        <v>346.83</v>
      </c>
      <c r="Q252" s="5">
        <f t="shared" si="30"/>
        <v>0</v>
      </c>
      <c r="R252" s="8">
        <f t="shared" si="31"/>
        <v>346.83</v>
      </c>
    </row>
    <row r="253" spans="1:18" x14ac:dyDescent="0.55000000000000004">
      <c r="A253">
        <v>2019</v>
      </c>
      <c r="B253" t="s">
        <v>692</v>
      </c>
      <c r="C253" t="s">
        <v>423</v>
      </c>
      <c r="F253" t="s">
        <v>423</v>
      </c>
      <c r="G253" s="28" t="s">
        <v>942</v>
      </c>
      <c r="H253" s="29">
        <f>INDEX(TransportationData!$A$6:$M$338,MATCH(FinalPayment_NoReorg!$F253,TransportationData!$A$6:$A$338,0),3)</f>
        <v>1438.7</v>
      </c>
      <c r="I253" s="30">
        <f>INDEX(TransportationData!$A$6:$M$338,MATCH(FinalPayment_NoReorg!$F253,TransportationData!$A$6:$A$338,0),8)</f>
        <v>410157.32999999996</v>
      </c>
      <c r="J253" s="28">
        <f t="shared" si="27"/>
        <v>285.08999999999997</v>
      </c>
      <c r="K253" s="31">
        <f t="shared" si="24"/>
        <v>347.65</v>
      </c>
      <c r="L253" s="32">
        <f t="shared" si="25"/>
        <v>0</v>
      </c>
      <c r="M253" s="9">
        <f t="shared" si="28"/>
        <v>285.08999999999997</v>
      </c>
      <c r="N253" s="5">
        <f t="shared" si="26"/>
        <v>1178</v>
      </c>
      <c r="O253" s="8">
        <f t="shared" si="29"/>
        <v>284.27</v>
      </c>
      <c r="Q253" s="5">
        <f t="shared" si="30"/>
        <v>0</v>
      </c>
      <c r="R253" s="8">
        <f t="shared" si="31"/>
        <v>284.27</v>
      </c>
    </row>
    <row r="254" spans="1:18" x14ac:dyDescent="0.55000000000000004">
      <c r="A254">
        <v>2019</v>
      </c>
      <c r="B254" t="s">
        <v>696</v>
      </c>
      <c r="C254" t="s">
        <v>422</v>
      </c>
      <c r="F254" t="s">
        <v>422</v>
      </c>
      <c r="G254" s="28" t="s">
        <v>943</v>
      </c>
      <c r="H254" s="29">
        <f>INDEX(TransportationData!$A$6:$M$338,MATCH(FinalPayment_NoReorg!$F254,TransportationData!$A$6:$A$338,0),3)</f>
        <v>274</v>
      </c>
      <c r="I254" s="30">
        <f>INDEX(TransportationData!$A$6:$M$338,MATCH(FinalPayment_NoReorg!$F254,TransportationData!$A$6:$A$338,0),8)</f>
        <v>117046.04</v>
      </c>
      <c r="J254" s="28">
        <f t="shared" si="27"/>
        <v>427.18</v>
      </c>
      <c r="K254" s="31">
        <f t="shared" si="24"/>
        <v>347.65</v>
      </c>
      <c r="L254" s="32">
        <f t="shared" si="25"/>
        <v>21791</v>
      </c>
      <c r="M254" s="9">
        <f t="shared" si="28"/>
        <v>347.65</v>
      </c>
      <c r="N254" s="5">
        <f t="shared" si="26"/>
        <v>224</v>
      </c>
      <c r="O254" s="8">
        <f t="shared" si="29"/>
        <v>346.83</v>
      </c>
      <c r="Q254" s="5">
        <f t="shared" si="30"/>
        <v>0</v>
      </c>
      <c r="R254" s="8">
        <f t="shared" si="31"/>
        <v>346.83</v>
      </c>
    </row>
    <row r="255" spans="1:18" x14ac:dyDescent="0.55000000000000004">
      <c r="A255">
        <v>2019</v>
      </c>
      <c r="B255" t="s">
        <v>692</v>
      </c>
      <c r="C255" t="s">
        <v>420</v>
      </c>
      <c r="F255" t="s">
        <v>420</v>
      </c>
      <c r="G255" s="28" t="s">
        <v>944</v>
      </c>
      <c r="H255" s="29">
        <f>INDEX(TransportationData!$A$6:$M$338,MATCH(FinalPayment_NoReorg!$F255,TransportationData!$A$6:$A$338,0),3)</f>
        <v>1083.9000000000001</v>
      </c>
      <c r="I255" s="30">
        <f>INDEX(TransportationData!$A$6:$M$338,MATCH(FinalPayment_NoReorg!$F255,TransportationData!$A$6:$A$338,0),8)</f>
        <v>362615.19</v>
      </c>
      <c r="J255" s="28">
        <f t="shared" si="27"/>
        <v>334.55</v>
      </c>
      <c r="K255" s="31">
        <f t="shared" si="24"/>
        <v>347.65</v>
      </c>
      <c r="L255" s="32">
        <f t="shared" si="25"/>
        <v>0</v>
      </c>
      <c r="M255" s="9">
        <f t="shared" si="28"/>
        <v>334.55</v>
      </c>
      <c r="N255" s="5">
        <f t="shared" si="26"/>
        <v>887</v>
      </c>
      <c r="O255" s="8">
        <f t="shared" si="29"/>
        <v>333.73</v>
      </c>
      <c r="Q255" s="5">
        <f t="shared" si="30"/>
        <v>0</v>
      </c>
      <c r="R255" s="8">
        <f t="shared" si="31"/>
        <v>333.73</v>
      </c>
    </row>
    <row r="256" spans="1:18" x14ac:dyDescent="0.55000000000000004">
      <c r="A256">
        <v>2019</v>
      </c>
      <c r="B256" t="s">
        <v>690</v>
      </c>
      <c r="C256" t="s">
        <v>419</v>
      </c>
      <c r="D256" t="s">
        <v>1319</v>
      </c>
      <c r="F256" t="s">
        <v>419</v>
      </c>
      <c r="G256" s="28" t="s">
        <v>945</v>
      </c>
      <c r="H256" s="29">
        <f>INDEX(TransportationData!$A$6:$M$338,MATCH(FinalPayment_NoReorg!$F256,TransportationData!$A$6:$A$338,0),3)</f>
        <v>1050.7</v>
      </c>
      <c r="I256" s="30">
        <f>INDEX(TransportationData!$A$6:$M$338,MATCH(FinalPayment_NoReorg!$F256,TransportationData!$A$6:$A$338,0),8)</f>
        <v>379257.05</v>
      </c>
      <c r="J256" s="28">
        <f t="shared" si="27"/>
        <v>360.96</v>
      </c>
      <c r="K256" s="31">
        <f t="shared" si="24"/>
        <v>347.65</v>
      </c>
      <c r="L256" s="32">
        <f t="shared" si="25"/>
        <v>13985</v>
      </c>
      <c r="M256" s="9">
        <f t="shared" si="28"/>
        <v>347.65</v>
      </c>
      <c r="N256" s="5">
        <f t="shared" si="26"/>
        <v>860</v>
      </c>
      <c r="O256" s="8">
        <f t="shared" si="29"/>
        <v>346.83</v>
      </c>
      <c r="Q256" s="5">
        <f t="shared" si="30"/>
        <v>0</v>
      </c>
      <c r="R256" s="8">
        <f t="shared" si="31"/>
        <v>346.83</v>
      </c>
    </row>
    <row r="257" spans="1:18" x14ac:dyDescent="0.55000000000000004">
      <c r="A257">
        <v>2019</v>
      </c>
      <c r="B257" t="s">
        <v>692</v>
      </c>
      <c r="C257" t="s">
        <v>418</v>
      </c>
      <c r="F257" t="s">
        <v>418</v>
      </c>
      <c r="G257" s="28" t="s">
        <v>946</v>
      </c>
      <c r="H257" s="29">
        <f>INDEX(TransportationData!$A$6:$M$338,MATCH(FinalPayment_NoReorg!$F257,TransportationData!$A$6:$A$338,0),3)</f>
        <v>750.2</v>
      </c>
      <c r="I257" s="30">
        <f>INDEX(TransportationData!$A$6:$M$338,MATCH(FinalPayment_NoReorg!$F257,TransportationData!$A$6:$A$338,0),8)</f>
        <v>357503.19</v>
      </c>
      <c r="J257" s="28">
        <f t="shared" si="27"/>
        <v>476.54</v>
      </c>
      <c r="K257" s="31">
        <f t="shared" si="24"/>
        <v>347.65</v>
      </c>
      <c r="L257" s="32">
        <f t="shared" si="25"/>
        <v>96693</v>
      </c>
      <c r="M257" s="9">
        <f t="shared" si="28"/>
        <v>347.65</v>
      </c>
      <c r="N257" s="5">
        <f t="shared" si="26"/>
        <v>614</v>
      </c>
      <c r="O257" s="8">
        <f t="shared" si="29"/>
        <v>346.84</v>
      </c>
      <c r="Q257" s="5">
        <f t="shared" si="30"/>
        <v>0</v>
      </c>
      <c r="R257" s="8">
        <f t="shared" si="31"/>
        <v>346.84</v>
      </c>
    </row>
    <row r="258" spans="1:18" x14ac:dyDescent="0.55000000000000004">
      <c r="A258">
        <v>2019</v>
      </c>
      <c r="B258" t="s">
        <v>690</v>
      </c>
      <c r="C258" t="s">
        <v>417</v>
      </c>
      <c r="D258" t="s">
        <v>1320</v>
      </c>
      <c r="F258" t="s">
        <v>417</v>
      </c>
      <c r="G258" s="28" t="s">
        <v>947</v>
      </c>
      <c r="H258" s="29">
        <f>INDEX(TransportationData!$A$6:$M$338,MATCH(FinalPayment_NoReorg!$F258,TransportationData!$A$6:$A$338,0),3)</f>
        <v>373.6</v>
      </c>
      <c r="I258" s="30">
        <f>INDEX(TransportationData!$A$6:$M$338,MATCH(FinalPayment_NoReorg!$F258,TransportationData!$A$6:$A$338,0),8)</f>
        <v>266903.92</v>
      </c>
      <c r="J258" s="28">
        <f t="shared" si="27"/>
        <v>714.41</v>
      </c>
      <c r="K258" s="31">
        <f t="shared" ref="K258:K321" si="32">$L$336</f>
        <v>347.65</v>
      </c>
      <c r="L258" s="32">
        <f t="shared" ref="L258:L321" si="33">IF(J258&gt;K258,ROUND((J258-K258)*H258,0),0)</f>
        <v>137022</v>
      </c>
      <c r="M258" s="9">
        <f t="shared" si="28"/>
        <v>347.65</v>
      </c>
      <c r="N258" s="5">
        <f t="shared" ref="N258:N321" si="34">IF(ROUND(H258*$N$336,0)&gt;I258-L258,ROUND(I258-L258,0),ROUND(H258*$N$336,0))</f>
        <v>306</v>
      </c>
      <c r="O258" s="8">
        <f t="shared" si="29"/>
        <v>346.83</v>
      </c>
      <c r="Q258" s="5">
        <f t="shared" si="30"/>
        <v>0</v>
      </c>
      <c r="R258" s="8">
        <f t="shared" si="31"/>
        <v>346.83</v>
      </c>
    </row>
    <row r="259" spans="1:18" x14ac:dyDescent="0.55000000000000004">
      <c r="A259">
        <v>2019</v>
      </c>
      <c r="B259" t="s">
        <v>696</v>
      </c>
      <c r="C259" t="s">
        <v>416</v>
      </c>
      <c r="F259" t="s">
        <v>416</v>
      </c>
      <c r="G259" s="28" t="s">
        <v>948</v>
      </c>
      <c r="H259" s="29">
        <f>INDEX(TransportationData!$A$6:$M$338,MATCH(FinalPayment_NoReorg!$F259,TransportationData!$A$6:$A$338,0),3)</f>
        <v>554.5</v>
      </c>
      <c r="I259" s="30">
        <f>INDEX(TransportationData!$A$6:$M$338,MATCH(FinalPayment_NoReorg!$F259,TransportationData!$A$6:$A$338,0),8)</f>
        <v>192030.1</v>
      </c>
      <c r="J259" s="28">
        <f t="shared" ref="J259:J322" si="35">ROUND(I259/H259,2)</f>
        <v>346.31</v>
      </c>
      <c r="K259" s="31">
        <f t="shared" si="32"/>
        <v>347.65</v>
      </c>
      <c r="L259" s="32">
        <f t="shared" si="33"/>
        <v>0</v>
      </c>
      <c r="M259" s="9">
        <f t="shared" ref="M259:M322" si="36">ROUND((I259-L259)/H259,2)</f>
        <v>346.31</v>
      </c>
      <c r="N259" s="5">
        <f t="shared" si="34"/>
        <v>454</v>
      </c>
      <c r="O259" s="8">
        <f t="shared" ref="O259:O322" si="37">ROUND((I259-L259-N259)/H259,2)</f>
        <v>345.49</v>
      </c>
      <c r="Q259" s="5">
        <f t="shared" ref="Q259:Q322" si="38">IF(ROUND($H259*$N$340,0)&gt;$I259-$L259-N259,ROUND($I259-$L259-$N259,0),ROUND($H259*$N$340,0))</f>
        <v>0</v>
      </c>
      <c r="R259" s="8">
        <f t="shared" si="31"/>
        <v>345.49</v>
      </c>
    </row>
    <row r="260" spans="1:18" x14ac:dyDescent="0.55000000000000004">
      <c r="A260">
        <v>2019</v>
      </c>
      <c r="B260" t="s">
        <v>692</v>
      </c>
      <c r="C260" t="s">
        <v>415</v>
      </c>
      <c r="F260" t="s">
        <v>415</v>
      </c>
      <c r="G260" s="28" t="s">
        <v>949</v>
      </c>
      <c r="H260" s="29">
        <f>INDEX(TransportationData!$A$6:$M$338,MATCH(FinalPayment_NoReorg!$F260,TransportationData!$A$6:$A$338,0),3)</f>
        <v>1334.7</v>
      </c>
      <c r="I260" s="30">
        <f>INDEX(TransportationData!$A$6:$M$338,MATCH(FinalPayment_NoReorg!$F260,TransportationData!$A$6:$A$338,0),8)</f>
        <v>374848.36000000004</v>
      </c>
      <c r="J260" s="28">
        <f t="shared" si="35"/>
        <v>280.85000000000002</v>
      </c>
      <c r="K260" s="31">
        <f t="shared" si="32"/>
        <v>347.65</v>
      </c>
      <c r="L260" s="32">
        <f t="shared" si="33"/>
        <v>0</v>
      </c>
      <c r="M260" s="9">
        <f t="shared" si="36"/>
        <v>280.85000000000002</v>
      </c>
      <c r="N260" s="5">
        <f t="shared" si="34"/>
        <v>1093</v>
      </c>
      <c r="O260" s="8">
        <f t="shared" si="37"/>
        <v>280.02999999999997</v>
      </c>
      <c r="Q260" s="5">
        <f t="shared" si="38"/>
        <v>0</v>
      </c>
      <c r="R260" s="8">
        <f t="shared" ref="R260:R323" si="39">ROUND(($I260-$L260-$N260-$Q260)/$H260,2)</f>
        <v>280.02999999999997</v>
      </c>
    </row>
    <row r="261" spans="1:18" x14ac:dyDescent="0.55000000000000004">
      <c r="A261">
        <v>2019</v>
      </c>
      <c r="B261" t="s">
        <v>694</v>
      </c>
      <c r="C261" t="s">
        <v>950</v>
      </c>
      <c r="F261" t="s">
        <v>414</v>
      </c>
      <c r="G261" s="28" t="s">
        <v>951</v>
      </c>
      <c r="H261" s="29">
        <f>INDEX(TransportationData!$A$6:$M$338,MATCH(FinalPayment_NoReorg!$F261,TransportationData!$A$6:$A$338,0),3)</f>
        <v>483</v>
      </c>
      <c r="I261" s="30">
        <f>INDEX(TransportationData!$A$6:$M$338,MATCH(FinalPayment_NoReorg!$F261,TransportationData!$A$6:$A$338,0),8)</f>
        <v>283532.53999999998</v>
      </c>
      <c r="J261" s="28">
        <f t="shared" si="35"/>
        <v>587.02</v>
      </c>
      <c r="K261" s="31">
        <f t="shared" si="32"/>
        <v>347.65</v>
      </c>
      <c r="L261" s="32">
        <f t="shared" si="33"/>
        <v>115616</v>
      </c>
      <c r="M261" s="9">
        <f t="shared" si="36"/>
        <v>347.65</v>
      </c>
      <c r="N261" s="5">
        <f t="shared" si="34"/>
        <v>395</v>
      </c>
      <c r="O261" s="8">
        <f t="shared" si="37"/>
        <v>346.84</v>
      </c>
      <c r="Q261" s="5">
        <f t="shared" si="38"/>
        <v>0</v>
      </c>
      <c r="R261" s="8">
        <f t="shared" si="39"/>
        <v>346.84</v>
      </c>
    </row>
    <row r="262" spans="1:18" x14ac:dyDescent="0.55000000000000004">
      <c r="A262">
        <v>2019</v>
      </c>
      <c r="B262" t="s">
        <v>692</v>
      </c>
      <c r="C262" t="s">
        <v>413</v>
      </c>
      <c r="F262" t="s">
        <v>413</v>
      </c>
      <c r="G262" s="28" t="s">
        <v>952</v>
      </c>
      <c r="H262" s="29">
        <f>INDEX(TransportationData!$A$6:$M$338,MATCH(FinalPayment_NoReorg!$F262,TransportationData!$A$6:$A$338,0),3)</f>
        <v>14556.300000000001</v>
      </c>
      <c r="I262" s="30">
        <f>INDEX(TransportationData!$A$6:$M$338,MATCH(FinalPayment_NoReorg!$F262,TransportationData!$A$6:$A$338,0),8)</f>
        <v>2423135.44</v>
      </c>
      <c r="J262" s="28">
        <f t="shared" si="35"/>
        <v>166.47</v>
      </c>
      <c r="K262" s="31">
        <f t="shared" si="32"/>
        <v>347.65</v>
      </c>
      <c r="L262" s="32">
        <f t="shared" si="33"/>
        <v>0</v>
      </c>
      <c r="M262" s="9">
        <f t="shared" si="36"/>
        <v>166.47</v>
      </c>
      <c r="N262" s="5">
        <f t="shared" si="34"/>
        <v>11915</v>
      </c>
      <c r="O262" s="8">
        <f t="shared" si="37"/>
        <v>165.65</v>
      </c>
      <c r="Q262" s="5">
        <f t="shared" si="38"/>
        <v>0</v>
      </c>
      <c r="R262" s="8">
        <f t="shared" si="39"/>
        <v>165.65</v>
      </c>
    </row>
    <row r="263" spans="1:18" x14ac:dyDescent="0.55000000000000004">
      <c r="A263">
        <v>2019</v>
      </c>
      <c r="B263" t="s">
        <v>698</v>
      </c>
      <c r="C263" t="s">
        <v>411</v>
      </c>
      <c r="F263" t="s">
        <v>411</v>
      </c>
      <c r="G263" s="28" t="s">
        <v>953</v>
      </c>
      <c r="H263" s="29">
        <f>INDEX(TransportationData!$A$6:$M$338,MATCH(FinalPayment_NoReorg!$F263,TransportationData!$A$6:$A$338,0),3)</f>
        <v>1397.1</v>
      </c>
      <c r="I263" s="30">
        <f>INDEX(TransportationData!$A$6:$M$338,MATCH(FinalPayment_NoReorg!$F263,TransportationData!$A$6:$A$338,0),8)</f>
        <v>339190.02999999997</v>
      </c>
      <c r="J263" s="28">
        <f t="shared" si="35"/>
        <v>242.78</v>
      </c>
      <c r="K263" s="31">
        <f t="shared" si="32"/>
        <v>347.65</v>
      </c>
      <c r="L263" s="32">
        <f t="shared" si="33"/>
        <v>0</v>
      </c>
      <c r="M263" s="9">
        <f t="shared" si="36"/>
        <v>242.78</v>
      </c>
      <c r="N263" s="5">
        <f t="shared" si="34"/>
        <v>1144</v>
      </c>
      <c r="O263" s="8">
        <f t="shared" si="37"/>
        <v>241.96</v>
      </c>
      <c r="Q263" s="5">
        <f t="shared" si="38"/>
        <v>0</v>
      </c>
      <c r="R263" s="8">
        <f t="shared" si="39"/>
        <v>241.96</v>
      </c>
    </row>
    <row r="264" spans="1:18" x14ac:dyDescent="0.55000000000000004">
      <c r="A264">
        <v>2019</v>
      </c>
      <c r="B264" t="s">
        <v>694</v>
      </c>
      <c r="C264" t="s">
        <v>412</v>
      </c>
      <c r="F264" t="s">
        <v>412</v>
      </c>
      <c r="G264" s="28" t="s">
        <v>954</v>
      </c>
      <c r="H264" s="29">
        <f>INDEX(TransportationData!$A$6:$M$338,MATCH(FinalPayment_NoReorg!$F264,TransportationData!$A$6:$A$338,0),3)</f>
        <v>946.8</v>
      </c>
      <c r="I264" s="30">
        <f>INDEX(TransportationData!$A$6:$M$338,MATCH(FinalPayment_NoReorg!$F264,TransportationData!$A$6:$A$338,0),8)</f>
        <v>524937.29999999993</v>
      </c>
      <c r="J264" s="28">
        <f t="shared" si="35"/>
        <v>554.42999999999995</v>
      </c>
      <c r="K264" s="31">
        <f t="shared" si="32"/>
        <v>347.65</v>
      </c>
      <c r="L264" s="32">
        <f t="shared" si="33"/>
        <v>195779</v>
      </c>
      <c r="M264" s="9">
        <f t="shared" si="36"/>
        <v>347.65</v>
      </c>
      <c r="N264" s="5">
        <f t="shared" si="34"/>
        <v>775</v>
      </c>
      <c r="O264" s="8">
        <f t="shared" si="37"/>
        <v>346.83</v>
      </c>
      <c r="Q264" s="5">
        <f t="shared" si="38"/>
        <v>0</v>
      </c>
      <c r="R264" s="8">
        <f t="shared" si="39"/>
        <v>346.83</v>
      </c>
    </row>
    <row r="265" spans="1:18" x14ac:dyDescent="0.55000000000000004">
      <c r="A265">
        <v>2019</v>
      </c>
      <c r="B265" t="s">
        <v>694</v>
      </c>
      <c r="C265" t="s">
        <v>409</v>
      </c>
      <c r="F265" t="s">
        <v>409</v>
      </c>
      <c r="G265" s="28" t="s">
        <v>955</v>
      </c>
      <c r="H265" s="29">
        <f>INDEX(TransportationData!$A$6:$M$338,MATCH(FinalPayment_NoReorg!$F265,TransportationData!$A$6:$A$338,0),3)</f>
        <v>629.9</v>
      </c>
      <c r="I265" s="30">
        <f>INDEX(TransportationData!$A$6:$M$338,MATCH(FinalPayment_NoReorg!$F265,TransportationData!$A$6:$A$338,0),8)</f>
        <v>366888.81999999995</v>
      </c>
      <c r="J265" s="28">
        <f t="shared" si="35"/>
        <v>582.46</v>
      </c>
      <c r="K265" s="31">
        <f t="shared" si="32"/>
        <v>347.65</v>
      </c>
      <c r="L265" s="32">
        <f t="shared" si="33"/>
        <v>147907</v>
      </c>
      <c r="M265" s="9">
        <f t="shared" si="36"/>
        <v>347.65</v>
      </c>
      <c r="N265" s="5">
        <f t="shared" si="34"/>
        <v>516</v>
      </c>
      <c r="O265" s="8">
        <f t="shared" si="37"/>
        <v>346.83</v>
      </c>
      <c r="Q265" s="5">
        <f t="shared" si="38"/>
        <v>0</v>
      </c>
      <c r="R265" s="8">
        <f t="shared" si="39"/>
        <v>346.83</v>
      </c>
    </row>
    <row r="266" spans="1:18" x14ac:dyDescent="0.55000000000000004">
      <c r="A266">
        <v>2019</v>
      </c>
      <c r="B266" t="s">
        <v>692</v>
      </c>
      <c r="C266" t="s">
        <v>956</v>
      </c>
      <c r="F266" t="s">
        <v>405</v>
      </c>
      <c r="G266" s="28" t="s">
        <v>957</v>
      </c>
      <c r="H266" s="29">
        <f>INDEX(TransportationData!$A$6:$M$338,MATCH(FinalPayment_NoReorg!$F266,TransportationData!$A$6:$A$338,0),3)</f>
        <v>611.5</v>
      </c>
      <c r="I266" s="30">
        <f>INDEX(TransportationData!$A$6:$M$338,MATCH(FinalPayment_NoReorg!$F266,TransportationData!$A$6:$A$338,0),8)</f>
        <v>274454.64999999997</v>
      </c>
      <c r="J266" s="28">
        <f t="shared" si="35"/>
        <v>448.82</v>
      </c>
      <c r="K266" s="31">
        <f t="shared" si="32"/>
        <v>347.65</v>
      </c>
      <c r="L266" s="32">
        <f t="shared" si="33"/>
        <v>61865</v>
      </c>
      <c r="M266" s="9">
        <f t="shared" si="36"/>
        <v>347.65</v>
      </c>
      <c r="N266" s="5">
        <f t="shared" si="34"/>
        <v>501</v>
      </c>
      <c r="O266" s="8">
        <f t="shared" si="37"/>
        <v>346.83</v>
      </c>
      <c r="Q266" s="5">
        <f t="shared" si="38"/>
        <v>0</v>
      </c>
      <c r="R266" s="8">
        <f t="shared" si="39"/>
        <v>346.83</v>
      </c>
    </row>
    <row r="267" spans="1:18" x14ac:dyDescent="0.55000000000000004">
      <c r="A267">
        <v>2019</v>
      </c>
      <c r="B267" t="s">
        <v>690</v>
      </c>
      <c r="C267" t="s">
        <v>407</v>
      </c>
      <c r="F267" t="s">
        <v>407</v>
      </c>
      <c r="G267" s="28" t="s">
        <v>958</v>
      </c>
      <c r="H267" s="29">
        <f>INDEX(TransportationData!$A$6:$M$338,MATCH(FinalPayment_NoReorg!$F267,TransportationData!$A$6:$A$338,0),3)</f>
        <v>195</v>
      </c>
      <c r="I267" s="30">
        <f>INDEX(TransportationData!$A$6:$M$338,MATCH(FinalPayment_NoReorg!$F267,TransportationData!$A$6:$A$338,0),8)</f>
        <v>93950.28</v>
      </c>
      <c r="J267" s="28">
        <f t="shared" si="35"/>
        <v>481.8</v>
      </c>
      <c r="K267" s="31">
        <f t="shared" si="32"/>
        <v>347.65</v>
      </c>
      <c r="L267" s="32">
        <f t="shared" si="33"/>
        <v>26159</v>
      </c>
      <c r="M267" s="9">
        <f t="shared" si="36"/>
        <v>347.65</v>
      </c>
      <c r="N267" s="5">
        <f t="shared" si="34"/>
        <v>160</v>
      </c>
      <c r="O267" s="8">
        <f t="shared" si="37"/>
        <v>346.83</v>
      </c>
      <c r="Q267" s="5">
        <f t="shared" si="38"/>
        <v>0</v>
      </c>
      <c r="R267" s="8">
        <f t="shared" si="39"/>
        <v>346.83</v>
      </c>
    </row>
    <row r="268" spans="1:18" x14ac:dyDescent="0.55000000000000004">
      <c r="A268">
        <v>2019</v>
      </c>
      <c r="B268" t="s">
        <v>689</v>
      </c>
      <c r="C268" t="s">
        <v>406</v>
      </c>
      <c r="F268" t="s">
        <v>406</v>
      </c>
      <c r="G268" s="28" t="s">
        <v>959</v>
      </c>
      <c r="H268" s="29">
        <f>INDEX(TransportationData!$A$6:$M$338,MATCH(FinalPayment_NoReorg!$F268,TransportationData!$A$6:$A$338,0),3)</f>
        <v>1541.1</v>
      </c>
      <c r="I268" s="30">
        <f>INDEX(TransportationData!$A$6:$M$338,MATCH(FinalPayment_NoReorg!$F268,TransportationData!$A$6:$A$338,0),8)</f>
        <v>640014.7300000001</v>
      </c>
      <c r="J268" s="28">
        <f t="shared" si="35"/>
        <v>415.3</v>
      </c>
      <c r="K268" s="31">
        <f t="shared" si="32"/>
        <v>347.65</v>
      </c>
      <c r="L268" s="32">
        <f t="shared" si="33"/>
        <v>104255</v>
      </c>
      <c r="M268" s="9">
        <f t="shared" si="36"/>
        <v>347.65</v>
      </c>
      <c r="N268" s="5">
        <f t="shared" si="34"/>
        <v>1262</v>
      </c>
      <c r="O268" s="8">
        <f t="shared" si="37"/>
        <v>346.83</v>
      </c>
      <c r="Q268" s="5">
        <f t="shared" si="38"/>
        <v>0</v>
      </c>
      <c r="R268" s="8">
        <f t="shared" si="39"/>
        <v>346.83</v>
      </c>
    </row>
    <row r="269" spans="1:18" x14ac:dyDescent="0.55000000000000004">
      <c r="A269">
        <v>2019</v>
      </c>
      <c r="B269" t="s">
        <v>703</v>
      </c>
      <c r="C269" t="s">
        <v>404</v>
      </c>
      <c r="F269" t="s">
        <v>404</v>
      </c>
      <c r="G269" s="28" t="s">
        <v>960</v>
      </c>
      <c r="H269" s="29">
        <f>INDEX(TransportationData!$A$6:$M$338,MATCH(FinalPayment_NoReorg!$F269,TransportationData!$A$6:$A$338,0),3)</f>
        <v>499</v>
      </c>
      <c r="I269" s="30">
        <f>INDEX(TransportationData!$A$6:$M$338,MATCH(FinalPayment_NoReorg!$F269,TransportationData!$A$6:$A$338,0),8)</f>
        <v>252497.41</v>
      </c>
      <c r="J269" s="28">
        <f t="shared" si="35"/>
        <v>506.01</v>
      </c>
      <c r="K269" s="31">
        <f t="shared" si="32"/>
        <v>347.65</v>
      </c>
      <c r="L269" s="32">
        <f t="shared" si="33"/>
        <v>79022</v>
      </c>
      <c r="M269" s="9">
        <f t="shared" si="36"/>
        <v>347.65</v>
      </c>
      <c r="N269" s="5">
        <f t="shared" si="34"/>
        <v>408</v>
      </c>
      <c r="O269" s="8">
        <f t="shared" si="37"/>
        <v>346.83</v>
      </c>
      <c r="Q269" s="5">
        <f t="shared" si="38"/>
        <v>0</v>
      </c>
      <c r="R269" s="8">
        <f t="shared" si="39"/>
        <v>346.83</v>
      </c>
    </row>
    <row r="270" spans="1:18" x14ac:dyDescent="0.55000000000000004">
      <c r="A270">
        <v>2019</v>
      </c>
      <c r="B270" t="s">
        <v>686</v>
      </c>
      <c r="C270" t="s">
        <v>403</v>
      </c>
      <c r="F270" t="s">
        <v>403</v>
      </c>
      <c r="G270" s="28" t="s">
        <v>961</v>
      </c>
      <c r="H270" s="29">
        <f>INDEX(TransportationData!$A$6:$M$338,MATCH(FinalPayment_NoReorg!$F270,TransportationData!$A$6:$A$338,0),3)</f>
        <v>6894.4</v>
      </c>
      <c r="I270" s="30">
        <f>INDEX(TransportationData!$A$6:$M$338,MATCH(FinalPayment_NoReorg!$F270,TransportationData!$A$6:$A$338,0),8)</f>
        <v>2362308.58</v>
      </c>
      <c r="J270" s="28">
        <f t="shared" si="35"/>
        <v>342.64</v>
      </c>
      <c r="K270" s="31">
        <f t="shared" si="32"/>
        <v>347.65</v>
      </c>
      <c r="L270" s="32">
        <f t="shared" si="33"/>
        <v>0</v>
      </c>
      <c r="M270" s="9">
        <f t="shared" si="36"/>
        <v>342.64</v>
      </c>
      <c r="N270" s="5">
        <f t="shared" si="34"/>
        <v>5644</v>
      </c>
      <c r="O270" s="8">
        <f t="shared" si="37"/>
        <v>341.82</v>
      </c>
      <c r="Q270" s="5">
        <f t="shared" si="38"/>
        <v>0</v>
      </c>
      <c r="R270" s="8">
        <f t="shared" si="39"/>
        <v>341.82</v>
      </c>
    </row>
    <row r="271" spans="1:18" x14ac:dyDescent="0.55000000000000004">
      <c r="A271">
        <v>2019</v>
      </c>
      <c r="B271" t="s">
        <v>686</v>
      </c>
      <c r="C271" t="s">
        <v>410</v>
      </c>
      <c r="F271" t="s">
        <v>410</v>
      </c>
      <c r="G271" s="28" t="s">
        <v>962</v>
      </c>
      <c r="H271" s="29">
        <f>INDEX(TransportationData!$A$6:$M$338,MATCH(FinalPayment_NoReorg!$F271,TransportationData!$A$6:$A$338,0),3)</f>
        <v>540.9</v>
      </c>
      <c r="I271" s="30">
        <f>INDEX(TransportationData!$A$6:$M$338,MATCH(FinalPayment_NoReorg!$F271,TransportationData!$A$6:$A$338,0),8)</f>
        <v>280291.74</v>
      </c>
      <c r="J271" s="28">
        <f t="shared" si="35"/>
        <v>518.20000000000005</v>
      </c>
      <c r="K271" s="31">
        <f t="shared" si="32"/>
        <v>347.65</v>
      </c>
      <c r="L271" s="32">
        <f t="shared" si="33"/>
        <v>92250</v>
      </c>
      <c r="M271" s="9">
        <f t="shared" si="36"/>
        <v>347.65</v>
      </c>
      <c r="N271" s="5">
        <f t="shared" si="34"/>
        <v>443</v>
      </c>
      <c r="O271" s="8">
        <f t="shared" si="37"/>
        <v>346.83</v>
      </c>
      <c r="Q271" s="5">
        <f t="shared" si="38"/>
        <v>0</v>
      </c>
      <c r="R271" s="8">
        <f t="shared" si="39"/>
        <v>346.83</v>
      </c>
    </row>
    <row r="272" spans="1:18" x14ac:dyDescent="0.55000000000000004">
      <c r="A272">
        <v>2019</v>
      </c>
      <c r="B272" t="s">
        <v>694</v>
      </c>
      <c r="C272" t="s">
        <v>408</v>
      </c>
      <c r="F272" t="s">
        <v>408</v>
      </c>
      <c r="G272" s="28" t="s">
        <v>963</v>
      </c>
      <c r="H272" s="29">
        <f>INDEX(TransportationData!$A$6:$M$338,MATCH(FinalPayment_NoReorg!$F272,TransportationData!$A$6:$A$338,0),3)</f>
        <v>573.70000000000005</v>
      </c>
      <c r="I272" s="30">
        <f>INDEX(TransportationData!$A$6:$M$338,MATCH(FinalPayment_NoReorg!$F272,TransportationData!$A$6:$A$338,0),8)</f>
        <v>444531.09</v>
      </c>
      <c r="J272" s="28">
        <f t="shared" si="35"/>
        <v>774.85</v>
      </c>
      <c r="K272" s="31">
        <f t="shared" si="32"/>
        <v>347.65</v>
      </c>
      <c r="L272" s="32">
        <f t="shared" si="33"/>
        <v>245085</v>
      </c>
      <c r="M272" s="9">
        <f t="shared" si="36"/>
        <v>347.65</v>
      </c>
      <c r="N272" s="5">
        <f t="shared" si="34"/>
        <v>470</v>
      </c>
      <c r="O272" s="8">
        <f t="shared" si="37"/>
        <v>346.83</v>
      </c>
      <c r="Q272" s="5">
        <f t="shared" si="38"/>
        <v>0</v>
      </c>
      <c r="R272" s="8">
        <f t="shared" si="39"/>
        <v>346.83</v>
      </c>
    </row>
    <row r="273" spans="1:18" x14ac:dyDescent="0.55000000000000004">
      <c r="A273">
        <v>2019</v>
      </c>
      <c r="B273" t="s">
        <v>694</v>
      </c>
      <c r="C273" t="s">
        <v>402</v>
      </c>
      <c r="F273" t="s">
        <v>402</v>
      </c>
      <c r="G273" s="28" t="s">
        <v>964</v>
      </c>
      <c r="H273" s="29">
        <f>INDEX(TransportationData!$A$6:$M$338,MATCH(FinalPayment_NoReorg!$F273,TransportationData!$A$6:$A$338,0),3)</f>
        <v>1957.5</v>
      </c>
      <c r="I273" s="30">
        <f>INDEX(TransportationData!$A$6:$M$338,MATCH(FinalPayment_NoReorg!$F273,TransportationData!$A$6:$A$338,0),8)</f>
        <v>397337.35</v>
      </c>
      <c r="J273" s="28">
        <f t="shared" si="35"/>
        <v>202.98</v>
      </c>
      <c r="K273" s="31">
        <f t="shared" si="32"/>
        <v>347.65</v>
      </c>
      <c r="L273" s="32">
        <f t="shared" si="33"/>
        <v>0</v>
      </c>
      <c r="M273" s="9">
        <f t="shared" si="36"/>
        <v>202.98</v>
      </c>
      <c r="N273" s="5">
        <f t="shared" si="34"/>
        <v>1602</v>
      </c>
      <c r="O273" s="8">
        <f t="shared" si="37"/>
        <v>202.16</v>
      </c>
      <c r="Q273" s="5">
        <f t="shared" si="38"/>
        <v>0</v>
      </c>
      <c r="R273" s="8">
        <f t="shared" si="39"/>
        <v>202.16</v>
      </c>
    </row>
    <row r="274" spans="1:18" x14ac:dyDescent="0.55000000000000004">
      <c r="A274">
        <v>2019</v>
      </c>
      <c r="B274" t="s">
        <v>694</v>
      </c>
      <c r="C274" t="s">
        <v>401</v>
      </c>
      <c r="F274" t="s">
        <v>401</v>
      </c>
      <c r="G274" s="28" t="s">
        <v>965</v>
      </c>
      <c r="H274" s="29">
        <f>INDEX(TransportationData!$A$6:$M$338,MATCH(FinalPayment_NoReorg!$F274,TransportationData!$A$6:$A$338,0),3)</f>
        <v>1167.7</v>
      </c>
      <c r="I274" s="30">
        <f>INDEX(TransportationData!$A$6:$M$338,MATCH(FinalPayment_NoReorg!$F274,TransportationData!$A$6:$A$338,0),8)</f>
        <v>396477.36000000004</v>
      </c>
      <c r="J274" s="28">
        <f t="shared" si="35"/>
        <v>339.54</v>
      </c>
      <c r="K274" s="31">
        <f t="shared" si="32"/>
        <v>347.65</v>
      </c>
      <c r="L274" s="32">
        <f t="shared" si="33"/>
        <v>0</v>
      </c>
      <c r="M274" s="9">
        <f t="shared" si="36"/>
        <v>339.54</v>
      </c>
      <c r="N274" s="5">
        <f t="shared" si="34"/>
        <v>956</v>
      </c>
      <c r="O274" s="8">
        <f t="shared" si="37"/>
        <v>338.72</v>
      </c>
      <c r="Q274" s="5">
        <f t="shared" si="38"/>
        <v>0</v>
      </c>
      <c r="R274" s="8">
        <f t="shared" si="39"/>
        <v>338.72</v>
      </c>
    </row>
    <row r="275" spans="1:18" x14ac:dyDescent="0.55000000000000004">
      <c r="A275">
        <v>2019</v>
      </c>
      <c r="B275" t="s">
        <v>698</v>
      </c>
      <c r="C275" t="s">
        <v>400</v>
      </c>
      <c r="F275" t="s">
        <v>400</v>
      </c>
      <c r="G275" s="28" t="s">
        <v>966</v>
      </c>
      <c r="H275" s="29">
        <f>INDEX(TransportationData!$A$6:$M$338,MATCH(FinalPayment_NoReorg!$F275,TransportationData!$A$6:$A$338,0),3)</f>
        <v>382.1</v>
      </c>
      <c r="I275" s="30">
        <f>INDEX(TransportationData!$A$6:$M$338,MATCH(FinalPayment_NoReorg!$F275,TransportationData!$A$6:$A$338,0),8)</f>
        <v>113512.92</v>
      </c>
      <c r="J275" s="28">
        <f t="shared" si="35"/>
        <v>297.08</v>
      </c>
      <c r="K275" s="31">
        <f t="shared" si="32"/>
        <v>347.65</v>
      </c>
      <c r="L275" s="32">
        <f t="shared" si="33"/>
        <v>0</v>
      </c>
      <c r="M275" s="9">
        <f t="shared" si="36"/>
        <v>297.08</v>
      </c>
      <c r="N275" s="5">
        <f t="shared" si="34"/>
        <v>313</v>
      </c>
      <c r="O275" s="8">
        <f t="shared" si="37"/>
        <v>296.26</v>
      </c>
      <c r="Q275" s="5">
        <f t="shared" si="38"/>
        <v>0</v>
      </c>
      <c r="R275" s="8">
        <f t="shared" si="39"/>
        <v>296.26</v>
      </c>
    </row>
    <row r="276" spans="1:18" x14ac:dyDescent="0.55000000000000004">
      <c r="A276">
        <v>2019</v>
      </c>
      <c r="B276" t="s">
        <v>689</v>
      </c>
      <c r="C276" t="s">
        <v>427</v>
      </c>
      <c r="F276" t="s">
        <v>427</v>
      </c>
      <c r="G276" s="28" t="s">
        <v>967</v>
      </c>
      <c r="H276" s="29">
        <f>INDEX(TransportationData!$A$6:$M$338,MATCH(FinalPayment_NoReorg!$F276,TransportationData!$A$6:$A$338,0),3)</f>
        <v>577.79999999999995</v>
      </c>
      <c r="I276" s="30">
        <f>INDEX(TransportationData!$A$6:$M$338,MATCH(FinalPayment_NoReorg!$F276,TransportationData!$A$6:$A$338,0),8)</f>
        <v>343202.9</v>
      </c>
      <c r="J276" s="28">
        <f t="shared" si="35"/>
        <v>593.98</v>
      </c>
      <c r="K276" s="31">
        <f t="shared" si="32"/>
        <v>347.65</v>
      </c>
      <c r="L276" s="32">
        <f t="shared" si="33"/>
        <v>142329</v>
      </c>
      <c r="M276" s="9">
        <f t="shared" si="36"/>
        <v>347.65</v>
      </c>
      <c r="N276" s="5">
        <f t="shared" si="34"/>
        <v>473</v>
      </c>
      <c r="O276" s="8">
        <f t="shared" si="37"/>
        <v>346.83</v>
      </c>
      <c r="Q276" s="5">
        <f t="shared" si="38"/>
        <v>0</v>
      </c>
      <c r="R276" s="8">
        <f t="shared" si="39"/>
        <v>346.83</v>
      </c>
    </row>
    <row r="277" spans="1:18" x14ac:dyDescent="0.55000000000000004">
      <c r="A277">
        <v>2019</v>
      </c>
      <c r="B277" t="s">
        <v>690</v>
      </c>
      <c r="C277" t="s">
        <v>399</v>
      </c>
      <c r="F277" t="s">
        <v>399</v>
      </c>
      <c r="G277" s="28" t="s">
        <v>968</v>
      </c>
      <c r="H277" s="29">
        <f>INDEX(TransportationData!$A$6:$M$338,MATCH(FinalPayment_NoReorg!$F277,TransportationData!$A$6:$A$338,0),3)</f>
        <v>172.1</v>
      </c>
      <c r="I277" s="30">
        <f>INDEX(TransportationData!$A$6:$M$338,MATCH(FinalPayment_NoReorg!$F277,TransportationData!$A$6:$A$338,0),8)</f>
        <v>58151.73</v>
      </c>
      <c r="J277" s="28">
        <f t="shared" si="35"/>
        <v>337.9</v>
      </c>
      <c r="K277" s="31">
        <f t="shared" si="32"/>
        <v>347.65</v>
      </c>
      <c r="L277" s="32">
        <f t="shared" si="33"/>
        <v>0</v>
      </c>
      <c r="M277" s="9">
        <f t="shared" si="36"/>
        <v>337.9</v>
      </c>
      <c r="N277" s="5">
        <f t="shared" si="34"/>
        <v>141</v>
      </c>
      <c r="O277" s="8">
        <f t="shared" si="37"/>
        <v>337.08</v>
      </c>
      <c r="Q277" s="5">
        <f t="shared" si="38"/>
        <v>0</v>
      </c>
      <c r="R277" s="8">
        <f t="shared" si="39"/>
        <v>337.08</v>
      </c>
    </row>
    <row r="278" spans="1:18" x14ac:dyDescent="0.55000000000000004">
      <c r="A278">
        <v>2019</v>
      </c>
      <c r="B278" t="s">
        <v>703</v>
      </c>
      <c r="C278" t="s">
        <v>398</v>
      </c>
      <c r="F278" t="s">
        <v>398</v>
      </c>
      <c r="G278" s="28" t="s">
        <v>969</v>
      </c>
      <c r="H278" s="29">
        <f>INDEX(TransportationData!$A$6:$M$338,MATCH(FinalPayment_NoReorg!$F278,TransportationData!$A$6:$A$338,0),3)</f>
        <v>599</v>
      </c>
      <c r="I278" s="30">
        <f>INDEX(TransportationData!$A$6:$M$338,MATCH(FinalPayment_NoReorg!$F278,TransportationData!$A$6:$A$338,0),8)</f>
        <v>235585.59</v>
      </c>
      <c r="J278" s="28">
        <f t="shared" si="35"/>
        <v>393.3</v>
      </c>
      <c r="K278" s="31">
        <f t="shared" si="32"/>
        <v>347.65</v>
      </c>
      <c r="L278" s="32">
        <f t="shared" si="33"/>
        <v>27344</v>
      </c>
      <c r="M278" s="9">
        <f t="shared" si="36"/>
        <v>347.65</v>
      </c>
      <c r="N278" s="5">
        <f t="shared" si="34"/>
        <v>490</v>
      </c>
      <c r="O278" s="8">
        <f t="shared" si="37"/>
        <v>346.83</v>
      </c>
      <c r="Q278" s="5">
        <f t="shared" si="38"/>
        <v>0</v>
      </c>
      <c r="R278" s="8">
        <f t="shared" si="39"/>
        <v>346.83</v>
      </c>
    </row>
    <row r="279" spans="1:18" x14ac:dyDescent="0.55000000000000004">
      <c r="A279">
        <v>2019</v>
      </c>
      <c r="B279" t="s">
        <v>694</v>
      </c>
      <c r="C279" t="s">
        <v>397</v>
      </c>
      <c r="F279" t="s">
        <v>397</v>
      </c>
      <c r="G279" s="28" t="s">
        <v>970</v>
      </c>
      <c r="H279" s="29">
        <f>INDEX(TransportationData!$A$6:$M$338,MATCH(FinalPayment_NoReorg!$F279,TransportationData!$A$6:$A$338,0),3)</f>
        <v>2385.5</v>
      </c>
      <c r="I279" s="30">
        <f>INDEX(TransportationData!$A$6:$M$338,MATCH(FinalPayment_NoReorg!$F279,TransportationData!$A$6:$A$338,0),8)</f>
        <v>394940.59</v>
      </c>
      <c r="J279" s="28">
        <f t="shared" si="35"/>
        <v>165.56</v>
      </c>
      <c r="K279" s="31">
        <f t="shared" si="32"/>
        <v>347.65</v>
      </c>
      <c r="L279" s="32">
        <f t="shared" si="33"/>
        <v>0</v>
      </c>
      <c r="M279" s="9">
        <f t="shared" si="36"/>
        <v>165.56</v>
      </c>
      <c r="N279" s="5">
        <f t="shared" si="34"/>
        <v>1953</v>
      </c>
      <c r="O279" s="8">
        <f t="shared" si="37"/>
        <v>164.74</v>
      </c>
      <c r="Q279" s="5">
        <f t="shared" si="38"/>
        <v>0</v>
      </c>
      <c r="R279" s="8">
        <f t="shared" si="39"/>
        <v>164.74</v>
      </c>
    </row>
    <row r="280" spans="1:18" x14ac:dyDescent="0.55000000000000004">
      <c r="A280">
        <v>2019</v>
      </c>
      <c r="B280" t="s">
        <v>694</v>
      </c>
      <c r="C280" t="s">
        <v>396</v>
      </c>
      <c r="F280" t="s">
        <v>396</v>
      </c>
      <c r="G280" s="28" t="s">
        <v>971</v>
      </c>
      <c r="H280" s="29">
        <f>INDEX(TransportationData!$A$6:$M$338,MATCH(FinalPayment_NoReorg!$F280,TransportationData!$A$6:$A$338,0),3)</f>
        <v>141.69999999999999</v>
      </c>
      <c r="I280" s="30">
        <f>INDEX(TransportationData!$A$6:$M$338,MATCH(FinalPayment_NoReorg!$F280,TransportationData!$A$6:$A$338,0),8)</f>
        <v>77796</v>
      </c>
      <c r="J280" s="28">
        <f t="shared" si="35"/>
        <v>549.02</v>
      </c>
      <c r="K280" s="31">
        <f t="shared" si="32"/>
        <v>347.65</v>
      </c>
      <c r="L280" s="32">
        <f t="shared" si="33"/>
        <v>28534</v>
      </c>
      <c r="M280" s="9">
        <f t="shared" si="36"/>
        <v>347.65</v>
      </c>
      <c r="N280" s="5">
        <f t="shared" si="34"/>
        <v>116</v>
      </c>
      <c r="O280" s="8">
        <f t="shared" si="37"/>
        <v>346.83</v>
      </c>
      <c r="Q280" s="5">
        <f t="shared" si="38"/>
        <v>0</v>
      </c>
      <c r="R280" s="8">
        <f t="shared" si="39"/>
        <v>346.83</v>
      </c>
    </row>
    <row r="281" spans="1:18" x14ac:dyDescent="0.55000000000000004">
      <c r="A281">
        <v>2019</v>
      </c>
      <c r="B281" t="s">
        <v>689</v>
      </c>
      <c r="C281" t="s">
        <v>394</v>
      </c>
      <c r="F281" t="s">
        <v>394</v>
      </c>
      <c r="G281" s="28" t="s">
        <v>972</v>
      </c>
      <c r="H281" s="29">
        <f>INDEX(TransportationData!$A$6:$M$338,MATCH(FinalPayment_NoReorg!$F281,TransportationData!$A$6:$A$338,0),3)</f>
        <v>818.8</v>
      </c>
      <c r="I281" s="30">
        <f>INDEX(TransportationData!$A$6:$M$338,MATCH(FinalPayment_NoReorg!$F281,TransportationData!$A$6:$A$338,0),8)</f>
        <v>445240.08999999997</v>
      </c>
      <c r="J281" s="28">
        <f t="shared" si="35"/>
        <v>543.77</v>
      </c>
      <c r="K281" s="31">
        <f t="shared" si="32"/>
        <v>347.65</v>
      </c>
      <c r="L281" s="32">
        <f t="shared" si="33"/>
        <v>160583</v>
      </c>
      <c r="M281" s="9">
        <f t="shared" si="36"/>
        <v>347.65</v>
      </c>
      <c r="N281" s="5">
        <f t="shared" si="34"/>
        <v>670</v>
      </c>
      <c r="O281" s="8">
        <f t="shared" si="37"/>
        <v>346.83</v>
      </c>
      <c r="Q281" s="5">
        <f t="shared" si="38"/>
        <v>0</v>
      </c>
      <c r="R281" s="8">
        <f t="shared" si="39"/>
        <v>346.83</v>
      </c>
    </row>
    <row r="282" spans="1:18" x14ac:dyDescent="0.55000000000000004">
      <c r="A282">
        <v>2019</v>
      </c>
      <c r="B282" t="s">
        <v>698</v>
      </c>
      <c r="C282" t="s">
        <v>393</v>
      </c>
      <c r="F282" t="s">
        <v>393</v>
      </c>
      <c r="G282" s="28" t="s">
        <v>973</v>
      </c>
      <c r="H282" s="29">
        <f>INDEX(TransportationData!$A$6:$M$338,MATCH(FinalPayment_NoReorg!$F282,TransportationData!$A$6:$A$338,0),3)</f>
        <v>877.1</v>
      </c>
      <c r="I282" s="30">
        <f>INDEX(TransportationData!$A$6:$M$338,MATCH(FinalPayment_NoReorg!$F282,TransportationData!$A$6:$A$338,0),8)</f>
        <v>296033.61</v>
      </c>
      <c r="J282" s="28">
        <f t="shared" si="35"/>
        <v>337.51</v>
      </c>
      <c r="K282" s="31">
        <f t="shared" si="32"/>
        <v>347.65</v>
      </c>
      <c r="L282" s="32">
        <f t="shared" si="33"/>
        <v>0</v>
      </c>
      <c r="M282" s="9">
        <f t="shared" si="36"/>
        <v>337.51</v>
      </c>
      <c r="N282" s="5">
        <f t="shared" si="34"/>
        <v>718</v>
      </c>
      <c r="O282" s="8">
        <f t="shared" si="37"/>
        <v>336.7</v>
      </c>
      <c r="Q282" s="5">
        <f t="shared" si="38"/>
        <v>0</v>
      </c>
      <c r="R282" s="8">
        <f t="shared" si="39"/>
        <v>336.7</v>
      </c>
    </row>
    <row r="283" spans="1:18" x14ac:dyDescent="0.55000000000000004">
      <c r="A283">
        <v>2019</v>
      </c>
      <c r="B283" t="s">
        <v>690</v>
      </c>
      <c r="C283" t="s">
        <v>392</v>
      </c>
      <c r="F283" t="s">
        <v>392</v>
      </c>
      <c r="G283" s="28" t="s">
        <v>974</v>
      </c>
      <c r="H283" s="29">
        <f>INDEX(TransportationData!$A$6:$M$338,MATCH(FinalPayment_NoReorg!$F283,TransportationData!$A$6:$A$338,0),3)</f>
        <v>631.1</v>
      </c>
      <c r="I283" s="30">
        <f>INDEX(TransportationData!$A$6:$M$338,MATCH(FinalPayment_NoReorg!$F283,TransportationData!$A$6:$A$338,0),8)</f>
        <v>297053.57</v>
      </c>
      <c r="J283" s="28">
        <f t="shared" si="35"/>
        <v>470.69</v>
      </c>
      <c r="K283" s="31">
        <f t="shared" si="32"/>
        <v>347.65</v>
      </c>
      <c r="L283" s="32">
        <f t="shared" si="33"/>
        <v>77651</v>
      </c>
      <c r="M283" s="9">
        <f t="shared" si="36"/>
        <v>347.65</v>
      </c>
      <c r="N283" s="5">
        <f t="shared" si="34"/>
        <v>517</v>
      </c>
      <c r="O283" s="8">
        <f t="shared" si="37"/>
        <v>346.83</v>
      </c>
      <c r="Q283" s="5">
        <f t="shared" si="38"/>
        <v>0</v>
      </c>
      <c r="R283" s="8">
        <f t="shared" si="39"/>
        <v>346.83</v>
      </c>
    </row>
    <row r="284" spans="1:18" x14ac:dyDescent="0.55000000000000004">
      <c r="A284">
        <v>2019</v>
      </c>
      <c r="B284" t="s">
        <v>690</v>
      </c>
      <c r="C284" t="s">
        <v>391</v>
      </c>
      <c r="F284" t="s">
        <v>391</v>
      </c>
      <c r="G284" s="28" t="s">
        <v>975</v>
      </c>
      <c r="H284" s="29">
        <f>INDEX(TransportationData!$A$6:$M$338,MATCH(FinalPayment_NoReorg!$F284,TransportationData!$A$6:$A$338,0),3)</f>
        <v>641</v>
      </c>
      <c r="I284" s="30">
        <f>INDEX(TransportationData!$A$6:$M$338,MATCH(FinalPayment_NoReorg!$F284,TransportationData!$A$6:$A$338,0),8)</f>
        <v>356508.05000000005</v>
      </c>
      <c r="J284" s="28">
        <f t="shared" si="35"/>
        <v>556.16999999999996</v>
      </c>
      <c r="K284" s="31">
        <f t="shared" si="32"/>
        <v>347.65</v>
      </c>
      <c r="L284" s="32">
        <f t="shared" si="33"/>
        <v>133661</v>
      </c>
      <c r="M284" s="9">
        <f t="shared" si="36"/>
        <v>347.66</v>
      </c>
      <c r="N284" s="5">
        <f t="shared" si="34"/>
        <v>525</v>
      </c>
      <c r="O284" s="8">
        <f t="shared" si="37"/>
        <v>346.84</v>
      </c>
      <c r="Q284" s="5">
        <f t="shared" si="38"/>
        <v>0</v>
      </c>
      <c r="R284" s="8">
        <f t="shared" si="39"/>
        <v>346.84</v>
      </c>
    </row>
    <row r="285" spans="1:18" x14ac:dyDescent="0.55000000000000004">
      <c r="A285">
        <v>2019</v>
      </c>
      <c r="B285" t="s">
        <v>696</v>
      </c>
      <c r="C285" t="s">
        <v>390</v>
      </c>
      <c r="F285" t="s">
        <v>390</v>
      </c>
      <c r="G285" s="28" t="s">
        <v>976</v>
      </c>
      <c r="H285" s="29">
        <f>INDEX(TransportationData!$A$6:$M$338,MATCH(FinalPayment_NoReorg!$F285,TransportationData!$A$6:$A$338,0),3)</f>
        <v>285.8</v>
      </c>
      <c r="I285" s="30">
        <f>INDEX(TransportationData!$A$6:$M$338,MATCH(FinalPayment_NoReorg!$F285,TransportationData!$A$6:$A$338,0),8)</f>
        <v>155179.23000000001</v>
      </c>
      <c r="J285" s="28">
        <f t="shared" si="35"/>
        <v>542.96</v>
      </c>
      <c r="K285" s="31">
        <f t="shared" si="32"/>
        <v>347.65</v>
      </c>
      <c r="L285" s="32">
        <f t="shared" si="33"/>
        <v>55820</v>
      </c>
      <c r="M285" s="9">
        <f t="shared" si="36"/>
        <v>347.65</v>
      </c>
      <c r="N285" s="5">
        <f t="shared" si="34"/>
        <v>234</v>
      </c>
      <c r="O285" s="8">
        <f t="shared" si="37"/>
        <v>346.83</v>
      </c>
      <c r="Q285" s="5">
        <f t="shared" si="38"/>
        <v>0</v>
      </c>
      <c r="R285" s="8">
        <f t="shared" si="39"/>
        <v>346.83</v>
      </c>
    </row>
    <row r="286" spans="1:18" x14ac:dyDescent="0.55000000000000004">
      <c r="A286">
        <v>2019</v>
      </c>
      <c r="B286" t="s">
        <v>689</v>
      </c>
      <c r="C286" t="s">
        <v>389</v>
      </c>
      <c r="F286" t="s">
        <v>389</v>
      </c>
      <c r="G286" s="28" t="s">
        <v>977</v>
      </c>
      <c r="H286" s="29">
        <f>INDEX(TransportationData!$A$6:$M$338,MATCH(FinalPayment_NoReorg!$F286,TransportationData!$A$6:$A$338,0),3)</f>
        <v>410</v>
      </c>
      <c r="I286" s="30">
        <f>INDEX(TransportationData!$A$6:$M$338,MATCH(FinalPayment_NoReorg!$F286,TransportationData!$A$6:$A$338,0),8)</f>
        <v>118595.77</v>
      </c>
      <c r="J286" s="28">
        <f t="shared" si="35"/>
        <v>289.26</v>
      </c>
      <c r="K286" s="31">
        <f t="shared" si="32"/>
        <v>347.65</v>
      </c>
      <c r="L286" s="32">
        <f t="shared" si="33"/>
        <v>0</v>
      </c>
      <c r="M286" s="9">
        <f t="shared" si="36"/>
        <v>289.26</v>
      </c>
      <c r="N286" s="5">
        <f t="shared" si="34"/>
        <v>336</v>
      </c>
      <c r="O286" s="8">
        <f t="shared" si="37"/>
        <v>288.44</v>
      </c>
      <c r="Q286" s="5">
        <f t="shared" si="38"/>
        <v>0</v>
      </c>
      <c r="R286" s="8">
        <f t="shared" si="39"/>
        <v>288.44</v>
      </c>
    </row>
    <row r="287" spans="1:18" x14ac:dyDescent="0.55000000000000004">
      <c r="A287">
        <v>2019</v>
      </c>
      <c r="B287" t="s">
        <v>703</v>
      </c>
      <c r="C287" t="s">
        <v>388</v>
      </c>
      <c r="F287" t="s">
        <v>388</v>
      </c>
      <c r="G287" s="28" t="s">
        <v>978</v>
      </c>
      <c r="H287" s="29">
        <f>INDEX(TransportationData!$A$6:$M$338,MATCH(FinalPayment_NoReorg!$F287,TransportationData!$A$6:$A$338,0),3)</f>
        <v>343</v>
      </c>
      <c r="I287" s="30">
        <f>INDEX(TransportationData!$A$6:$M$338,MATCH(FinalPayment_NoReorg!$F287,TransportationData!$A$6:$A$338,0),8)</f>
        <v>244639.47999999998</v>
      </c>
      <c r="J287" s="28">
        <f t="shared" si="35"/>
        <v>713.23</v>
      </c>
      <c r="K287" s="31">
        <f t="shared" si="32"/>
        <v>347.65</v>
      </c>
      <c r="L287" s="32">
        <f t="shared" si="33"/>
        <v>125394</v>
      </c>
      <c r="M287" s="9">
        <f t="shared" si="36"/>
        <v>347.65</v>
      </c>
      <c r="N287" s="5">
        <f t="shared" si="34"/>
        <v>281</v>
      </c>
      <c r="O287" s="8">
        <f t="shared" si="37"/>
        <v>346.84</v>
      </c>
      <c r="Q287" s="5">
        <f t="shared" si="38"/>
        <v>0</v>
      </c>
      <c r="R287" s="8">
        <f t="shared" si="39"/>
        <v>346.84</v>
      </c>
    </row>
    <row r="288" spans="1:18" x14ac:dyDescent="0.55000000000000004">
      <c r="A288">
        <v>2019</v>
      </c>
      <c r="B288" t="s">
        <v>686</v>
      </c>
      <c r="C288" t="s">
        <v>387</v>
      </c>
      <c r="F288" t="s">
        <v>387</v>
      </c>
      <c r="G288" s="28" t="s">
        <v>979</v>
      </c>
      <c r="H288" s="29">
        <f>INDEX(TransportationData!$A$6:$M$338,MATCH(FinalPayment_NoReorg!$F288,TransportationData!$A$6:$A$338,0),3)</f>
        <v>332.4</v>
      </c>
      <c r="I288" s="30">
        <f>INDEX(TransportationData!$A$6:$M$338,MATCH(FinalPayment_NoReorg!$F288,TransportationData!$A$6:$A$338,0),8)</f>
        <v>172450.08</v>
      </c>
      <c r="J288" s="28">
        <f t="shared" si="35"/>
        <v>518.79999999999995</v>
      </c>
      <c r="K288" s="31">
        <f t="shared" si="32"/>
        <v>347.65</v>
      </c>
      <c r="L288" s="32">
        <f t="shared" si="33"/>
        <v>56890</v>
      </c>
      <c r="M288" s="9">
        <f t="shared" si="36"/>
        <v>347.65</v>
      </c>
      <c r="N288" s="5">
        <f t="shared" si="34"/>
        <v>272</v>
      </c>
      <c r="O288" s="8">
        <f t="shared" si="37"/>
        <v>346.84</v>
      </c>
      <c r="Q288" s="5">
        <f t="shared" si="38"/>
        <v>0</v>
      </c>
      <c r="R288" s="8">
        <f t="shared" si="39"/>
        <v>346.84</v>
      </c>
    </row>
    <row r="289" spans="1:18" x14ac:dyDescent="0.55000000000000004">
      <c r="A289">
        <v>2019</v>
      </c>
      <c r="B289" t="s">
        <v>694</v>
      </c>
      <c r="C289" t="s">
        <v>386</v>
      </c>
      <c r="F289" t="s">
        <v>386</v>
      </c>
      <c r="G289" s="28" t="s">
        <v>980</v>
      </c>
      <c r="H289" s="29">
        <f>INDEX(TransportationData!$A$6:$M$338,MATCH(FinalPayment_NoReorg!$F289,TransportationData!$A$6:$A$338,0),3)</f>
        <v>135</v>
      </c>
      <c r="I289" s="30">
        <f>INDEX(TransportationData!$A$6:$M$338,MATCH(FinalPayment_NoReorg!$F289,TransportationData!$A$6:$A$338,0),8)</f>
        <v>114610.44</v>
      </c>
      <c r="J289" s="28">
        <f t="shared" si="35"/>
        <v>848.97</v>
      </c>
      <c r="K289" s="31">
        <f t="shared" si="32"/>
        <v>347.65</v>
      </c>
      <c r="L289" s="32">
        <f t="shared" si="33"/>
        <v>67678</v>
      </c>
      <c r="M289" s="9">
        <f t="shared" si="36"/>
        <v>347.65</v>
      </c>
      <c r="N289" s="5">
        <f t="shared" si="34"/>
        <v>111</v>
      </c>
      <c r="O289" s="8">
        <f t="shared" si="37"/>
        <v>346.83</v>
      </c>
      <c r="Q289" s="5">
        <f t="shared" si="38"/>
        <v>0</v>
      </c>
      <c r="R289" s="8">
        <f t="shared" si="39"/>
        <v>346.83</v>
      </c>
    </row>
    <row r="290" spans="1:18" x14ac:dyDescent="0.55000000000000004">
      <c r="A290">
        <v>2019</v>
      </c>
      <c r="B290" t="s">
        <v>690</v>
      </c>
      <c r="C290" t="s">
        <v>385</v>
      </c>
      <c r="F290" t="s">
        <v>385</v>
      </c>
      <c r="G290" s="28" t="s">
        <v>981</v>
      </c>
      <c r="H290" s="29">
        <f>INDEX(TransportationData!$A$6:$M$338,MATCH(FinalPayment_NoReorg!$F290,TransportationData!$A$6:$A$338,0),3)</f>
        <v>719</v>
      </c>
      <c r="I290" s="30">
        <f>INDEX(TransportationData!$A$6:$M$338,MATCH(FinalPayment_NoReorg!$F290,TransportationData!$A$6:$A$338,0),8)</f>
        <v>342994.27999999997</v>
      </c>
      <c r="J290" s="28">
        <f t="shared" si="35"/>
        <v>477.04</v>
      </c>
      <c r="K290" s="31">
        <f t="shared" si="32"/>
        <v>347.65</v>
      </c>
      <c r="L290" s="32">
        <f t="shared" si="33"/>
        <v>93031</v>
      </c>
      <c r="M290" s="9">
        <f t="shared" si="36"/>
        <v>347.65</v>
      </c>
      <c r="N290" s="5">
        <f t="shared" si="34"/>
        <v>589</v>
      </c>
      <c r="O290" s="8">
        <f t="shared" si="37"/>
        <v>346.83</v>
      </c>
      <c r="Q290" s="5">
        <f t="shared" si="38"/>
        <v>0</v>
      </c>
      <c r="R290" s="8">
        <f t="shared" si="39"/>
        <v>346.83</v>
      </c>
    </row>
    <row r="291" spans="1:18" x14ac:dyDescent="0.55000000000000004">
      <c r="A291">
        <v>2019</v>
      </c>
      <c r="B291" t="s">
        <v>689</v>
      </c>
      <c r="C291" t="s">
        <v>982</v>
      </c>
      <c r="F291" t="s">
        <v>384</v>
      </c>
      <c r="G291" s="28" t="s">
        <v>983</v>
      </c>
      <c r="H291" s="29">
        <f>INDEX(TransportationData!$A$6:$M$338,MATCH(FinalPayment_NoReorg!$F291,TransportationData!$A$6:$A$338,0),3)</f>
        <v>1054.4000000000001</v>
      </c>
      <c r="I291" s="30">
        <f>INDEX(TransportationData!$A$6:$M$338,MATCH(FinalPayment_NoReorg!$F291,TransportationData!$A$6:$A$338,0),8)</f>
        <v>449571.51999999996</v>
      </c>
      <c r="J291" s="28">
        <f t="shared" si="35"/>
        <v>426.38</v>
      </c>
      <c r="K291" s="31">
        <f t="shared" si="32"/>
        <v>347.65</v>
      </c>
      <c r="L291" s="32">
        <f t="shared" si="33"/>
        <v>83013</v>
      </c>
      <c r="M291" s="9">
        <f t="shared" si="36"/>
        <v>347.65</v>
      </c>
      <c r="N291" s="5">
        <f t="shared" si="34"/>
        <v>863</v>
      </c>
      <c r="O291" s="8">
        <f t="shared" si="37"/>
        <v>346.83</v>
      </c>
      <c r="Q291" s="5">
        <f t="shared" si="38"/>
        <v>0</v>
      </c>
      <c r="R291" s="8">
        <f t="shared" si="39"/>
        <v>346.83</v>
      </c>
    </row>
    <row r="292" spans="1:18" x14ac:dyDescent="0.55000000000000004">
      <c r="A292">
        <v>2019</v>
      </c>
      <c r="B292" t="s">
        <v>686</v>
      </c>
      <c r="C292" t="s">
        <v>383</v>
      </c>
      <c r="F292" t="s">
        <v>383</v>
      </c>
      <c r="G292" s="28" t="s">
        <v>984</v>
      </c>
      <c r="H292" s="29">
        <f>INDEX(TransportationData!$A$6:$M$338,MATCH(FinalPayment_NoReorg!$F292,TransportationData!$A$6:$A$338,0),3)</f>
        <v>393.4</v>
      </c>
      <c r="I292" s="30">
        <f>INDEX(TransportationData!$A$6:$M$338,MATCH(FinalPayment_NoReorg!$F292,TransportationData!$A$6:$A$338,0),8)</f>
        <v>217618.79</v>
      </c>
      <c r="J292" s="28">
        <f t="shared" si="35"/>
        <v>553.16999999999996</v>
      </c>
      <c r="K292" s="31">
        <f t="shared" si="32"/>
        <v>347.65</v>
      </c>
      <c r="L292" s="32">
        <f t="shared" si="33"/>
        <v>80852</v>
      </c>
      <c r="M292" s="9">
        <f t="shared" si="36"/>
        <v>347.65</v>
      </c>
      <c r="N292" s="5">
        <f t="shared" si="34"/>
        <v>322</v>
      </c>
      <c r="O292" s="8">
        <f t="shared" si="37"/>
        <v>346.83</v>
      </c>
      <c r="Q292" s="5">
        <f t="shared" si="38"/>
        <v>0</v>
      </c>
      <c r="R292" s="8">
        <f t="shared" si="39"/>
        <v>346.83</v>
      </c>
    </row>
    <row r="293" spans="1:18" x14ac:dyDescent="0.55000000000000004">
      <c r="A293">
        <v>2019</v>
      </c>
      <c r="B293" t="s">
        <v>686</v>
      </c>
      <c r="C293" t="s">
        <v>382</v>
      </c>
      <c r="F293" t="s">
        <v>382</v>
      </c>
      <c r="G293" s="28" t="s">
        <v>985</v>
      </c>
      <c r="H293" s="29">
        <f>INDEX(TransportationData!$A$6:$M$338,MATCH(FinalPayment_NoReorg!$F293,TransportationData!$A$6:$A$338,0),3)</f>
        <v>3372.5</v>
      </c>
      <c r="I293" s="30">
        <f>INDEX(TransportationData!$A$6:$M$338,MATCH(FinalPayment_NoReorg!$F293,TransportationData!$A$6:$A$338,0),8)</f>
        <v>872417.42</v>
      </c>
      <c r="J293" s="28">
        <f t="shared" si="35"/>
        <v>258.69</v>
      </c>
      <c r="K293" s="31">
        <f t="shared" si="32"/>
        <v>347.65</v>
      </c>
      <c r="L293" s="32">
        <f t="shared" si="33"/>
        <v>0</v>
      </c>
      <c r="M293" s="9">
        <f t="shared" si="36"/>
        <v>258.69</v>
      </c>
      <c r="N293" s="5">
        <f t="shared" si="34"/>
        <v>2761</v>
      </c>
      <c r="O293" s="8">
        <f t="shared" si="37"/>
        <v>257.87</v>
      </c>
      <c r="Q293" s="5">
        <f t="shared" si="38"/>
        <v>0</v>
      </c>
      <c r="R293" s="8">
        <f t="shared" si="39"/>
        <v>257.87</v>
      </c>
    </row>
    <row r="294" spans="1:18" x14ac:dyDescent="0.55000000000000004">
      <c r="A294">
        <v>2019</v>
      </c>
      <c r="B294" t="s">
        <v>696</v>
      </c>
      <c r="C294" t="s">
        <v>380</v>
      </c>
      <c r="F294" t="s">
        <v>380</v>
      </c>
      <c r="G294" s="28" t="s">
        <v>1321</v>
      </c>
      <c r="H294" s="29">
        <f>INDEX(TransportationData!$A$6:$M$338,MATCH(FinalPayment_NoReorg!$F294,TransportationData!$A$6:$A$338,0),3)</f>
        <v>643</v>
      </c>
      <c r="I294" s="30">
        <f>INDEX(TransportationData!$A$6:$M$338,MATCH(FinalPayment_NoReorg!$F294,TransportationData!$A$6:$A$338,0),8)</f>
        <v>542463.01</v>
      </c>
      <c r="J294" s="28">
        <f t="shared" si="35"/>
        <v>843.64</v>
      </c>
      <c r="K294" s="31">
        <f t="shared" si="32"/>
        <v>347.65</v>
      </c>
      <c r="L294" s="32">
        <f t="shared" si="33"/>
        <v>318922</v>
      </c>
      <c r="M294" s="9">
        <f t="shared" si="36"/>
        <v>347.65</v>
      </c>
      <c r="N294" s="5">
        <f t="shared" si="34"/>
        <v>526</v>
      </c>
      <c r="O294" s="8">
        <f t="shared" si="37"/>
        <v>346.84</v>
      </c>
      <c r="Q294" s="5">
        <f t="shared" si="38"/>
        <v>0</v>
      </c>
      <c r="R294" s="8">
        <f t="shared" si="39"/>
        <v>346.84</v>
      </c>
    </row>
    <row r="295" spans="1:18" x14ac:dyDescent="0.55000000000000004">
      <c r="A295">
        <v>2019</v>
      </c>
      <c r="B295" t="s">
        <v>686</v>
      </c>
      <c r="C295" t="s">
        <v>379</v>
      </c>
      <c r="F295" t="s">
        <v>379</v>
      </c>
      <c r="G295" s="28" t="s">
        <v>986</v>
      </c>
      <c r="H295" s="29">
        <f>INDEX(TransportationData!$A$6:$M$338,MATCH(FinalPayment_NoReorg!$F295,TransportationData!$A$6:$A$338,0),3)</f>
        <v>724.3</v>
      </c>
      <c r="I295" s="30">
        <f>INDEX(TransportationData!$A$6:$M$338,MATCH(FinalPayment_NoReorg!$F295,TransportationData!$A$6:$A$338,0),8)</f>
        <v>229965.36</v>
      </c>
      <c r="J295" s="28">
        <f t="shared" si="35"/>
        <v>317.5</v>
      </c>
      <c r="K295" s="31">
        <f t="shared" si="32"/>
        <v>347.65</v>
      </c>
      <c r="L295" s="32">
        <f t="shared" si="33"/>
        <v>0</v>
      </c>
      <c r="M295" s="9">
        <f t="shared" si="36"/>
        <v>317.5</v>
      </c>
      <c r="N295" s="5">
        <f t="shared" si="34"/>
        <v>593</v>
      </c>
      <c r="O295" s="8">
        <f t="shared" si="37"/>
        <v>316.68</v>
      </c>
      <c r="Q295" s="5">
        <f t="shared" si="38"/>
        <v>0</v>
      </c>
      <c r="R295" s="8">
        <f t="shared" si="39"/>
        <v>316.68</v>
      </c>
    </row>
    <row r="296" spans="1:18" x14ac:dyDescent="0.55000000000000004">
      <c r="A296">
        <v>2019</v>
      </c>
      <c r="B296" t="s">
        <v>690</v>
      </c>
      <c r="C296" t="s">
        <v>378</v>
      </c>
      <c r="F296" t="s">
        <v>378</v>
      </c>
      <c r="G296" s="28" t="s">
        <v>987</v>
      </c>
      <c r="H296" s="29">
        <f>INDEX(TransportationData!$A$6:$M$338,MATCH(FinalPayment_NoReorg!$F296,TransportationData!$A$6:$A$338,0),3)</f>
        <v>303</v>
      </c>
      <c r="I296" s="30">
        <f>INDEX(TransportationData!$A$6:$M$338,MATCH(FinalPayment_NoReorg!$F296,TransportationData!$A$6:$A$338,0),8)</f>
        <v>268278.43</v>
      </c>
      <c r="J296" s="28">
        <f t="shared" si="35"/>
        <v>885.41</v>
      </c>
      <c r="K296" s="31">
        <f t="shared" si="32"/>
        <v>347.65</v>
      </c>
      <c r="L296" s="32">
        <f t="shared" si="33"/>
        <v>162941</v>
      </c>
      <c r="M296" s="9">
        <f t="shared" si="36"/>
        <v>347.65</v>
      </c>
      <c r="N296" s="5">
        <f t="shared" si="34"/>
        <v>248</v>
      </c>
      <c r="O296" s="8">
        <f t="shared" si="37"/>
        <v>346.83</v>
      </c>
      <c r="Q296" s="5">
        <f t="shared" si="38"/>
        <v>0</v>
      </c>
      <c r="R296" s="8">
        <f t="shared" si="39"/>
        <v>346.83</v>
      </c>
    </row>
    <row r="297" spans="1:18" x14ac:dyDescent="0.55000000000000004">
      <c r="A297">
        <v>2019</v>
      </c>
      <c r="B297" t="s">
        <v>698</v>
      </c>
      <c r="C297" t="s">
        <v>377</v>
      </c>
      <c r="F297" t="s">
        <v>377</v>
      </c>
      <c r="G297" s="28" t="s">
        <v>988</v>
      </c>
      <c r="H297" s="29">
        <f>INDEX(TransportationData!$A$6:$M$338,MATCH(FinalPayment_NoReorg!$F297,TransportationData!$A$6:$A$338,0),3)</f>
        <v>1505.6</v>
      </c>
      <c r="I297" s="30">
        <f>INDEX(TransportationData!$A$6:$M$338,MATCH(FinalPayment_NoReorg!$F297,TransportationData!$A$6:$A$338,0),8)</f>
        <v>451528.91</v>
      </c>
      <c r="J297" s="28">
        <f t="shared" si="35"/>
        <v>299.89999999999998</v>
      </c>
      <c r="K297" s="31">
        <f t="shared" si="32"/>
        <v>347.65</v>
      </c>
      <c r="L297" s="32">
        <f t="shared" si="33"/>
        <v>0</v>
      </c>
      <c r="M297" s="9">
        <f t="shared" si="36"/>
        <v>299.89999999999998</v>
      </c>
      <c r="N297" s="5">
        <f t="shared" si="34"/>
        <v>1232</v>
      </c>
      <c r="O297" s="8">
        <f t="shared" si="37"/>
        <v>299.08</v>
      </c>
      <c r="Q297" s="5">
        <f t="shared" si="38"/>
        <v>0</v>
      </c>
      <c r="R297" s="8">
        <f t="shared" si="39"/>
        <v>299.08</v>
      </c>
    </row>
    <row r="298" spans="1:18" x14ac:dyDescent="0.55000000000000004">
      <c r="A298">
        <v>2019</v>
      </c>
      <c r="B298" t="s">
        <v>696</v>
      </c>
      <c r="C298" t="s">
        <v>376</v>
      </c>
      <c r="F298" t="s">
        <v>376</v>
      </c>
      <c r="G298" s="28" t="s">
        <v>989</v>
      </c>
      <c r="H298" s="29">
        <f>INDEX(TransportationData!$A$6:$M$338,MATCH(FinalPayment_NoReorg!$F298,TransportationData!$A$6:$A$338,0),3)</f>
        <v>482.1</v>
      </c>
      <c r="I298" s="30">
        <f>INDEX(TransportationData!$A$6:$M$338,MATCH(FinalPayment_NoReorg!$F298,TransportationData!$A$6:$A$338,0),8)</f>
        <v>152581.59</v>
      </c>
      <c r="J298" s="28">
        <f t="shared" si="35"/>
        <v>316.49</v>
      </c>
      <c r="K298" s="31">
        <f t="shared" si="32"/>
        <v>347.65</v>
      </c>
      <c r="L298" s="32">
        <f t="shared" si="33"/>
        <v>0</v>
      </c>
      <c r="M298" s="9">
        <f t="shared" si="36"/>
        <v>316.49</v>
      </c>
      <c r="N298" s="5">
        <f t="shared" si="34"/>
        <v>395</v>
      </c>
      <c r="O298" s="8">
        <f t="shared" si="37"/>
        <v>315.67</v>
      </c>
      <c r="Q298" s="5">
        <f t="shared" si="38"/>
        <v>0</v>
      </c>
      <c r="R298" s="8">
        <f t="shared" si="39"/>
        <v>315.67</v>
      </c>
    </row>
    <row r="299" spans="1:18" x14ac:dyDescent="0.55000000000000004">
      <c r="A299">
        <v>2019</v>
      </c>
      <c r="B299" t="s">
        <v>696</v>
      </c>
      <c r="C299" t="s">
        <v>374</v>
      </c>
      <c r="F299" t="s">
        <v>374</v>
      </c>
      <c r="G299" s="28" t="s">
        <v>990</v>
      </c>
      <c r="H299" s="29">
        <f>INDEX(TransportationData!$A$6:$M$338,MATCH(FinalPayment_NoReorg!$F299,TransportationData!$A$6:$A$338,0),3)</f>
        <v>619.1</v>
      </c>
      <c r="I299" s="30">
        <f>INDEX(TransportationData!$A$6:$M$338,MATCH(FinalPayment_NoReorg!$F299,TransportationData!$A$6:$A$338,0),8)</f>
        <v>145293.66</v>
      </c>
      <c r="J299" s="28">
        <f t="shared" si="35"/>
        <v>234.69</v>
      </c>
      <c r="K299" s="31">
        <f t="shared" si="32"/>
        <v>347.65</v>
      </c>
      <c r="L299" s="32">
        <f t="shared" si="33"/>
        <v>0</v>
      </c>
      <c r="M299" s="9">
        <f t="shared" si="36"/>
        <v>234.69</v>
      </c>
      <c r="N299" s="5">
        <f t="shared" si="34"/>
        <v>507</v>
      </c>
      <c r="O299" s="8">
        <f t="shared" si="37"/>
        <v>233.87</v>
      </c>
      <c r="Q299" s="5">
        <f t="shared" si="38"/>
        <v>0</v>
      </c>
      <c r="R299" s="8">
        <f t="shared" si="39"/>
        <v>233.87</v>
      </c>
    </row>
    <row r="300" spans="1:18" x14ac:dyDescent="0.55000000000000004">
      <c r="A300">
        <v>2019</v>
      </c>
      <c r="B300" t="s">
        <v>689</v>
      </c>
      <c r="C300" t="s">
        <v>373</v>
      </c>
      <c r="F300" t="s">
        <v>373</v>
      </c>
      <c r="G300" s="28" t="s">
        <v>991</v>
      </c>
      <c r="H300" s="29">
        <f>INDEX(TransportationData!$A$6:$M$338,MATCH(FinalPayment_NoReorg!$F300,TransportationData!$A$6:$A$338,0),3)</f>
        <v>678.6</v>
      </c>
      <c r="I300" s="30">
        <f>INDEX(TransportationData!$A$6:$M$338,MATCH(FinalPayment_NoReorg!$F300,TransportationData!$A$6:$A$338,0),8)</f>
        <v>162228.54</v>
      </c>
      <c r="J300" s="28">
        <f t="shared" si="35"/>
        <v>239.06</v>
      </c>
      <c r="K300" s="31">
        <f t="shared" si="32"/>
        <v>347.65</v>
      </c>
      <c r="L300" s="32">
        <f t="shared" si="33"/>
        <v>0</v>
      </c>
      <c r="M300" s="9">
        <f t="shared" si="36"/>
        <v>239.06</v>
      </c>
      <c r="N300" s="5">
        <f t="shared" si="34"/>
        <v>555</v>
      </c>
      <c r="O300" s="8">
        <f t="shared" si="37"/>
        <v>238.25</v>
      </c>
      <c r="Q300" s="5">
        <f t="shared" si="38"/>
        <v>0</v>
      </c>
      <c r="R300" s="8">
        <f t="shared" si="39"/>
        <v>238.25</v>
      </c>
    </row>
    <row r="301" spans="1:18" x14ac:dyDescent="0.55000000000000004">
      <c r="A301">
        <v>2019</v>
      </c>
      <c r="B301" t="s">
        <v>698</v>
      </c>
      <c r="C301" t="s">
        <v>372</v>
      </c>
      <c r="F301" t="s">
        <v>372</v>
      </c>
      <c r="G301" s="28" t="s">
        <v>992</v>
      </c>
      <c r="H301" s="29">
        <f>INDEX(TransportationData!$A$6:$M$338,MATCH(FinalPayment_NoReorg!$F301,TransportationData!$A$6:$A$338,0),3)</f>
        <v>1713.9</v>
      </c>
      <c r="I301" s="30">
        <f>INDEX(TransportationData!$A$6:$M$338,MATCH(FinalPayment_NoReorg!$F301,TransportationData!$A$6:$A$338,0),8)</f>
        <v>500050.27999999997</v>
      </c>
      <c r="J301" s="28">
        <f t="shared" si="35"/>
        <v>291.76</v>
      </c>
      <c r="K301" s="31">
        <f t="shared" si="32"/>
        <v>347.65</v>
      </c>
      <c r="L301" s="32">
        <f t="shared" si="33"/>
        <v>0</v>
      </c>
      <c r="M301" s="9">
        <f t="shared" si="36"/>
        <v>291.76</v>
      </c>
      <c r="N301" s="5">
        <f t="shared" si="34"/>
        <v>1403</v>
      </c>
      <c r="O301" s="8">
        <f t="shared" si="37"/>
        <v>290.94</v>
      </c>
      <c r="Q301" s="5">
        <f t="shared" si="38"/>
        <v>0</v>
      </c>
      <c r="R301" s="8">
        <f t="shared" si="39"/>
        <v>290.94</v>
      </c>
    </row>
    <row r="302" spans="1:18" x14ac:dyDescent="0.55000000000000004">
      <c r="A302">
        <v>2019</v>
      </c>
      <c r="B302" t="s">
        <v>689</v>
      </c>
      <c r="C302" t="s">
        <v>371</v>
      </c>
      <c r="F302" t="s">
        <v>371</v>
      </c>
      <c r="G302" s="28" t="s">
        <v>993</v>
      </c>
      <c r="H302" s="29">
        <f>INDEX(TransportationData!$A$6:$M$338,MATCH(FinalPayment_NoReorg!$F302,TransportationData!$A$6:$A$338,0),3)</f>
        <v>10772.6</v>
      </c>
      <c r="I302" s="30">
        <f>INDEX(TransportationData!$A$6:$M$338,MATCH(FinalPayment_NoReorg!$F302,TransportationData!$A$6:$A$338,0),8)</f>
        <v>4271035.33</v>
      </c>
      <c r="J302" s="28">
        <f t="shared" si="35"/>
        <v>396.47</v>
      </c>
      <c r="K302" s="31">
        <f t="shared" si="32"/>
        <v>347.65</v>
      </c>
      <c r="L302" s="32">
        <f t="shared" si="33"/>
        <v>525918</v>
      </c>
      <c r="M302" s="9">
        <f t="shared" si="36"/>
        <v>347.65</v>
      </c>
      <c r="N302" s="5">
        <f t="shared" si="34"/>
        <v>8818</v>
      </c>
      <c r="O302" s="8">
        <f t="shared" si="37"/>
        <v>346.83</v>
      </c>
      <c r="Q302" s="5">
        <f t="shared" si="38"/>
        <v>0</v>
      </c>
      <c r="R302" s="8">
        <f t="shared" si="39"/>
        <v>346.83</v>
      </c>
    </row>
    <row r="303" spans="1:18" x14ac:dyDescent="0.55000000000000004">
      <c r="A303">
        <v>2019</v>
      </c>
      <c r="B303" t="s">
        <v>686</v>
      </c>
      <c r="C303" t="s">
        <v>370</v>
      </c>
      <c r="F303" t="s">
        <v>370</v>
      </c>
      <c r="G303" s="28" t="s">
        <v>994</v>
      </c>
      <c r="H303" s="29">
        <f>INDEX(TransportationData!$A$6:$M$338,MATCH(FinalPayment_NoReorg!$F303,TransportationData!$A$6:$A$338,0),3)</f>
        <v>11197.2</v>
      </c>
      <c r="I303" s="30">
        <f>INDEX(TransportationData!$A$6:$M$338,MATCH(FinalPayment_NoReorg!$F303,TransportationData!$A$6:$A$338,0),8)</f>
        <v>3184171.1</v>
      </c>
      <c r="J303" s="28">
        <f t="shared" si="35"/>
        <v>284.37</v>
      </c>
      <c r="K303" s="31">
        <f t="shared" si="32"/>
        <v>347.65</v>
      </c>
      <c r="L303" s="32">
        <f t="shared" si="33"/>
        <v>0</v>
      </c>
      <c r="M303" s="9">
        <f t="shared" si="36"/>
        <v>284.37</v>
      </c>
      <c r="N303" s="5">
        <f t="shared" si="34"/>
        <v>9166</v>
      </c>
      <c r="O303" s="8">
        <f t="shared" si="37"/>
        <v>283.55</v>
      </c>
      <c r="Q303" s="5">
        <f t="shared" si="38"/>
        <v>0</v>
      </c>
      <c r="R303" s="8">
        <f t="shared" si="39"/>
        <v>283.55</v>
      </c>
    </row>
    <row r="304" spans="1:18" x14ac:dyDescent="0.55000000000000004">
      <c r="A304">
        <v>2019</v>
      </c>
      <c r="B304" t="s">
        <v>689</v>
      </c>
      <c r="C304" t="s">
        <v>369</v>
      </c>
      <c r="F304" t="s">
        <v>369</v>
      </c>
      <c r="G304" s="28" t="s">
        <v>995</v>
      </c>
      <c r="H304" s="29">
        <f>INDEX(TransportationData!$A$6:$M$338,MATCH(FinalPayment_NoReorg!$F304,TransportationData!$A$6:$A$338,0),3)</f>
        <v>2115.9</v>
      </c>
      <c r="I304" s="30">
        <f>INDEX(TransportationData!$A$6:$M$338,MATCH(FinalPayment_NoReorg!$F304,TransportationData!$A$6:$A$338,0),8)</f>
        <v>443807.79</v>
      </c>
      <c r="J304" s="28">
        <f t="shared" si="35"/>
        <v>209.75</v>
      </c>
      <c r="K304" s="31">
        <f t="shared" si="32"/>
        <v>347.65</v>
      </c>
      <c r="L304" s="32">
        <f t="shared" si="33"/>
        <v>0</v>
      </c>
      <c r="M304" s="9">
        <f t="shared" si="36"/>
        <v>209.75</v>
      </c>
      <c r="N304" s="5">
        <f t="shared" si="34"/>
        <v>1732</v>
      </c>
      <c r="O304" s="8">
        <f t="shared" si="37"/>
        <v>208.93</v>
      </c>
      <c r="Q304" s="5">
        <f t="shared" si="38"/>
        <v>0</v>
      </c>
      <c r="R304" s="8">
        <f t="shared" si="39"/>
        <v>208.93</v>
      </c>
    </row>
    <row r="305" spans="1:18" x14ac:dyDescent="0.55000000000000004">
      <c r="A305">
        <v>2019</v>
      </c>
      <c r="B305" t="s">
        <v>696</v>
      </c>
      <c r="C305" t="s">
        <v>368</v>
      </c>
      <c r="F305" t="s">
        <v>368</v>
      </c>
      <c r="G305" s="28" t="s">
        <v>996</v>
      </c>
      <c r="H305" s="29">
        <f>INDEX(TransportationData!$A$6:$M$338,MATCH(FinalPayment_NoReorg!$F305,TransportationData!$A$6:$A$338,0),3)</f>
        <v>572.29999999999995</v>
      </c>
      <c r="I305" s="30">
        <f>INDEX(TransportationData!$A$6:$M$338,MATCH(FinalPayment_NoReorg!$F305,TransportationData!$A$6:$A$338,0),8)</f>
        <v>283765.56</v>
      </c>
      <c r="J305" s="28">
        <f t="shared" si="35"/>
        <v>495.83</v>
      </c>
      <c r="K305" s="31">
        <f t="shared" si="32"/>
        <v>347.65</v>
      </c>
      <c r="L305" s="32">
        <f t="shared" si="33"/>
        <v>84803</v>
      </c>
      <c r="M305" s="9">
        <f t="shared" si="36"/>
        <v>347.65</v>
      </c>
      <c r="N305" s="5">
        <f t="shared" si="34"/>
        <v>468</v>
      </c>
      <c r="O305" s="8">
        <f t="shared" si="37"/>
        <v>346.84</v>
      </c>
      <c r="Q305" s="5">
        <f t="shared" si="38"/>
        <v>0</v>
      </c>
      <c r="R305" s="8">
        <f t="shared" si="39"/>
        <v>346.84</v>
      </c>
    </row>
    <row r="306" spans="1:18" x14ac:dyDescent="0.55000000000000004">
      <c r="A306">
        <v>2019</v>
      </c>
      <c r="B306" t="s">
        <v>694</v>
      </c>
      <c r="C306" t="s">
        <v>367</v>
      </c>
      <c r="F306" t="s">
        <v>367</v>
      </c>
      <c r="G306" s="28" t="s">
        <v>997</v>
      </c>
      <c r="H306" s="29">
        <f>INDEX(TransportationData!$A$6:$M$338,MATCH(FinalPayment_NoReorg!$F306,TransportationData!$A$6:$A$338,0),3)</f>
        <v>1530.6</v>
      </c>
      <c r="I306" s="30">
        <f>INDEX(TransportationData!$A$6:$M$338,MATCH(FinalPayment_NoReorg!$F306,TransportationData!$A$6:$A$338,0),8)</f>
        <v>636141.27</v>
      </c>
      <c r="J306" s="28">
        <f t="shared" si="35"/>
        <v>415.62</v>
      </c>
      <c r="K306" s="31">
        <f t="shared" si="32"/>
        <v>347.65</v>
      </c>
      <c r="L306" s="32">
        <f t="shared" si="33"/>
        <v>104035</v>
      </c>
      <c r="M306" s="9">
        <f t="shared" si="36"/>
        <v>347.65</v>
      </c>
      <c r="N306" s="5">
        <f t="shared" si="34"/>
        <v>1253</v>
      </c>
      <c r="O306" s="8">
        <f t="shared" si="37"/>
        <v>346.83</v>
      </c>
      <c r="Q306" s="5">
        <f t="shared" si="38"/>
        <v>0</v>
      </c>
      <c r="R306" s="8">
        <f t="shared" si="39"/>
        <v>346.83</v>
      </c>
    </row>
    <row r="307" spans="1:18" x14ac:dyDescent="0.55000000000000004">
      <c r="A307">
        <v>2019</v>
      </c>
      <c r="B307" t="s">
        <v>694</v>
      </c>
      <c r="C307" t="s">
        <v>366</v>
      </c>
      <c r="F307" t="s">
        <v>366</v>
      </c>
      <c r="G307" s="28" t="s">
        <v>998</v>
      </c>
      <c r="H307" s="29">
        <f>INDEX(TransportationData!$A$6:$M$338,MATCH(FinalPayment_NoReorg!$F307,TransportationData!$A$6:$A$338,0),3)</f>
        <v>284.39999999999998</v>
      </c>
      <c r="I307" s="30">
        <f>INDEX(TransportationData!$A$6:$M$338,MATCH(FinalPayment_NoReorg!$F307,TransportationData!$A$6:$A$338,0),8)</f>
        <v>217288.84999999998</v>
      </c>
      <c r="J307" s="28">
        <f t="shared" si="35"/>
        <v>764.03</v>
      </c>
      <c r="K307" s="31">
        <f t="shared" si="32"/>
        <v>347.65</v>
      </c>
      <c r="L307" s="32">
        <f t="shared" si="33"/>
        <v>118418</v>
      </c>
      <c r="M307" s="9">
        <f t="shared" si="36"/>
        <v>347.65</v>
      </c>
      <c r="N307" s="5">
        <f t="shared" si="34"/>
        <v>233</v>
      </c>
      <c r="O307" s="8">
        <f t="shared" si="37"/>
        <v>346.83</v>
      </c>
      <c r="Q307" s="5">
        <f t="shared" si="38"/>
        <v>0</v>
      </c>
      <c r="R307" s="8">
        <f t="shared" si="39"/>
        <v>346.83</v>
      </c>
    </row>
    <row r="308" spans="1:18" x14ac:dyDescent="0.55000000000000004">
      <c r="A308">
        <v>2019</v>
      </c>
      <c r="B308" t="s">
        <v>698</v>
      </c>
      <c r="C308" t="s">
        <v>365</v>
      </c>
      <c r="F308" t="s">
        <v>365</v>
      </c>
      <c r="G308" s="28" t="s">
        <v>999</v>
      </c>
      <c r="H308" s="29">
        <f>INDEX(TransportationData!$A$6:$M$338,MATCH(FinalPayment_NoReorg!$F308,TransportationData!$A$6:$A$338,0),3)</f>
        <v>736.2</v>
      </c>
      <c r="I308" s="30">
        <f>INDEX(TransportationData!$A$6:$M$338,MATCH(FinalPayment_NoReorg!$F308,TransportationData!$A$6:$A$338,0),8)</f>
        <v>298915.15999999997</v>
      </c>
      <c r="J308" s="28">
        <f t="shared" si="35"/>
        <v>406.02</v>
      </c>
      <c r="K308" s="31">
        <f t="shared" si="32"/>
        <v>347.65</v>
      </c>
      <c r="L308" s="32">
        <f t="shared" si="33"/>
        <v>42972</v>
      </c>
      <c r="M308" s="9">
        <f t="shared" si="36"/>
        <v>347.65</v>
      </c>
      <c r="N308" s="5">
        <f t="shared" si="34"/>
        <v>603</v>
      </c>
      <c r="O308" s="8">
        <f t="shared" si="37"/>
        <v>346.84</v>
      </c>
      <c r="Q308" s="5">
        <f t="shared" si="38"/>
        <v>0</v>
      </c>
      <c r="R308" s="8">
        <f t="shared" si="39"/>
        <v>346.84</v>
      </c>
    </row>
    <row r="309" spans="1:18" x14ac:dyDescent="0.55000000000000004">
      <c r="A309">
        <v>2019</v>
      </c>
      <c r="B309" t="s">
        <v>696</v>
      </c>
      <c r="C309" t="s">
        <v>364</v>
      </c>
      <c r="F309" t="s">
        <v>364</v>
      </c>
      <c r="G309" s="28" t="s">
        <v>1000</v>
      </c>
      <c r="H309" s="29">
        <f>INDEX(TransportationData!$A$6:$M$338,MATCH(FinalPayment_NoReorg!$F309,TransportationData!$A$6:$A$338,0),3)</f>
        <v>473.3</v>
      </c>
      <c r="I309" s="30">
        <f>INDEX(TransportationData!$A$6:$M$338,MATCH(FinalPayment_NoReorg!$F309,TransportationData!$A$6:$A$338,0),8)</f>
        <v>7129.67</v>
      </c>
      <c r="J309" s="28">
        <f t="shared" si="35"/>
        <v>15.06</v>
      </c>
      <c r="K309" s="31">
        <f t="shared" si="32"/>
        <v>347.65</v>
      </c>
      <c r="L309" s="32">
        <f t="shared" si="33"/>
        <v>0</v>
      </c>
      <c r="M309" s="9">
        <f t="shared" si="36"/>
        <v>15.06</v>
      </c>
      <c r="N309" s="5">
        <f>IF(ROUND(H309*$N$336,0)&gt;I309-L309,ROUND(I309-L309,0),ROUND(H309*$N$336,0))</f>
        <v>387</v>
      </c>
      <c r="O309" s="8">
        <f>ROUND((I309-L309-N309)/H309,2)</f>
        <v>14.25</v>
      </c>
      <c r="Q309" s="5">
        <f t="shared" si="38"/>
        <v>0</v>
      </c>
      <c r="R309" s="8">
        <f t="shared" si="39"/>
        <v>14.25</v>
      </c>
    </row>
    <row r="310" spans="1:18" x14ac:dyDescent="0.55000000000000004">
      <c r="A310">
        <v>2019</v>
      </c>
      <c r="B310" t="s">
        <v>703</v>
      </c>
      <c r="C310" t="s">
        <v>363</v>
      </c>
      <c r="F310" t="s">
        <v>363</v>
      </c>
      <c r="G310" s="28" t="s">
        <v>1001</v>
      </c>
      <c r="H310" s="29">
        <f>INDEX(TransportationData!$A$6:$M$338,MATCH(FinalPayment_NoReorg!$F310,TransportationData!$A$6:$A$338,0),3)</f>
        <v>254</v>
      </c>
      <c r="I310" s="30">
        <f>INDEX(TransportationData!$A$6:$M$338,MATCH(FinalPayment_NoReorg!$F310,TransportationData!$A$6:$A$338,0),8)</f>
        <v>110644.45</v>
      </c>
      <c r="J310" s="28">
        <f t="shared" si="35"/>
        <v>435.61</v>
      </c>
      <c r="K310" s="31">
        <f t="shared" si="32"/>
        <v>347.65</v>
      </c>
      <c r="L310" s="32">
        <f t="shared" si="33"/>
        <v>22342</v>
      </c>
      <c r="M310" s="9">
        <f t="shared" si="36"/>
        <v>347.65</v>
      </c>
      <c r="N310" s="5">
        <f t="shared" si="34"/>
        <v>208</v>
      </c>
      <c r="O310" s="8">
        <f t="shared" si="37"/>
        <v>346.83</v>
      </c>
      <c r="Q310" s="5">
        <f t="shared" si="38"/>
        <v>0</v>
      </c>
      <c r="R310" s="8">
        <f t="shared" si="39"/>
        <v>346.83</v>
      </c>
    </row>
    <row r="311" spans="1:18" x14ac:dyDescent="0.55000000000000004">
      <c r="A311">
        <v>2019</v>
      </c>
      <c r="B311" t="s">
        <v>686</v>
      </c>
      <c r="C311" t="s">
        <v>395</v>
      </c>
      <c r="F311" t="s">
        <v>395</v>
      </c>
      <c r="G311" s="28" t="s">
        <v>1002</v>
      </c>
      <c r="H311" s="29">
        <f>INDEX(TransportationData!$A$6:$M$338,MATCH(FinalPayment_NoReorg!$F311,TransportationData!$A$6:$A$338,0),3)</f>
        <v>962.4</v>
      </c>
      <c r="I311" s="30">
        <f>INDEX(TransportationData!$A$6:$M$338,MATCH(FinalPayment_NoReorg!$F311,TransportationData!$A$6:$A$338,0),8)</f>
        <v>408458.94</v>
      </c>
      <c r="J311" s="28">
        <f t="shared" si="35"/>
        <v>424.42</v>
      </c>
      <c r="K311" s="31">
        <f t="shared" si="32"/>
        <v>347.65</v>
      </c>
      <c r="L311" s="32">
        <f t="shared" si="33"/>
        <v>73883</v>
      </c>
      <c r="M311" s="9">
        <f t="shared" si="36"/>
        <v>347.65</v>
      </c>
      <c r="N311" s="5">
        <f t="shared" si="34"/>
        <v>788</v>
      </c>
      <c r="O311" s="8">
        <f t="shared" si="37"/>
        <v>346.83</v>
      </c>
      <c r="Q311" s="5">
        <f t="shared" si="38"/>
        <v>0</v>
      </c>
      <c r="R311" s="8">
        <f t="shared" si="39"/>
        <v>346.83</v>
      </c>
    </row>
    <row r="312" spans="1:18" x14ac:dyDescent="0.55000000000000004">
      <c r="A312">
        <v>2019</v>
      </c>
      <c r="B312" t="s">
        <v>703</v>
      </c>
      <c r="C312" t="s">
        <v>362</v>
      </c>
      <c r="F312" t="s">
        <v>362</v>
      </c>
      <c r="G312" s="28" t="s">
        <v>1003</v>
      </c>
      <c r="H312" s="29">
        <f>INDEX(TransportationData!$A$6:$M$338,MATCH(FinalPayment_NoReorg!$F312,TransportationData!$A$6:$A$338,0),3)</f>
        <v>1438.5</v>
      </c>
      <c r="I312" s="30">
        <f>INDEX(TransportationData!$A$6:$M$338,MATCH(FinalPayment_NoReorg!$F312,TransportationData!$A$6:$A$338,0),8)</f>
        <v>514357.12</v>
      </c>
      <c r="J312" s="28">
        <f t="shared" si="35"/>
        <v>357.56</v>
      </c>
      <c r="K312" s="31">
        <f t="shared" si="32"/>
        <v>347.65</v>
      </c>
      <c r="L312" s="32">
        <f t="shared" si="33"/>
        <v>14256</v>
      </c>
      <c r="M312" s="9">
        <f t="shared" si="36"/>
        <v>347.65</v>
      </c>
      <c r="N312" s="5">
        <f t="shared" si="34"/>
        <v>1178</v>
      </c>
      <c r="O312" s="8">
        <f t="shared" si="37"/>
        <v>346.84</v>
      </c>
      <c r="Q312" s="5">
        <f t="shared" si="38"/>
        <v>0</v>
      </c>
      <c r="R312" s="8">
        <f t="shared" si="39"/>
        <v>346.84</v>
      </c>
    </row>
    <row r="313" spans="1:18" x14ac:dyDescent="0.55000000000000004">
      <c r="A313">
        <v>2019</v>
      </c>
      <c r="B313" t="s">
        <v>686</v>
      </c>
      <c r="C313" t="s">
        <v>361</v>
      </c>
      <c r="F313" t="s">
        <v>361</v>
      </c>
      <c r="G313" s="28" t="s">
        <v>1004</v>
      </c>
      <c r="H313" s="29">
        <f>INDEX(TransportationData!$A$6:$M$338,MATCH(FinalPayment_NoReorg!$F313,TransportationData!$A$6:$A$338,0),3)</f>
        <v>8936.9000000000015</v>
      </c>
      <c r="I313" s="30">
        <f>INDEX(TransportationData!$A$6:$M$338,MATCH(FinalPayment_NoReorg!$F313,TransportationData!$A$6:$A$338,0),8)</f>
        <v>2333048.0299999998</v>
      </c>
      <c r="J313" s="28">
        <f t="shared" si="35"/>
        <v>261.06</v>
      </c>
      <c r="K313" s="31">
        <f t="shared" si="32"/>
        <v>347.65</v>
      </c>
      <c r="L313" s="32">
        <f t="shared" si="33"/>
        <v>0</v>
      </c>
      <c r="M313" s="9">
        <f t="shared" si="36"/>
        <v>261.06</v>
      </c>
      <c r="N313" s="5">
        <f t="shared" si="34"/>
        <v>7316</v>
      </c>
      <c r="O313" s="8">
        <f t="shared" si="37"/>
        <v>260.24</v>
      </c>
      <c r="Q313" s="5">
        <f t="shared" si="38"/>
        <v>0</v>
      </c>
      <c r="R313" s="8">
        <f t="shared" si="39"/>
        <v>260.24</v>
      </c>
    </row>
    <row r="314" spans="1:18" x14ac:dyDescent="0.55000000000000004">
      <c r="A314">
        <v>2019</v>
      </c>
      <c r="B314" t="s">
        <v>689</v>
      </c>
      <c r="C314" t="s">
        <v>421</v>
      </c>
      <c r="F314" t="s">
        <v>421</v>
      </c>
      <c r="G314" s="28" t="s">
        <v>1005</v>
      </c>
      <c r="H314" s="29">
        <f>INDEX(TransportationData!$A$6:$M$338,MATCH(FinalPayment_NoReorg!$F314,TransportationData!$A$6:$A$338,0),3)</f>
        <v>704</v>
      </c>
      <c r="I314" s="30">
        <f>INDEX(TransportationData!$A$6:$M$338,MATCH(FinalPayment_NoReorg!$F314,TransportationData!$A$6:$A$338,0),8)</f>
        <v>425406.83</v>
      </c>
      <c r="J314" s="28">
        <f t="shared" si="35"/>
        <v>604.27</v>
      </c>
      <c r="K314" s="31">
        <f t="shared" si="32"/>
        <v>347.65</v>
      </c>
      <c r="L314" s="32">
        <f t="shared" si="33"/>
        <v>180660</v>
      </c>
      <c r="M314" s="9">
        <f t="shared" si="36"/>
        <v>347.65</v>
      </c>
      <c r="N314" s="5">
        <f t="shared" si="34"/>
        <v>576</v>
      </c>
      <c r="O314" s="8">
        <f t="shared" si="37"/>
        <v>346.83</v>
      </c>
      <c r="Q314" s="5">
        <f t="shared" si="38"/>
        <v>0</v>
      </c>
      <c r="R314" s="8">
        <f t="shared" si="39"/>
        <v>346.83</v>
      </c>
    </row>
    <row r="315" spans="1:18" x14ac:dyDescent="0.55000000000000004">
      <c r="A315">
        <v>2019</v>
      </c>
      <c r="B315" t="s">
        <v>689</v>
      </c>
      <c r="C315" t="s">
        <v>644</v>
      </c>
      <c r="F315" t="s">
        <v>644</v>
      </c>
      <c r="G315" s="28" t="s">
        <v>1006</v>
      </c>
      <c r="H315" s="29">
        <f>INDEX(TransportationData!$A$6:$M$338,MATCH(FinalPayment_NoReorg!$F315,TransportationData!$A$6:$A$338,0),3)</f>
        <v>539.09999999999991</v>
      </c>
      <c r="I315" s="30">
        <f>INDEX(TransportationData!$A$6:$M$338,MATCH(FinalPayment_NoReorg!$F315,TransportationData!$A$6:$A$338,0),8)</f>
        <v>252608.01</v>
      </c>
      <c r="J315" s="28">
        <f t="shared" si="35"/>
        <v>468.57</v>
      </c>
      <c r="K315" s="31">
        <f t="shared" si="32"/>
        <v>347.65</v>
      </c>
      <c r="L315" s="32">
        <f t="shared" si="33"/>
        <v>65188</v>
      </c>
      <c r="M315" s="9">
        <f t="shared" si="36"/>
        <v>347.65</v>
      </c>
      <c r="N315" s="5">
        <f t="shared" si="34"/>
        <v>441</v>
      </c>
      <c r="O315" s="8">
        <f t="shared" si="37"/>
        <v>346.84</v>
      </c>
      <c r="Q315" s="5">
        <f t="shared" si="38"/>
        <v>0</v>
      </c>
      <c r="R315" s="8">
        <f t="shared" si="39"/>
        <v>346.84</v>
      </c>
    </row>
    <row r="316" spans="1:18" x14ac:dyDescent="0.55000000000000004">
      <c r="A316">
        <v>2019</v>
      </c>
      <c r="B316" t="s">
        <v>690</v>
      </c>
      <c r="C316" t="s">
        <v>359</v>
      </c>
      <c r="F316" t="s">
        <v>359</v>
      </c>
      <c r="G316" s="28" t="s">
        <v>1007</v>
      </c>
      <c r="H316" s="29">
        <f>INDEX(TransportationData!$A$6:$M$338,MATCH(FinalPayment_NoReorg!$F316,TransportationData!$A$6:$A$338,0),3)</f>
        <v>341.7</v>
      </c>
      <c r="I316" s="30">
        <f>INDEX(TransportationData!$A$6:$M$338,MATCH(FinalPayment_NoReorg!$F316,TransportationData!$A$6:$A$338,0),8)</f>
        <v>155437.6</v>
      </c>
      <c r="J316" s="28">
        <f t="shared" si="35"/>
        <v>454.89</v>
      </c>
      <c r="K316" s="31">
        <f t="shared" si="32"/>
        <v>347.65</v>
      </c>
      <c r="L316" s="32">
        <f t="shared" si="33"/>
        <v>36644</v>
      </c>
      <c r="M316" s="9">
        <f t="shared" si="36"/>
        <v>347.65</v>
      </c>
      <c r="N316" s="5">
        <f t="shared" si="34"/>
        <v>280</v>
      </c>
      <c r="O316" s="8">
        <f t="shared" si="37"/>
        <v>346.84</v>
      </c>
      <c r="Q316" s="5">
        <f t="shared" si="38"/>
        <v>0</v>
      </c>
      <c r="R316" s="8">
        <f t="shared" si="39"/>
        <v>346.84</v>
      </c>
    </row>
    <row r="317" spans="1:18" x14ac:dyDescent="0.55000000000000004">
      <c r="A317">
        <v>2019</v>
      </c>
      <c r="B317" t="s">
        <v>707</v>
      </c>
      <c r="C317" t="s">
        <v>358</v>
      </c>
      <c r="F317" t="s">
        <v>358</v>
      </c>
      <c r="G317" s="28" t="s">
        <v>1008</v>
      </c>
      <c r="H317" s="29">
        <f>INDEX(TransportationData!$A$6:$M$338,MATCH(FinalPayment_NoReorg!$F317,TransportationData!$A$6:$A$338,0),3)</f>
        <v>1332.8</v>
      </c>
      <c r="I317" s="30">
        <f>INDEX(TransportationData!$A$6:$M$338,MATCH(FinalPayment_NoReorg!$F317,TransportationData!$A$6:$A$338,0),8)</f>
        <v>239732.34</v>
      </c>
      <c r="J317" s="28">
        <f t="shared" si="35"/>
        <v>179.87</v>
      </c>
      <c r="K317" s="31">
        <f t="shared" si="32"/>
        <v>347.65</v>
      </c>
      <c r="L317" s="32">
        <f t="shared" si="33"/>
        <v>0</v>
      </c>
      <c r="M317" s="9">
        <f t="shared" si="36"/>
        <v>179.87</v>
      </c>
      <c r="N317" s="5">
        <f t="shared" si="34"/>
        <v>1091</v>
      </c>
      <c r="O317" s="8">
        <f t="shared" si="37"/>
        <v>179.05</v>
      </c>
      <c r="Q317" s="5">
        <f t="shared" si="38"/>
        <v>0</v>
      </c>
      <c r="R317" s="8">
        <f t="shared" si="39"/>
        <v>179.05</v>
      </c>
    </row>
    <row r="318" spans="1:18" x14ac:dyDescent="0.55000000000000004">
      <c r="A318">
        <v>2019</v>
      </c>
      <c r="B318" t="s">
        <v>692</v>
      </c>
      <c r="C318" t="s">
        <v>357</v>
      </c>
      <c r="F318" t="s">
        <v>357</v>
      </c>
      <c r="G318" s="28" t="s">
        <v>1009</v>
      </c>
      <c r="H318" s="29">
        <f>INDEX(TransportationData!$A$6:$M$338,MATCH(FinalPayment_NoReorg!$F318,TransportationData!$A$6:$A$338,0),3)</f>
        <v>938.2</v>
      </c>
      <c r="I318" s="30">
        <f>INDEX(TransportationData!$A$6:$M$338,MATCH(FinalPayment_NoReorg!$F318,TransportationData!$A$6:$A$338,0),8)</f>
        <v>539822.21</v>
      </c>
      <c r="J318" s="28">
        <f t="shared" si="35"/>
        <v>575.38</v>
      </c>
      <c r="K318" s="31">
        <f t="shared" si="32"/>
        <v>347.65</v>
      </c>
      <c r="L318" s="32">
        <f t="shared" si="33"/>
        <v>213656</v>
      </c>
      <c r="M318" s="9">
        <f t="shared" si="36"/>
        <v>347.65</v>
      </c>
      <c r="N318" s="5">
        <f t="shared" si="34"/>
        <v>768</v>
      </c>
      <c r="O318" s="8">
        <f t="shared" si="37"/>
        <v>346.83</v>
      </c>
      <c r="Q318" s="5">
        <f t="shared" si="38"/>
        <v>0</v>
      </c>
      <c r="R318" s="8">
        <f t="shared" si="39"/>
        <v>346.83</v>
      </c>
    </row>
    <row r="319" spans="1:18" x14ac:dyDescent="0.55000000000000004">
      <c r="A319">
        <v>2019</v>
      </c>
      <c r="B319" t="s">
        <v>689</v>
      </c>
      <c r="C319" t="s">
        <v>356</v>
      </c>
      <c r="F319" t="s">
        <v>356</v>
      </c>
      <c r="G319" s="28" t="s">
        <v>1010</v>
      </c>
      <c r="H319" s="29">
        <f>INDEX(TransportationData!$A$6:$M$338,MATCH(FinalPayment_NoReorg!$F319,TransportationData!$A$6:$A$338,0),3)</f>
        <v>870.1</v>
      </c>
      <c r="I319" s="30">
        <f>INDEX(TransportationData!$A$6:$M$338,MATCH(FinalPayment_NoReorg!$F319,TransportationData!$A$6:$A$338,0),8)</f>
        <v>415487.23000000004</v>
      </c>
      <c r="J319" s="28">
        <f t="shared" si="35"/>
        <v>477.52</v>
      </c>
      <c r="K319" s="31">
        <f t="shared" si="32"/>
        <v>347.65</v>
      </c>
      <c r="L319" s="32">
        <f t="shared" si="33"/>
        <v>113000</v>
      </c>
      <c r="M319" s="9">
        <f t="shared" si="36"/>
        <v>347.65</v>
      </c>
      <c r="N319" s="5">
        <f t="shared" si="34"/>
        <v>712</v>
      </c>
      <c r="O319" s="8">
        <f t="shared" si="37"/>
        <v>346.83</v>
      </c>
      <c r="Q319" s="5">
        <f t="shared" si="38"/>
        <v>0</v>
      </c>
      <c r="R319" s="8">
        <f t="shared" si="39"/>
        <v>346.83</v>
      </c>
    </row>
    <row r="320" spans="1:18" x14ac:dyDescent="0.55000000000000004">
      <c r="A320">
        <v>2019</v>
      </c>
      <c r="B320" t="s">
        <v>692</v>
      </c>
      <c r="C320" t="s">
        <v>355</v>
      </c>
      <c r="F320" t="s">
        <v>355</v>
      </c>
      <c r="G320" s="28" t="s">
        <v>1011</v>
      </c>
      <c r="H320" s="29">
        <f>INDEX(TransportationData!$A$6:$M$338,MATCH(FinalPayment_NoReorg!$F320,TransportationData!$A$6:$A$338,0),3)</f>
        <v>629.9</v>
      </c>
      <c r="I320" s="30">
        <f>INDEX(TransportationData!$A$6:$M$338,MATCH(FinalPayment_NoReorg!$F320,TransportationData!$A$6:$A$338,0),8)</f>
        <v>265492.15000000002</v>
      </c>
      <c r="J320" s="28">
        <f t="shared" si="35"/>
        <v>421.48</v>
      </c>
      <c r="K320" s="31">
        <f t="shared" si="32"/>
        <v>347.65</v>
      </c>
      <c r="L320" s="32">
        <f t="shared" si="33"/>
        <v>46506</v>
      </c>
      <c r="M320" s="9">
        <f t="shared" si="36"/>
        <v>347.65</v>
      </c>
      <c r="N320" s="5">
        <f t="shared" si="34"/>
        <v>516</v>
      </c>
      <c r="O320" s="8">
        <f t="shared" si="37"/>
        <v>346.83</v>
      </c>
      <c r="Q320" s="5">
        <f t="shared" si="38"/>
        <v>0</v>
      </c>
      <c r="R320" s="8">
        <f t="shared" si="39"/>
        <v>346.83</v>
      </c>
    </row>
    <row r="321" spans="1:18" x14ac:dyDescent="0.55000000000000004">
      <c r="A321">
        <v>2019</v>
      </c>
      <c r="B321" t="s">
        <v>692</v>
      </c>
      <c r="C321" t="s">
        <v>354</v>
      </c>
      <c r="F321" t="s">
        <v>354</v>
      </c>
      <c r="G321" s="28" t="s">
        <v>1012</v>
      </c>
      <c r="H321" s="29">
        <f>INDEX(TransportationData!$A$6:$M$338,MATCH(FinalPayment_NoReorg!$F321,TransportationData!$A$6:$A$338,0),3)</f>
        <v>827.8</v>
      </c>
      <c r="I321" s="30">
        <f>INDEX(TransportationData!$A$6:$M$338,MATCH(FinalPayment_NoReorg!$F321,TransportationData!$A$6:$A$338,0),8)</f>
        <v>325180.13</v>
      </c>
      <c r="J321" s="28">
        <f t="shared" si="35"/>
        <v>392.82</v>
      </c>
      <c r="K321" s="31">
        <f t="shared" si="32"/>
        <v>347.65</v>
      </c>
      <c r="L321" s="32">
        <f t="shared" si="33"/>
        <v>37392</v>
      </c>
      <c r="M321" s="9">
        <f t="shared" si="36"/>
        <v>347.65</v>
      </c>
      <c r="N321" s="5">
        <f t="shared" si="34"/>
        <v>678</v>
      </c>
      <c r="O321" s="8">
        <f t="shared" si="37"/>
        <v>346.84</v>
      </c>
      <c r="Q321" s="5">
        <f t="shared" si="38"/>
        <v>0</v>
      </c>
      <c r="R321" s="8">
        <f t="shared" si="39"/>
        <v>346.84</v>
      </c>
    </row>
    <row r="322" spans="1:18" x14ac:dyDescent="0.55000000000000004">
      <c r="A322">
        <v>2019</v>
      </c>
      <c r="B322" t="s">
        <v>703</v>
      </c>
      <c r="C322" t="s">
        <v>360</v>
      </c>
      <c r="F322" t="s">
        <v>360</v>
      </c>
      <c r="G322" s="28" t="s">
        <v>1013</v>
      </c>
      <c r="H322" s="29">
        <f>INDEX(TransportationData!$A$6:$M$338,MATCH(FinalPayment_NoReorg!$F322,TransportationData!$A$6:$A$338,0),3)</f>
        <v>3089.2999999999997</v>
      </c>
      <c r="I322" s="30">
        <f>INDEX(TransportationData!$A$6:$M$338,MATCH(FinalPayment_NoReorg!$F322,TransportationData!$A$6:$A$338,0),8)</f>
        <v>1591462.6099999999</v>
      </c>
      <c r="J322" s="28">
        <f t="shared" si="35"/>
        <v>515.15</v>
      </c>
      <c r="K322" s="31">
        <f t="shared" ref="K322:K331" si="40">$L$336</f>
        <v>347.65</v>
      </c>
      <c r="L322" s="32">
        <f t="shared" ref="L322:L331" si="41">IF(J322&gt;K322,ROUND((J322-K322)*H322,0),0)</f>
        <v>517458</v>
      </c>
      <c r="M322" s="9">
        <f t="shared" si="36"/>
        <v>347.65</v>
      </c>
      <c r="N322" s="5">
        <f t="shared" ref="N322:N330" si="42">IF(ROUND(H322*$N$336,0)&gt;I322-L322,ROUND(I322-L322,0),ROUND(H322*$N$336,0))</f>
        <v>2529</v>
      </c>
      <c r="O322" s="8">
        <f t="shared" si="37"/>
        <v>346.83</v>
      </c>
      <c r="Q322" s="5">
        <f t="shared" si="38"/>
        <v>0</v>
      </c>
      <c r="R322" s="8">
        <f t="shared" si="39"/>
        <v>346.83</v>
      </c>
    </row>
    <row r="323" spans="1:18" x14ac:dyDescent="0.55000000000000004">
      <c r="A323">
        <v>2019</v>
      </c>
      <c r="B323" t="s">
        <v>692</v>
      </c>
      <c r="C323" t="s">
        <v>353</v>
      </c>
      <c r="F323" t="s">
        <v>353</v>
      </c>
      <c r="G323" s="28" t="s">
        <v>1014</v>
      </c>
      <c r="H323" s="29">
        <f>INDEX(TransportationData!$A$6:$M$338,MATCH(FinalPayment_NoReorg!$F323,TransportationData!$A$6:$A$338,0),3)</f>
        <v>563.5</v>
      </c>
      <c r="I323" s="30">
        <f>INDEX(TransportationData!$A$6:$M$338,MATCH(FinalPayment_NoReorg!$F323,TransportationData!$A$6:$A$338,0),8)</f>
        <v>445530.19</v>
      </c>
      <c r="J323" s="28">
        <f t="shared" ref="J323:J332" si="43">ROUND(I323/H323,2)</f>
        <v>790.65</v>
      </c>
      <c r="K323" s="31">
        <f t="shared" si="40"/>
        <v>347.65</v>
      </c>
      <c r="L323" s="32">
        <f t="shared" si="41"/>
        <v>249631</v>
      </c>
      <c r="M323" s="9">
        <f t="shared" ref="M323:M331" si="44">ROUND((I323-L323)/H323,2)</f>
        <v>347.65</v>
      </c>
      <c r="N323" s="5">
        <f t="shared" si="42"/>
        <v>461</v>
      </c>
      <c r="O323" s="8">
        <f t="shared" ref="O323:O330" si="45">ROUND((I323-L323-N323)/H323,2)</f>
        <v>346.83</v>
      </c>
      <c r="Q323" s="5">
        <f t="shared" ref="Q323:Q330" si="46">IF(ROUND($H323*$N$340,0)&gt;$I323-$L323-N323,ROUND($I323-$L323-$N323,0),ROUND($H323*$N$340,0))</f>
        <v>0</v>
      </c>
      <c r="R323" s="8">
        <f t="shared" si="39"/>
        <v>346.83</v>
      </c>
    </row>
    <row r="324" spans="1:18" x14ac:dyDescent="0.55000000000000004">
      <c r="A324">
        <v>2019</v>
      </c>
      <c r="B324" t="s">
        <v>692</v>
      </c>
      <c r="C324" t="s">
        <v>352</v>
      </c>
      <c r="F324" t="s">
        <v>352</v>
      </c>
      <c r="G324" s="28" t="s">
        <v>1015</v>
      </c>
      <c r="H324" s="29">
        <f>INDEX(TransportationData!$A$6:$M$338,MATCH(FinalPayment_NoReorg!$F324,TransportationData!$A$6:$A$338,0),3)</f>
        <v>204.3</v>
      </c>
      <c r="I324" s="30">
        <f>INDEX(TransportationData!$A$6:$M$338,MATCH(FinalPayment_NoReorg!$F324,TransportationData!$A$6:$A$338,0),8)</f>
        <v>49652.88</v>
      </c>
      <c r="J324" s="28">
        <f t="shared" si="43"/>
        <v>243.04</v>
      </c>
      <c r="K324" s="31">
        <f t="shared" si="40"/>
        <v>347.65</v>
      </c>
      <c r="L324" s="32">
        <f t="shared" si="41"/>
        <v>0</v>
      </c>
      <c r="M324" s="9">
        <f t="shared" si="44"/>
        <v>243.04</v>
      </c>
      <c r="N324" s="5">
        <f t="shared" si="42"/>
        <v>167</v>
      </c>
      <c r="O324" s="8">
        <f t="shared" si="45"/>
        <v>242.22</v>
      </c>
      <c r="Q324" s="5">
        <f t="shared" si="46"/>
        <v>0</v>
      </c>
      <c r="R324" s="8">
        <f t="shared" ref="R324:R330" si="47">ROUND(($I324-$L324-$N324-$Q324)/$H324,2)</f>
        <v>242.22</v>
      </c>
    </row>
    <row r="325" spans="1:18" x14ac:dyDescent="0.55000000000000004">
      <c r="A325">
        <v>2019</v>
      </c>
      <c r="B325" t="s">
        <v>698</v>
      </c>
      <c r="C325" t="s">
        <v>351</v>
      </c>
      <c r="F325" t="s">
        <v>351</v>
      </c>
      <c r="G325" s="28" t="s">
        <v>1016</v>
      </c>
      <c r="H325" s="29">
        <f>INDEX(TransportationData!$A$6:$M$338,MATCH(FinalPayment_NoReorg!$F325,TransportationData!$A$6:$A$338,0),3)</f>
        <v>1100.4000000000001</v>
      </c>
      <c r="I325" s="30">
        <f>INDEX(TransportationData!$A$6:$M$338,MATCH(FinalPayment_NoReorg!$F325,TransportationData!$A$6:$A$338,0),8)</f>
        <v>497096.61</v>
      </c>
      <c r="J325" s="28">
        <f t="shared" si="43"/>
        <v>451.74</v>
      </c>
      <c r="K325" s="31">
        <f t="shared" si="40"/>
        <v>347.65</v>
      </c>
      <c r="L325" s="32">
        <f t="shared" si="41"/>
        <v>114541</v>
      </c>
      <c r="M325" s="9">
        <f t="shared" si="44"/>
        <v>347.65</v>
      </c>
      <c r="N325" s="5">
        <f t="shared" si="42"/>
        <v>901</v>
      </c>
      <c r="O325" s="8">
        <f t="shared" si="45"/>
        <v>346.83</v>
      </c>
      <c r="Q325" s="5">
        <f t="shared" si="46"/>
        <v>0</v>
      </c>
      <c r="R325" s="8">
        <f t="shared" si="47"/>
        <v>346.83</v>
      </c>
    </row>
    <row r="326" spans="1:18" x14ac:dyDescent="0.55000000000000004">
      <c r="A326">
        <v>2019</v>
      </c>
      <c r="B326" t="s">
        <v>707</v>
      </c>
      <c r="C326" t="s">
        <v>350</v>
      </c>
      <c r="F326" t="s">
        <v>350</v>
      </c>
      <c r="G326" s="28" t="s">
        <v>1017</v>
      </c>
      <c r="H326" s="29">
        <f>INDEX(TransportationData!$A$6:$M$338,MATCH(FinalPayment_NoReorg!$F326,TransportationData!$A$6:$A$338,0),3)</f>
        <v>838.3</v>
      </c>
      <c r="I326" s="30">
        <f>INDEX(TransportationData!$A$6:$M$338,MATCH(FinalPayment_NoReorg!$F326,TransportationData!$A$6:$A$338,0),8)</f>
        <v>199399.58</v>
      </c>
      <c r="J326" s="28">
        <f t="shared" si="43"/>
        <v>237.86</v>
      </c>
      <c r="K326" s="31">
        <f t="shared" si="40"/>
        <v>347.65</v>
      </c>
      <c r="L326" s="32">
        <f t="shared" si="41"/>
        <v>0</v>
      </c>
      <c r="M326" s="9">
        <f t="shared" si="44"/>
        <v>237.86</v>
      </c>
      <c r="N326" s="5">
        <f t="shared" si="42"/>
        <v>686</v>
      </c>
      <c r="O326" s="8">
        <f t="shared" si="45"/>
        <v>237.04</v>
      </c>
      <c r="Q326" s="5">
        <f t="shared" si="46"/>
        <v>0</v>
      </c>
      <c r="R326" s="8">
        <f t="shared" si="47"/>
        <v>237.04</v>
      </c>
    </row>
    <row r="327" spans="1:18" x14ac:dyDescent="0.55000000000000004">
      <c r="A327">
        <v>2019</v>
      </c>
      <c r="B327" t="s">
        <v>696</v>
      </c>
      <c r="C327" t="s">
        <v>349</v>
      </c>
      <c r="F327" t="s">
        <v>349</v>
      </c>
      <c r="G327" s="28" t="s">
        <v>1018</v>
      </c>
      <c r="H327" s="29">
        <f>INDEX(TransportationData!$A$6:$M$338,MATCH(FinalPayment_NoReorg!$F327,TransportationData!$A$6:$A$338,0),3)</f>
        <v>321.3</v>
      </c>
      <c r="I327" s="30">
        <f>INDEX(TransportationData!$A$6:$M$338,MATCH(FinalPayment_NoReorg!$F327,TransportationData!$A$6:$A$338,0),8)</f>
        <v>100250.6</v>
      </c>
      <c r="J327" s="28">
        <f t="shared" si="43"/>
        <v>312.02</v>
      </c>
      <c r="K327" s="31">
        <f t="shared" si="40"/>
        <v>347.65</v>
      </c>
      <c r="L327" s="32">
        <f t="shared" si="41"/>
        <v>0</v>
      </c>
      <c r="M327" s="9">
        <f t="shared" si="44"/>
        <v>312.02</v>
      </c>
      <c r="N327" s="5">
        <f>IF(ROUND(H327*$N$336,0)&gt;I327-L327,ROUND(I327-L327,0),ROUND(H327*$N$336,0))</f>
        <v>263</v>
      </c>
      <c r="O327" s="8">
        <f t="shared" si="45"/>
        <v>311.2</v>
      </c>
      <c r="Q327" s="5">
        <f t="shared" si="46"/>
        <v>0</v>
      </c>
      <c r="R327" s="8">
        <f t="shared" si="47"/>
        <v>311.2</v>
      </c>
    </row>
    <row r="328" spans="1:18" x14ac:dyDescent="0.55000000000000004">
      <c r="A328">
        <v>2019</v>
      </c>
      <c r="B328" t="s">
        <v>686</v>
      </c>
      <c r="C328" t="s">
        <v>348</v>
      </c>
      <c r="F328" t="s">
        <v>348</v>
      </c>
      <c r="G328" s="28" t="s">
        <v>1019</v>
      </c>
      <c r="H328" s="29">
        <f>INDEX(TransportationData!$A$6:$M$338,MATCH(FinalPayment_NoReorg!$F328,TransportationData!$A$6:$A$338,0),3)</f>
        <v>1717.9</v>
      </c>
      <c r="I328" s="30">
        <f>INDEX(TransportationData!$A$6:$M$338,MATCH(FinalPayment_NoReorg!$F328,TransportationData!$A$6:$A$338,0),8)</f>
        <v>771937.34000000008</v>
      </c>
      <c r="J328" s="28">
        <f>ROUND(I328/H328,2)</f>
        <v>449.35</v>
      </c>
      <c r="K328" s="31">
        <f t="shared" si="40"/>
        <v>347.65</v>
      </c>
      <c r="L328" s="32">
        <f t="shared" si="41"/>
        <v>174710</v>
      </c>
      <c r="M328" s="9">
        <f t="shared" si="44"/>
        <v>347.65</v>
      </c>
      <c r="N328" s="5">
        <f t="shared" si="42"/>
        <v>1406</v>
      </c>
      <c r="O328" s="8">
        <f t="shared" si="45"/>
        <v>346.83</v>
      </c>
      <c r="Q328" s="5">
        <f t="shared" si="46"/>
        <v>0</v>
      </c>
      <c r="R328" s="8">
        <f t="shared" si="47"/>
        <v>346.83</v>
      </c>
    </row>
    <row r="329" spans="1:18" x14ac:dyDescent="0.55000000000000004">
      <c r="A329">
        <v>2019</v>
      </c>
      <c r="B329" t="s">
        <v>690</v>
      </c>
      <c r="C329" t="s">
        <v>347</v>
      </c>
      <c r="F329" t="s">
        <v>347</v>
      </c>
      <c r="G329" s="28" t="s">
        <v>1020</v>
      </c>
      <c r="H329" s="29">
        <f>INDEX(TransportationData!$A$6:$M$338,MATCH(FinalPayment_NoReorg!$F329,TransportationData!$A$6:$A$338,0),3)</f>
        <v>466</v>
      </c>
      <c r="I329" s="30">
        <f>INDEX(TransportationData!$A$6:$M$338,MATCH(FinalPayment_NoReorg!$F329,TransportationData!$A$6:$A$338,0),8)</f>
        <v>156888.51</v>
      </c>
      <c r="J329" s="28">
        <f t="shared" si="43"/>
        <v>336.67</v>
      </c>
      <c r="K329" s="31">
        <f t="shared" si="40"/>
        <v>347.65</v>
      </c>
      <c r="L329" s="32">
        <f>IF(J329&gt;K329,ROUND((J329-K329)*H329,0),0)</f>
        <v>0</v>
      </c>
      <c r="M329" s="9">
        <f t="shared" si="44"/>
        <v>336.67</v>
      </c>
      <c r="N329" s="5">
        <f t="shared" si="42"/>
        <v>381</v>
      </c>
      <c r="O329" s="8">
        <f t="shared" si="45"/>
        <v>335.85</v>
      </c>
      <c r="Q329" s="5">
        <f t="shared" si="46"/>
        <v>0</v>
      </c>
      <c r="R329" s="8">
        <f t="shared" si="47"/>
        <v>335.85</v>
      </c>
    </row>
    <row r="330" spans="1:18" x14ac:dyDescent="0.55000000000000004">
      <c r="A330">
        <v>2019</v>
      </c>
      <c r="B330" t="s">
        <v>692</v>
      </c>
      <c r="C330" t="s">
        <v>346</v>
      </c>
      <c r="F330" t="s">
        <v>346</v>
      </c>
      <c r="G330" s="28" t="s">
        <v>1021</v>
      </c>
      <c r="H330" s="29">
        <f>INDEX(TransportationData!$A$6:$M$338,MATCH(FinalPayment_NoReorg!$F330,TransportationData!$A$6:$A$338,0),3)</f>
        <v>550.6</v>
      </c>
      <c r="I330" s="30">
        <f>INDEX(TransportationData!$A$6:$M$338,MATCH(FinalPayment_NoReorg!$F330,TransportationData!$A$6:$A$338,0),8)</f>
        <v>300075.90000000002</v>
      </c>
      <c r="J330" s="28">
        <f t="shared" si="43"/>
        <v>545</v>
      </c>
      <c r="K330" s="31">
        <f t="shared" si="40"/>
        <v>347.65</v>
      </c>
      <c r="L330" s="32">
        <f t="shared" si="41"/>
        <v>108661</v>
      </c>
      <c r="M330" s="9">
        <f t="shared" si="44"/>
        <v>347.65</v>
      </c>
      <c r="N330" s="5">
        <f t="shared" si="42"/>
        <v>451</v>
      </c>
      <c r="O330" s="8">
        <f t="shared" si="45"/>
        <v>346.83</v>
      </c>
      <c r="Q330" s="5">
        <f t="shared" si="46"/>
        <v>0</v>
      </c>
      <c r="R330" s="8">
        <f t="shared" si="47"/>
        <v>346.83</v>
      </c>
    </row>
    <row r="331" spans="1:18" x14ac:dyDescent="0.55000000000000004">
      <c r="A331">
        <v>2019</v>
      </c>
      <c r="B331" t="s">
        <v>686</v>
      </c>
      <c r="C331" t="s">
        <v>345</v>
      </c>
      <c r="F331" t="s">
        <v>345</v>
      </c>
      <c r="G331" s="28" t="s">
        <v>1022</v>
      </c>
      <c r="H331" s="29">
        <f>INDEX(TransportationData!$A$6:$M$338,MATCH(FinalPayment_NoReorg!$F331,TransportationData!$A$6:$A$338,0),3)</f>
        <v>934.5</v>
      </c>
      <c r="I331" s="30">
        <f>INDEX(TransportationData!$A$6:$M$338,MATCH(FinalPayment_NoReorg!$F331,TransportationData!$A$6:$A$338,0),8)</f>
        <v>384522.29</v>
      </c>
      <c r="J331" s="28">
        <f t="shared" si="43"/>
        <v>411.47</v>
      </c>
      <c r="K331" s="31">
        <f t="shared" si="40"/>
        <v>347.65</v>
      </c>
      <c r="L331" s="32">
        <f t="shared" si="41"/>
        <v>59640</v>
      </c>
      <c r="M331" s="9">
        <f t="shared" si="44"/>
        <v>347.65</v>
      </c>
      <c r="N331" s="5">
        <f>IF(ROUND($H331*$N$336,0)&gt;$I331-$L331,ROUND($I331-$L331,0),ROUND($H331*$N$336,0))</f>
        <v>765</v>
      </c>
      <c r="O331" s="8">
        <f>ROUND(($I331-$L331-$N331)/$H331,2)</f>
        <v>346.83</v>
      </c>
      <c r="Q331" s="5">
        <f>IF(ROUND($H331*$N$340,0)&gt;$I331-$L331-N331,ROUND($I331-$L331-$N331,0),ROUND($H331*$N$340,0))</f>
        <v>0</v>
      </c>
      <c r="R331" s="8">
        <f>ROUND(($I331-$L331-$N331-$Q331)/$H331,2)</f>
        <v>346.83</v>
      </c>
    </row>
    <row r="332" spans="1:18" ht="14.7" thickBot="1" x14ac:dyDescent="0.6">
      <c r="G332" s="38" t="s">
        <v>1286</v>
      </c>
      <c r="H332" s="6">
        <f>SUM(H2:H331)</f>
        <v>487429.99999999983</v>
      </c>
      <c r="I332" s="37">
        <f>SUM(I2:I331)</f>
        <v>169455658.81000006</v>
      </c>
      <c r="J332">
        <f t="shared" si="43"/>
        <v>347.65</v>
      </c>
      <c r="K332" s="9"/>
      <c r="L332" s="36">
        <f>SUM(L2:L331)</f>
        <v>26253088</v>
      </c>
      <c r="N332" s="36">
        <f>SUM(N2:N331)</f>
        <v>399000</v>
      </c>
      <c r="Q332" s="36">
        <f>SUM(Q2:Q331)</f>
        <v>0</v>
      </c>
    </row>
    <row r="333" spans="1:18" ht="14.7" thickTop="1" x14ac:dyDescent="0.55000000000000004">
      <c r="H333" s="6"/>
      <c r="I333" s="8"/>
      <c r="K333" s="9"/>
      <c r="L333" s="5"/>
    </row>
    <row r="334" spans="1:18" x14ac:dyDescent="0.55000000000000004">
      <c r="N334" t="s">
        <v>1351</v>
      </c>
    </row>
    <row r="335" spans="1:18" x14ac:dyDescent="0.55000000000000004">
      <c r="K335" t="s">
        <v>1032</v>
      </c>
      <c r="L335" s="5">
        <f>ROUND(19000000*1.021,0)+7253088</f>
        <v>26652088</v>
      </c>
      <c r="N335" s="5">
        <f>L335-L332</f>
        <v>399000</v>
      </c>
    </row>
    <row r="336" spans="1:18" x14ac:dyDescent="0.55000000000000004">
      <c r="K336" s="35" t="s">
        <v>1033</v>
      </c>
      <c r="L336" s="9">
        <v>347.65</v>
      </c>
      <c r="N336">
        <f>N335/H332</f>
        <v>0.81857907802145979</v>
      </c>
      <c r="O336" t="s">
        <v>1352</v>
      </c>
    </row>
    <row r="338" spans="10:15" x14ac:dyDescent="0.55000000000000004">
      <c r="J338" t="s">
        <v>1205</v>
      </c>
      <c r="K338" s="35" t="s">
        <v>1285</v>
      </c>
      <c r="L338">
        <f>COUNTIF($L$2:$L$331,"&gt;0")</f>
        <v>207</v>
      </c>
      <c r="N338" t="s">
        <v>1359</v>
      </c>
    </row>
    <row r="339" spans="10:15" x14ac:dyDescent="0.55000000000000004">
      <c r="J339" t="s">
        <v>1322</v>
      </c>
      <c r="K339" s="35" t="s">
        <v>1285</v>
      </c>
      <c r="L339">
        <f>COUNTIF(FinalPayment!$H$2:$H$328,"&gt;0")</f>
        <v>327</v>
      </c>
      <c r="N339" s="5">
        <f>N335-N332</f>
        <v>0</v>
      </c>
    </row>
    <row r="340" spans="10:15" x14ac:dyDescent="0.55000000000000004">
      <c r="N340">
        <f>N339/H332</f>
        <v>0</v>
      </c>
      <c r="O340" t="s">
        <v>1360</v>
      </c>
    </row>
  </sheetData>
  <pageMargins left="0.7" right="0.7" top="0.75" bottom="0.75" header="0.3" footer="0.3"/>
  <pageSetup scale="82" fitToHeight="0" orientation="portrait" r:id="rId1"/>
  <headerFooter>
    <oddHeader>&amp;C&amp;"-,Bold"&amp;12Department of Management - Estimated impact of Transportation Payments - 2.5% increase plus $5.0 million</oddHeader>
    <oddFooter>&amp;LDepartment of Management&amp;R&amp;D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3"/>
  <sheetViews>
    <sheetView topLeftCell="A296" workbookViewId="0">
      <selection activeCell="H2" sqref="H2:H328"/>
    </sheetView>
  </sheetViews>
  <sheetFormatPr defaultRowHeight="14.4" x14ac:dyDescent="0.55000000000000004"/>
  <cols>
    <col min="6" max="6" width="14.41796875" customWidth="1"/>
    <col min="7" max="7" width="40.15625" customWidth="1"/>
    <col min="8" max="8" width="9.15625" style="5"/>
    <col min="9" max="18" width="10.83984375" style="5" customWidth="1"/>
    <col min="22" max="22" width="14.83984375" customWidth="1"/>
    <col min="23" max="23" width="11.68359375" bestFit="1" customWidth="1"/>
    <col min="24" max="24" width="12.68359375" bestFit="1" customWidth="1"/>
    <col min="25" max="25" width="13.578125" bestFit="1" customWidth="1"/>
  </cols>
  <sheetData>
    <row r="1" spans="1:25" ht="28.8" x14ac:dyDescent="0.55000000000000004">
      <c r="A1" t="s">
        <v>1023</v>
      </c>
      <c r="B1" t="s">
        <v>1024</v>
      </c>
      <c r="C1" s="33" t="s">
        <v>1025</v>
      </c>
      <c r="D1" t="s">
        <v>1026</v>
      </c>
      <c r="E1" t="s">
        <v>1027</v>
      </c>
      <c r="F1" t="s">
        <v>1028</v>
      </c>
      <c r="G1" t="s">
        <v>1206</v>
      </c>
      <c r="H1" s="10" t="s">
        <v>1036</v>
      </c>
      <c r="I1" s="10" t="s">
        <v>1046</v>
      </c>
      <c r="J1" s="10" t="s">
        <v>1047</v>
      </c>
      <c r="K1" s="10" t="s">
        <v>1048</v>
      </c>
      <c r="L1" s="10" t="s">
        <v>1049</v>
      </c>
      <c r="M1" s="10" t="s">
        <v>1050</v>
      </c>
      <c r="N1" s="10" t="s">
        <v>1051</v>
      </c>
      <c r="O1" s="10" t="s">
        <v>1052</v>
      </c>
      <c r="P1" s="10" t="s">
        <v>1053</v>
      </c>
      <c r="Q1" s="10" t="s">
        <v>1054</v>
      </c>
      <c r="R1" s="10" t="s">
        <v>1055</v>
      </c>
      <c r="U1" s="7" t="s">
        <v>1035</v>
      </c>
      <c r="V1" s="7" t="s">
        <v>1037</v>
      </c>
      <c r="W1" s="7" t="s">
        <v>1038</v>
      </c>
      <c r="X1" s="7" t="s">
        <v>685</v>
      </c>
      <c r="Y1" s="7" t="s">
        <v>1035</v>
      </c>
    </row>
    <row r="2" spans="1:25" x14ac:dyDescent="0.55000000000000004">
      <c r="A2">
        <v>2021</v>
      </c>
      <c r="B2" t="s">
        <v>686</v>
      </c>
      <c r="C2" t="s">
        <v>682</v>
      </c>
      <c r="D2" t="s">
        <v>1207</v>
      </c>
      <c r="E2" t="s">
        <v>1207</v>
      </c>
      <c r="F2" t="s">
        <v>682</v>
      </c>
      <c r="G2" t="s">
        <v>18</v>
      </c>
      <c r="H2" s="5">
        <f>SUMPRODUCT(SUMIF(FinalPayment_NoReorg!$F$2:$F$331,FinalPayment!$D2:$F2,FinalPayment_NoReorg!$L$2:$L$331))+SUMPRODUCT(SUMIF(FinalPayment_NoReorg!$F$2:$F$331,FinalPayment!$D2:$F2,FinalPayment_NoReorg!$N$2:$N$331))</f>
        <v>189488</v>
      </c>
      <c r="I2" s="5">
        <f t="shared" ref="I2:Q2" si="0">ROUND($H2/10,0)</f>
        <v>18949</v>
      </c>
      <c r="J2" s="5">
        <f t="shared" si="0"/>
        <v>18949</v>
      </c>
      <c r="K2" s="5">
        <f t="shared" si="0"/>
        <v>18949</v>
      </c>
      <c r="L2" s="5">
        <f t="shared" si="0"/>
        <v>18949</v>
      </c>
      <c r="M2" s="5">
        <f t="shared" si="0"/>
        <v>18949</v>
      </c>
      <c r="N2" s="5">
        <f t="shared" si="0"/>
        <v>18949</v>
      </c>
      <c r="O2" s="5">
        <f t="shared" si="0"/>
        <v>18949</v>
      </c>
      <c r="P2" s="5">
        <f t="shared" si="0"/>
        <v>18949</v>
      </c>
      <c r="Q2" s="5">
        <f t="shared" si="0"/>
        <v>18949</v>
      </c>
      <c r="R2" s="5">
        <f>$H2-SUM(I2:Q2)</f>
        <v>18947</v>
      </c>
      <c r="U2" s="8">
        <f>SUM(I2:R2)-H2</f>
        <v>0</v>
      </c>
      <c r="V2" s="8">
        <f>IFERROR(INDEX('Payment 1 through 9'!$A$1:$B$330,MATCH(CONCATENATE(FinalPayment!$F2,"0000"),'Payment 1 through 9'!$A$1:$A$330,0),2)*9,0)</f>
        <v>167598</v>
      </c>
      <c r="W2" s="8">
        <f>IFERROR(INDEX('FinalPayment 10'!$A$1:$B$330,MATCH(CONCATENATE(FinalPayment!$F2,"0000"),'FinalPayment 10'!$A$1:$A$330,0),2),0)</f>
        <v>18620</v>
      </c>
      <c r="X2" s="8">
        <f>SUM(V2:W2)</f>
        <v>186218</v>
      </c>
      <c r="Y2" s="8">
        <f>H2-X2</f>
        <v>3270</v>
      </c>
    </row>
    <row r="3" spans="1:25" x14ac:dyDescent="0.55000000000000004">
      <c r="A3">
        <v>2021</v>
      </c>
      <c r="B3" t="s">
        <v>686</v>
      </c>
      <c r="C3" t="s">
        <v>681</v>
      </c>
      <c r="D3" t="s">
        <v>1207</v>
      </c>
      <c r="E3" t="s">
        <v>1207</v>
      </c>
      <c r="F3" t="s">
        <v>681</v>
      </c>
      <c r="G3" t="s">
        <v>1208</v>
      </c>
      <c r="H3" s="5">
        <f>SUMPRODUCT(SUMIF(FinalPayment_NoReorg!$F$2:$F$331,FinalPayment!$D3:$F3,FinalPayment_NoReorg!$L$2:$L$331))+SUMPRODUCT(SUMIF(FinalPayment_NoReorg!$F$2:$F$331,FinalPayment!$D3:$F3,FinalPayment_NoReorg!$N$2:$N$331))</f>
        <v>78472</v>
      </c>
      <c r="I3" s="5">
        <f t="shared" ref="I3:L66" si="1">ROUND($H3/10,0)</f>
        <v>7847</v>
      </c>
      <c r="J3" s="5">
        <f t="shared" si="1"/>
        <v>7847</v>
      </c>
      <c r="K3" s="5">
        <f t="shared" si="1"/>
        <v>7847</v>
      </c>
      <c r="L3" s="5">
        <f t="shared" si="1"/>
        <v>7847</v>
      </c>
      <c r="M3" s="5">
        <f t="shared" ref="M3:P66" si="2">ROUND($H3/10,0)</f>
        <v>7847</v>
      </c>
      <c r="N3" s="5">
        <f t="shared" si="2"/>
        <v>7847</v>
      </c>
      <c r="O3" s="5">
        <f t="shared" si="2"/>
        <v>7847</v>
      </c>
      <c r="P3" s="5">
        <f t="shared" si="2"/>
        <v>7847</v>
      </c>
      <c r="Q3" s="5">
        <f t="shared" ref="Q3:Q66" si="3">ROUND($H3/10,0)</f>
        <v>7847</v>
      </c>
      <c r="R3" s="5">
        <f t="shared" ref="R3:R66" si="4">$H3-SUM(I3:Q3)</f>
        <v>7849</v>
      </c>
      <c r="U3" s="8">
        <f t="shared" ref="U3:U65" si="5">SUM(I3:R3)-H3</f>
        <v>0</v>
      </c>
      <c r="V3" s="8">
        <f>IFERROR(INDEX('Payment 1 through 9'!$A$1:$B$330,MATCH(CONCATENATE(FinalPayment!$F3,"0000"),'Payment 1 through 9'!$A$1:$A$330,0),2)*9,0)</f>
        <v>53505</v>
      </c>
      <c r="W3" s="8">
        <f>IFERROR(INDEX('FinalPayment 10'!$A$1:$B$330,MATCH(CONCATENATE(FinalPayment!$F3,"0000"),'FinalPayment 10'!$A$1:$A$330,0),2),0)</f>
        <v>5942</v>
      </c>
      <c r="X3" s="8">
        <f t="shared" ref="X3:X66" si="6">SUM(V3:W3)</f>
        <v>59447</v>
      </c>
      <c r="Y3" s="8">
        <f t="shared" ref="Y3:Y66" si="7">H3-X3</f>
        <v>19025</v>
      </c>
    </row>
    <row r="4" spans="1:25" x14ac:dyDescent="0.55000000000000004">
      <c r="A4">
        <v>2021</v>
      </c>
      <c r="B4" t="s">
        <v>689</v>
      </c>
      <c r="C4" t="s">
        <v>683</v>
      </c>
      <c r="D4" t="s">
        <v>1207</v>
      </c>
      <c r="E4" t="s">
        <v>1207</v>
      </c>
      <c r="F4" t="s">
        <v>683</v>
      </c>
      <c r="G4" t="s">
        <v>17</v>
      </c>
      <c r="H4" s="5">
        <f>SUMPRODUCT(SUMIF(FinalPayment_NoReorg!$F$2:$F$331,FinalPayment!$D4:$F4,FinalPayment_NoReorg!$L$2:$L$331))+SUMPRODUCT(SUMIF(FinalPayment_NoReorg!$F$2:$F$331,FinalPayment!$D4:$F4,FinalPayment_NoReorg!$N$2:$N$331))</f>
        <v>182394</v>
      </c>
      <c r="I4" s="5">
        <f t="shared" si="1"/>
        <v>18239</v>
      </c>
      <c r="J4" s="5">
        <f t="shared" si="1"/>
        <v>18239</v>
      </c>
      <c r="K4" s="5">
        <f t="shared" si="1"/>
        <v>18239</v>
      </c>
      <c r="L4" s="5">
        <f t="shared" si="1"/>
        <v>18239</v>
      </c>
      <c r="M4" s="5">
        <f t="shared" si="2"/>
        <v>18239</v>
      </c>
      <c r="N4" s="5">
        <f t="shared" si="2"/>
        <v>18239</v>
      </c>
      <c r="O4" s="5">
        <f t="shared" si="2"/>
        <v>18239</v>
      </c>
      <c r="P4" s="5">
        <f t="shared" si="2"/>
        <v>18239</v>
      </c>
      <c r="Q4" s="5">
        <f t="shared" si="3"/>
        <v>18239</v>
      </c>
      <c r="R4" s="5">
        <f t="shared" si="4"/>
        <v>18243</v>
      </c>
      <c r="U4" s="8">
        <f t="shared" si="5"/>
        <v>0</v>
      </c>
      <c r="V4" s="8">
        <f>IFERROR(INDEX('Payment 1 through 9'!$A$1:$B$330,MATCH(CONCATENATE(FinalPayment!$F4,"0000"),'Payment 1 through 9'!$A$1:$A$330,0),2)*9,0)</f>
        <v>157995</v>
      </c>
      <c r="W4" s="8">
        <f>IFERROR(INDEX('FinalPayment 10'!$A$1:$B$330,MATCH(CONCATENATE(FinalPayment!$F4,"0000"),'FinalPayment 10'!$A$1:$A$330,0),2),0)</f>
        <v>17559</v>
      </c>
      <c r="X4" s="8">
        <f t="shared" si="6"/>
        <v>175554</v>
      </c>
      <c r="Y4" s="8">
        <f t="shared" si="7"/>
        <v>6840</v>
      </c>
    </row>
    <row r="5" spans="1:25" x14ac:dyDescent="0.55000000000000004">
      <c r="A5">
        <v>2021</v>
      </c>
      <c r="B5" t="s">
        <v>690</v>
      </c>
      <c r="C5" t="s">
        <v>661</v>
      </c>
      <c r="D5" t="s">
        <v>1207</v>
      </c>
      <c r="E5" t="s">
        <v>1207</v>
      </c>
      <c r="F5" t="s">
        <v>661</v>
      </c>
      <c r="G5" t="s">
        <v>691</v>
      </c>
      <c r="H5" s="5">
        <f>SUMPRODUCT(SUMIF(FinalPayment_NoReorg!$F$2:$F$331,FinalPayment!$D5:$F5,FinalPayment_NoReorg!$L$2:$L$331))+SUMPRODUCT(SUMIF(FinalPayment_NoReorg!$F$2:$F$331,FinalPayment!$D5:$F5,FinalPayment_NoReorg!$N$2:$N$331))</f>
        <v>94990</v>
      </c>
      <c r="I5" s="5">
        <f t="shared" si="1"/>
        <v>9499</v>
      </c>
      <c r="J5" s="5">
        <f t="shared" si="1"/>
        <v>9499</v>
      </c>
      <c r="K5" s="5">
        <f t="shared" si="1"/>
        <v>9499</v>
      </c>
      <c r="L5" s="5">
        <f t="shared" si="1"/>
        <v>9499</v>
      </c>
      <c r="M5" s="5">
        <f t="shared" si="2"/>
        <v>9499</v>
      </c>
      <c r="N5" s="5">
        <f t="shared" si="2"/>
        <v>9499</v>
      </c>
      <c r="O5" s="5">
        <f t="shared" si="2"/>
        <v>9499</v>
      </c>
      <c r="P5" s="5">
        <f t="shared" si="2"/>
        <v>9499</v>
      </c>
      <c r="Q5" s="5">
        <f t="shared" si="3"/>
        <v>9499</v>
      </c>
      <c r="R5" s="5">
        <f t="shared" si="4"/>
        <v>9499</v>
      </c>
      <c r="U5" s="8">
        <f t="shared" si="5"/>
        <v>0</v>
      </c>
      <c r="V5" s="8">
        <f>IFERROR(INDEX('Payment 1 through 9'!$A$1:$B$330,MATCH(CONCATENATE(FinalPayment!$F5,"0000"),'Payment 1 through 9'!$A$1:$A$330,0),2)*9,0)</f>
        <v>78021</v>
      </c>
      <c r="W5" s="8">
        <f>IFERROR(INDEX('FinalPayment 10'!$A$1:$B$330,MATCH(CONCATENATE(FinalPayment!$F5,"0000"),'FinalPayment 10'!$A$1:$A$330,0),2),0)</f>
        <v>8667</v>
      </c>
      <c r="X5" s="8">
        <f t="shared" si="6"/>
        <v>86688</v>
      </c>
      <c r="Y5" s="8">
        <f t="shared" si="7"/>
        <v>8302</v>
      </c>
    </row>
    <row r="6" spans="1:25" x14ac:dyDescent="0.55000000000000004">
      <c r="A6">
        <v>2021</v>
      </c>
      <c r="B6" t="s">
        <v>692</v>
      </c>
      <c r="C6" t="s">
        <v>680</v>
      </c>
      <c r="D6" t="s">
        <v>1207</v>
      </c>
      <c r="E6" t="s">
        <v>1207</v>
      </c>
      <c r="F6" t="s">
        <v>680</v>
      </c>
      <c r="G6" t="s">
        <v>1209</v>
      </c>
      <c r="H6" s="5">
        <f>SUMPRODUCT(SUMIF(FinalPayment_NoReorg!$F$2:$F$331,FinalPayment!$D6:$F6,FinalPayment_NoReorg!$L$2:$L$331))+SUMPRODUCT(SUMIF(FinalPayment_NoReorg!$F$2:$F$331,FinalPayment!$D6:$F6,FinalPayment_NoReorg!$N$2:$N$331))</f>
        <v>153938</v>
      </c>
      <c r="I6" s="5">
        <f t="shared" si="1"/>
        <v>15394</v>
      </c>
      <c r="J6" s="5">
        <f t="shared" si="1"/>
        <v>15394</v>
      </c>
      <c r="K6" s="5">
        <f t="shared" si="1"/>
        <v>15394</v>
      </c>
      <c r="L6" s="5">
        <f t="shared" si="1"/>
        <v>15394</v>
      </c>
      <c r="M6" s="5">
        <f t="shared" si="2"/>
        <v>15394</v>
      </c>
      <c r="N6" s="5">
        <f t="shared" si="2"/>
        <v>15394</v>
      </c>
      <c r="O6" s="5">
        <f t="shared" si="2"/>
        <v>15394</v>
      </c>
      <c r="P6" s="5">
        <f t="shared" si="2"/>
        <v>15394</v>
      </c>
      <c r="Q6" s="5">
        <f t="shared" si="3"/>
        <v>15394</v>
      </c>
      <c r="R6" s="5">
        <f t="shared" si="4"/>
        <v>15392</v>
      </c>
      <c r="U6" s="8">
        <f t="shared" si="5"/>
        <v>0</v>
      </c>
      <c r="V6" s="8">
        <f>IFERROR(INDEX('Payment 1 through 9'!$A$1:$B$330,MATCH(CONCATENATE(FinalPayment!$F6,"0000"),'Payment 1 through 9'!$A$1:$A$330,0),2)*9,0)</f>
        <v>133182</v>
      </c>
      <c r="W6" s="8">
        <f>IFERROR(INDEX('FinalPayment 10'!$A$1:$B$330,MATCH(CONCATENATE(FinalPayment!$F6,"0000"),'FinalPayment 10'!$A$1:$A$330,0),2),0)</f>
        <v>14795</v>
      </c>
      <c r="X6" s="8">
        <f t="shared" si="6"/>
        <v>147977</v>
      </c>
      <c r="Y6" s="8">
        <f t="shared" si="7"/>
        <v>5961</v>
      </c>
    </row>
    <row r="7" spans="1:25" x14ac:dyDescent="0.55000000000000004">
      <c r="A7">
        <v>2021</v>
      </c>
      <c r="B7" t="s">
        <v>694</v>
      </c>
      <c r="C7" t="s">
        <v>679</v>
      </c>
      <c r="D7" t="s">
        <v>1207</v>
      </c>
      <c r="E7" t="s">
        <v>1207</v>
      </c>
      <c r="F7" t="s">
        <v>679</v>
      </c>
      <c r="G7" t="s">
        <v>21</v>
      </c>
      <c r="H7" s="5">
        <f>SUMPRODUCT(SUMIF(FinalPayment_NoReorg!$F$2:$F$331,FinalPayment!$D7:$F7,FinalPayment_NoReorg!$L$2:$L$331))+SUMPRODUCT(SUMIF(FinalPayment_NoReorg!$F$2:$F$331,FinalPayment!$D7:$F7,FinalPayment_NoReorg!$N$2:$N$331))</f>
        <v>114037</v>
      </c>
      <c r="I7" s="5">
        <f t="shared" si="1"/>
        <v>11404</v>
      </c>
      <c r="J7" s="5">
        <f t="shared" si="1"/>
        <v>11404</v>
      </c>
      <c r="K7" s="5">
        <f t="shared" si="1"/>
        <v>11404</v>
      </c>
      <c r="L7" s="5">
        <f t="shared" si="1"/>
        <v>11404</v>
      </c>
      <c r="M7" s="5">
        <f t="shared" si="2"/>
        <v>11404</v>
      </c>
      <c r="N7" s="5">
        <f t="shared" si="2"/>
        <v>11404</v>
      </c>
      <c r="O7" s="5">
        <f t="shared" si="2"/>
        <v>11404</v>
      </c>
      <c r="P7" s="5">
        <f t="shared" si="2"/>
        <v>11404</v>
      </c>
      <c r="Q7" s="5">
        <f t="shared" si="3"/>
        <v>11404</v>
      </c>
      <c r="R7" s="5">
        <f t="shared" si="4"/>
        <v>11401</v>
      </c>
      <c r="U7" s="8">
        <f t="shared" si="5"/>
        <v>0</v>
      </c>
      <c r="V7" s="8">
        <f>IFERROR(INDEX('Payment 1 through 9'!$A$1:$B$330,MATCH(CONCATENATE(FinalPayment!$F7,"0000"),'Payment 1 through 9'!$A$1:$A$330,0),2)*9,0)</f>
        <v>100710</v>
      </c>
      <c r="W7" s="8">
        <f>IFERROR(INDEX('FinalPayment 10'!$A$1:$B$330,MATCH(CONCATENATE(FinalPayment!$F7,"0000"),'FinalPayment 10'!$A$1:$A$330,0),2),0)</f>
        <v>11187</v>
      </c>
      <c r="X7" s="8">
        <f t="shared" si="6"/>
        <v>111897</v>
      </c>
      <c r="Y7" s="8">
        <f t="shared" si="7"/>
        <v>2140</v>
      </c>
    </row>
    <row r="8" spans="1:25" x14ac:dyDescent="0.55000000000000004">
      <c r="A8">
        <v>2021</v>
      </c>
      <c r="B8" t="s">
        <v>696</v>
      </c>
      <c r="C8" t="s">
        <v>678</v>
      </c>
      <c r="D8" t="s">
        <v>1207</v>
      </c>
      <c r="E8" t="s">
        <v>1207</v>
      </c>
      <c r="F8" t="s">
        <v>678</v>
      </c>
      <c r="G8" t="s">
        <v>22</v>
      </c>
      <c r="H8" s="5">
        <f>SUMPRODUCT(SUMIF(FinalPayment_NoReorg!$F$2:$F$331,FinalPayment!$D8:$F8,FinalPayment_NoReorg!$L$2:$L$331))+SUMPRODUCT(SUMIF(FinalPayment_NoReorg!$F$2:$F$331,FinalPayment!$D8:$F8,FinalPayment_NoReorg!$N$2:$N$331))</f>
        <v>30328</v>
      </c>
      <c r="I8" s="5">
        <f t="shared" si="1"/>
        <v>3033</v>
      </c>
      <c r="J8" s="5">
        <f t="shared" si="1"/>
        <v>3033</v>
      </c>
      <c r="K8" s="5">
        <f t="shared" si="1"/>
        <v>3033</v>
      </c>
      <c r="L8" s="5">
        <f t="shared" si="1"/>
        <v>3033</v>
      </c>
      <c r="M8" s="5">
        <f t="shared" si="2"/>
        <v>3033</v>
      </c>
      <c r="N8" s="5">
        <f t="shared" si="2"/>
        <v>3033</v>
      </c>
      <c r="O8" s="5">
        <f t="shared" si="2"/>
        <v>3033</v>
      </c>
      <c r="P8" s="5">
        <f t="shared" si="2"/>
        <v>3033</v>
      </c>
      <c r="Q8" s="5">
        <f t="shared" si="3"/>
        <v>3033</v>
      </c>
      <c r="R8" s="5">
        <f t="shared" si="4"/>
        <v>3031</v>
      </c>
      <c r="U8" s="8">
        <f t="shared" si="5"/>
        <v>0</v>
      </c>
      <c r="V8" s="8">
        <f>IFERROR(INDEX('Payment 1 through 9'!$A$1:$B$330,MATCH(CONCATENATE(FinalPayment!$F8,"0000"),'Payment 1 through 9'!$A$1:$A$330,0),2)*9,0)</f>
        <v>16218</v>
      </c>
      <c r="W8" s="8">
        <f>IFERROR(INDEX('FinalPayment 10'!$A$1:$B$330,MATCH(CONCATENATE(FinalPayment!$F8,"0000"),'FinalPayment 10'!$A$1:$A$330,0),2),0)</f>
        <v>1799</v>
      </c>
      <c r="X8" s="8">
        <f t="shared" si="6"/>
        <v>18017</v>
      </c>
      <c r="Y8" s="8">
        <f t="shared" si="7"/>
        <v>12311</v>
      </c>
    </row>
    <row r="9" spans="1:25" x14ac:dyDescent="0.55000000000000004">
      <c r="A9">
        <v>2021</v>
      </c>
      <c r="B9" t="s">
        <v>698</v>
      </c>
      <c r="C9" t="s">
        <v>677</v>
      </c>
      <c r="D9" t="s">
        <v>1207</v>
      </c>
      <c r="E9" t="s">
        <v>1207</v>
      </c>
      <c r="F9" t="s">
        <v>677</v>
      </c>
      <c r="G9" t="s">
        <v>23</v>
      </c>
      <c r="H9" s="5">
        <f>SUMPRODUCT(SUMIF(FinalPayment_NoReorg!$F$2:$F$331,FinalPayment!$D9:$F9,FinalPayment_NoReorg!$L$2:$L$331))+SUMPRODUCT(SUMIF(FinalPayment_NoReorg!$F$2:$F$331,FinalPayment!$D9:$F9,FinalPayment_NoReorg!$N$2:$N$331))</f>
        <v>146140</v>
      </c>
      <c r="I9" s="5">
        <f t="shared" si="1"/>
        <v>14614</v>
      </c>
      <c r="J9" s="5">
        <f t="shared" si="1"/>
        <v>14614</v>
      </c>
      <c r="K9" s="5">
        <f t="shared" si="1"/>
        <v>14614</v>
      </c>
      <c r="L9" s="5">
        <f t="shared" si="1"/>
        <v>14614</v>
      </c>
      <c r="M9" s="5">
        <f t="shared" si="2"/>
        <v>14614</v>
      </c>
      <c r="N9" s="5">
        <f t="shared" si="2"/>
        <v>14614</v>
      </c>
      <c r="O9" s="5">
        <f t="shared" si="2"/>
        <v>14614</v>
      </c>
      <c r="P9" s="5">
        <f t="shared" si="2"/>
        <v>14614</v>
      </c>
      <c r="Q9" s="5">
        <f t="shared" si="3"/>
        <v>14614</v>
      </c>
      <c r="R9" s="5">
        <f t="shared" si="4"/>
        <v>14614</v>
      </c>
      <c r="U9" s="8">
        <f t="shared" si="5"/>
        <v>0</v>
      </c>
      <c r="V9" s="8">
        <f>IFERROR(INDEX('Payment 1 through 9'!$A$1:$B$330,MATCH(CONCATENATE(FinalPayment!$F9,"0000"),'Payment 1 through 9'!$A$1:$A$330,0),2)*9,0)</f>
        <v>126630</v>
      </c>
      <c r="W9" s="8">
        <f>IFERROR(INDEX('FinalPayment 10'!$A$1:$B$330,MATCH(CONCATENATE(FinalPayment!$F9,"0000"),'FinalPayment 10'!$A$1:$A$330,0),2),0)</f>
        <v>14069</v>
      </c>
      <c r="X9" s="8">
        <f t="shared" si="6"/>
        <v>140699</v>
      </c>
      <c r="Y9" s="8">
        <f t="shared" si="7"/>
        <v>5441</v>
      </c>
    </row>
    <row r="10" spans="1:25" x14ac:dyDescent="0.55000000000000004">
      <c r="A10">
        <v>2021</v>
      </c>
      <c r="B10" t="s">
        <v>689</v>
      </c>
      <c r="C10" t="s">
        <v>676</v>
      </c>
      <c r="D10" t="s">
        <v>1207</v>
      </c>
      <c r="E10" t="s">
        <v>1207</v>
      </c>
      <c r="F10" t="s">
        <v>676</v>
      </c>
      <c r="G10" t="s">
        <v>24</v>
      </c>
      <c r="H10" s="5">
        <f>SUMPRODUCT(SUMIF(FinalPayment_NoReorg!$F$2:$F$331,FinalPayment!$D10:$F10,FinalPayment_NoReorg!$L$2:$L$331))+SUMPRODUCT(SUMIF(FinalPayment_NoReorg!$F$2:$F$331,FinalPayment!$D10:$F10,FinalPayment_NoReorg!$N$2:$N$331))</f>
        <v>44110</v>
      </c>
      <c r="I10" s="5">
        <f t="shared" si="1"/>
        <v>4411</v>
      </c>
      <c r="J10" s="5">
        <f t="shared" si="1"/>
        <v>4411</v>
      </c>
      <c r="K10" s="5">
        <f t="shared" si="1"/>
        <v>4411</v>
      </c>
      <c r="L10" s="5">
        <f t="shared" si="1"/>
        <v>4411</v>
      </c>
      <c r="M10" s="5">
        <f t="shared" si="2"/>
        <v>4411</v>
      </c>
      <c r="N10" s="5">
        <f t="shared" si="2"/>
        <v>4411</v>
      </c>
      <c r="O10" s="5">
        <f t="shared" si="2"/>
        <v>4411</v>
      </c>
      <c r="P10" s="5">
        <f t="shared" si="2"/>
        <v>4411</v>
      </c>
      <c r="Q10" s="5">
        <f t="shared" si="3"/>
        <v>4411</v>
      </c>
      <c r="R10" s="5">
        <f t="shared" si="4"/>
        <v>4411</v>
      </c>
      <c r="U10" s="8">
        <f t="shared" si="5"/>
        <v>0</v>
      </c>
      <c r="V10" s="8">
        <f>IFERROR(INDEX('Payment 1 through 9'!$A$1:$B$330,MATCH(CONCATENATE(FinalPayment!$F10,"0000"),'Payment 1 through 9'!$A$1:$A$330,0),2)*9,0)</f>
        <v>37089</v>
      </c>
      <c r="W10" s="8">
        <f>IFERROR(INDEX('FinalPayment 10'!$A$1:$B$330,MATCH(CONCATENATE(FinalPayment!$F10,"0000"),'FinalPayment 10'!$A$1:$A$330,0),2),0)</f>
        <v>4120</v>
      </c>
      <c r="X10" s="8">
        <f t="shared" si="6"/>
        <v>41209</v>
      </c>
      <c r="Y10" s="8">
        <f t="shared" si="7"/>
        <v>2901</v>
      </c>
    </row>
    <row r="11" spans="1:25" x14ac:dyDescent="0.55000000000000004">
      <c r="A11">
        <v>2021</v>
      </c>
      <c r="B11" t="s">
        <v>694</v>
      </c>
      <c r="C11" t="s">
        <v>675</v>
      </c>
      <c r="D11" t="s">
        <v>701</v>
      </c>
      <c r="E11" t="s">
        <v>1207</v>
      </c>
      <c r="F11" t="s">
        <v>675</v>
      </c>
      <c r="G11" t="s">
        <v>25</v>
      </c>
      <c r="H11" s="5">
        <f>SUMPRODUCT(SUMIF(FinalPayment_NoReorg!$F$2:$F$331,FinalPayment!$D11:$F11,FinalPayment_NoReorg!$L$2:$L$331))+SUMPRODUCT(SUMIF(FinalPayment_NoReorg!$F$2:$F$331,FinalPayment!$D11:$F11,FinalPayment_NoReorg!$N$2:$N$331))</f>
        <v>138972</v>
      </c>
      <c r="I11" s="5">
        <f t="shared" si="1"/>
        <v>13897</v>
      </c>
      <c r="J11" s="5">
        <f t="shared" si="1"/>
        <v>13897</v>
      </c>
      <c r="K11" s="5">
        <f t="shared" si="1"/>
        <v>13897</v>
      </c>
      <c r="L11" s="5">
        <f t="shared" si="1"/>
        <v>13897</v>
      </c>
      <c r="M11" s="5">
        <f t="shared" si="2"/>
        <v>13897</v>
      </c>
      <c r="N11" s="5">
        <f t="shared" si="2"/>
        <v>13897</v>
      </c>
      <c r="O11" s="5">
        <f t="shared" si="2"/>
        <v>13897</v>
      </c>
      <c r="P11" s="5">
        <f t="shared" si="2"/>
        <v>13897</v>
      </c>
      <c r="Q11" s="5">
        <f t="shared" si="3"/>
        <v>13897</v>
      </c>
      <c r="R11" s="5">
        <f t="shared" si="4"/>
        <v>13899</v>
      </c>
      <c r="U11" s="8">
        <f t="shared" si="5"/>
        <v>0</v>
      </c>
      <c r="V11" s="8">
        <f>IFERROR(INDEX('Payment 1 through 9'!$A$1:$B$330,MATCH(CONCATENATE(FinalPayment!$F11,"0000"),'Payment 1 through 9'!$A$1:$A$330,0),2)*9,0)</f>
        <v>112887</v>
      </c>
      <c r="W11" s="8">
        <f>IFERROR(INDEX('FinalPayment 10'!$A$1:$B$330,MATCH(CONCATENATE(FinalPayment!$F11,"0000"),'FinalPayment 10'!$A$1:$A$330,0),2),0)</f>
        <v>12542</v>
      </c>
      <c r="X11" s="8">
        <f t="shared" si="6"/>
        <v>125429</v>
      </c>
      <c r="Y11" s="8">
        <f t="shared" si="7"/>
        <v>13543</v>
      </c>
    </row>
    <row r="12" spans="1:25" x14ac:dyDescent="0.55000000000000004">
      <c r="A12">
        <v>2021</v>
      </c>
      <c r="B12" t="s">
        <v>703</v>
      </c>
      <c r="C12" t="s">
        <v>674</v>
      </c>
      <c r="D12" t="s">
        <v>1207</v>
      </c>
      <c r="E12" t="s">
        <v>1207</v>
      </c>
      <c r="F12" t="s">
        <v>674</v>
      </c>
      <c r="G12" t="s">
        <v>26</v>
      </c>
      <c r="H12" s="5">
        <f>SUMPRODUCT(SUMIF(FinalPayment_NoReorg!$F$2:$F$331,FinalPayment!$D12:$F12,FinalPayment_NoReorg!$L$2:$L$331))+SUMPRODUCT(SUMIF(FinalPayment_NoReorg!$F$2:$F$331,FinalPayment!$D12:$F12,FinalPayment_NoReorg!$N$2:$N$331))</f>
        <v>337781</v>
      </c>
      <c r="I12" s="5">
        <f t="shared" si="1"/>
        <v>33778</v>
      </c>
      <c r="J12" s="5">
        <f t="shared" si="1"/>
        <v>33778</v>
      </c>
      <c r="K12" s="5">
        <f t="shared" si="1"/>
        <v>33778</v>
      </c>
      <c r="L12" s="5">
        <f t="shared" si="1"/>
        <v>33778</v>
      </c>
      <c r="M12" s="5">
        <f t="shared" si="2"/>
        <v>33778</v>
      </c>
      <c r="N12" s="5">
        <f t="shared" si="2"/>
        <v>33778</v>
      </c>
      <c r="O12" s="5">
        <f t="shared" si="2"/>
        <v>33778</v>
      </c>
      <c r="P12" s="5">
        <f t="shared" si="2"/>
        <v>33778</v>
      </c>
      <c r="Q12" s="5">
        <f t="shared" si="3"/>
        <v>33778</v>
      </c>
      <c r="R12" s="5">
        <f t="shared" si="4"/>
        <v>33779</v>
      </c>
      <c r="U12" s="8">
        <f t="shared" si="5"/>
        <v>0</v>
      </c>
      <c r="V12" s="8">
        <f>IFERROR(INDEX('Payment 1 through 9'!$A$1:$B$330,MATCH(CONCATENATE(FinalPayment!$F12,"0000"),'Payment 1 through 9'!$A$1:$A$330,0),2)*9,0)</f>
        <v>293598</v>
      </c>
      <c r="W12" s="8">
        <f>IFERROR(INDEX('FinalPayment 10'!$A$1:$B$330,MATCH(CONCATENATE(FinalPayment!$F12,"0000"),'FinalPayment 10'!$A$1:$A$330,0),2),0)</f>
        <v>32625</v>
      </c>
      <c r="X12" s="8">
        <f t="shared" si="6"/>
        <v>326223</v>
      </c>
      <c r="Y12" s="8">
        <f t="shared" si="7"/>
        <v>11558</v>
      </c>
    </row>
    <row r="13" spans="1:25" x14ac:dyDescent="0.55000000000000004">
      <c r="A13">
        <v>2021</v>
      </c>
      <c r="B13" t="s">
        <v>694</v>
      </c>
      <c r="C13" t="s">
        <v>672</v>
      </c>
      <c r="D13" t="s">
        <v>662</v>
      </c>
      <c r="E13" t="s">
        <v>1207</v>
      </c>
      <c r="F13" t="s">
        <v>672</v>
      </c>
      <c r="G13" t="s">
        <v>1210</v>
      </c>
      <c r="H13" s="5">
        <f>SUMPRODUCT(SUMIF(FinalPayment_NoReorg!$F$2:$F$331,FinalPayment!$D13:$F13,FinalPayment_NoReorg!$L$2:$L$331))+SUMPRODUCT(SUMIF(FinalPayment_NoReorg!$F$2:$F$331,FinalPayment!$D13:$F13,FinalPayment_NoReorg!$N$2:$N$331))</f>
        <v>53422</v>
      </c>
      <c r="I13" s="5">
        <f t="shared" si="1"/>
        <v>5342</v>
      </c>
      <c r="J13" s="5">
        <f t="shared" si="1"/>
        <v>5342</v>
      </c>
      <c r="K13" s="5">
        <f t="shared" si="1"/>
        <v>5342</v>
      </c>
      <c r="L13" s="5">
        <f t="shared" si="1"/>
        <v>5342</v>
      </c>
      <c r="M13" s="5">
        <f t="shared" si="2"/>
        <v>5342</v>
      </c>
      <c r="N13" s="5">
        <f t="shared" si="2"/>
        <v>5342</v>
      </c>
      <c r="O13" s="5">
        <f t="shared" si="2"/>
        <v>5342</v>
      </c>
      <c r="P13" s="5">
        <f t="shared" si="2"/>
        <v>5342</v>
      </c>
      <c r="Q13" s="5">
        <f t="shared" si="3"/>
        <v>5342</v>
      </c>
      <c r="R13" s="5">
        <f t="shared" si="4"/>
        <v>5344</v>
      </c>
      <c r="U13" s="8">
        <f t="shared" si="5"/>
        <v>0</v>
      </c>
      <c r="V13" s="8">
        <f>IFERROR(INDEX('Payment 1 through 9'!$A$1:$B$330,MATCH(CONCATENATE(FinalPayment!$F13,"0000"),'Payment 1 through 9'!$A$1:$A$330,0),2)*9,0)</f>
        <v>40338</v>
      </c>
      <c r="W13" s="8">
        <f>IFERROR(INDEX('FinalPayment 10'!$A$1:$B$330,MATCH(CONCATENATE(FinalPayment!$F13,"0000"),'FinalPayment 10'!$A$1:$A$330,0),2),0)</f>
        <v>4482</v>
      </c>
      <c r="X13" s="8">
        <f t="shared" si="6"/>
        <v>44820</v>
      </c>
      <c r="Y13" s="8">
        <f t="shared" si="7"/>
        <v>8602</v>
      </c>
    </row>
    <row r="14" spans="1:25" x14ac:dyDescent="0.55000000000000004">
      <c r="A14">
        <v>2021</v>
      </c>
      <c r="B14" t="s">
        <v>686</v>
      </c>
      <c r="C14" t="s">
        <v>671</v>
      </c>
      <c r="D14" t="s">
        <v>1207</v>
      </c>
      <c r="E14" t="s">
        <v>1207</v>
      </c>
      <c r="F14" t="s">
        <v>671</v>
      </c>
      <c r="G14" t="s">
        <v>28</v>
      </c>
      <c r="H14" s="5">
        <f>SUMPRODUCT(SUMIF(FinalPayment_NoReorg!$F$2:$F$331,FinalPayment!$D14:$F14,FinalPayment_NoReorg!$L$2:$L$331))+SUMPRODUCT(SUMIF(FinalPayment_NoReorg!$F$2:$F$331,FinalPayment!$D14:$F14,FinalPayment_NoReorg!$N$2:$N$331))</f>
        <v>855668</v>
      </c>
      <c r="I14" s="5">
        <f t="shared" si="1"/>
        <v>85567</v>
      </c>
      <c r="J14" s="5">
        <f t="shared" si="1"/>
        <v>85567</v>
      </c>
      <c r="K14" s="5">
        <f t="shared" si="1"/>
        <v>85567</v>
      </c>
      <c r="L14" s="5">
        <f t="shared" si="1"/>
        <v>85567</v>
      </c>
      <c r="M14" s="5">
        <f t="shared" si="2"/>
        <v>85567</v>
      </c>
      <c r="N14" s="5">
        <f t="shared" si="2"/>
        <v>85567</v>
      </c>
      <c r="O14" s="5">
        <f t="shared" si="2"/>
        <v>85567</v>
      </c>
      <c r="P14" s="5">
        <f t="shared" si="2"/>
        <v>85567</v>
      </c>
      <c r="Q14" s="5">
        <f t="shared" si="3"/>
        <v>85567</v>
      </c>
      <c r="R14" s="5">
        <f t="shared" si="4"/>
        <v>85565</v>
      </c>
      <c r="U14" s="8">
        <f t="shared" si="5"/>
        <v>0</v>
      </c>
      <c r="V14" s="8">
        <f>IFERROR(INDEX('Payment 1 through 9'!$A$1:$B$330,MATCH(CONCATENATE(FinalPayment!$F14,"0000"),'Payment 1 through 9'!$A$1:$A$330,0),2)*9,0)</f>
        <v>728316</v>
      </c>
      <c r="W14" s="8">
        <f>IFERROR(INDEX('FinalPayment 10'!$A$1:$B$330,MATCH(CONCATENATE(FinalPayment!$F14,"0000"),'FinalPayment 10'!$A$1:$A$330,0),2),0)</f>
        <v>80925</v>
      </c>
      <c r="X14" s="8">
        <f t="shared" si="6"/>
        <v>809241</v>
      </c>
      <c r="Y14" s="8">
        <f t="shared" si="7"/>
        <v>46427</v>
      </c>
    </row>
    <row r="15" spans="1:25" x14ac:dyDescent="0.55000000000000004">
      <c r="A15">
        <v>2021</v>
      </c>
      <c r="B15" t="s">
        <v>698</v>
      </c>
      <c r="C15" t="s">
        <v>670</v>
      </c>
      <c r="D15" t="s">
        <v>1207</v>
      </c>
      <c r="E15" t="s">
        <v>1207</v>
      </c>
      <c r="F15" t="s">
        <v>670</v>
      </c>
      <c r="G15" t="s">
        <v>29</v>
      </c>
      <c r="H15" s="5">
        <f>SUMPRODUCT(SUMIF(FinalPayment_NoReorg!$F$2:$F$331,FinalPayment!$D15:$F15,FinalPayment_NoReorg!$L$2:$L$331))+SUMPRODUCT(SUMIF(FinalPayment_NoReorg!$F$2:$F$331,FinalPayment!$D15:$F15,FinalPayment_NoReorg!$N$2:$N$331))</f>
        <v>1037</v>
      </c>
      <c r="I15" s="5">
        <f t="shared" si="1"/>
        <v>104</v>
      </c>
      <c r="J15" s="5">
        <f t="shared" si="1"/>
        <v>104</v>
      </c>
      <c r="K15" s="5">
        <f t="shared" si="1"/>
        <v>104</v>
      </c>
      <c r="L15" s="5">
        <f t="shared" si="1"/>
        <v>104</v>
      </c>
      <c r="M15" s="5">
        <f t="shared" si="2"/>
        <v>104</v>
      </c>
      <c r="N15" s="5">
        <f t="shared" si="2"/>
        <v>104</v>
      </c>
      <c r="O15" s="5">
        <f t="shared" si="2"/>
        <v>104</v>
      </c>
      <c r="P15" s="5">
        <f t="shared" si="2"/>
        <v>104</v>
      </c>
      <c r="Q15" s="5">
        <f t="shared" si="3"/>
        <v>104</v>
      </c>
      <c r="R15" s="5">
        <f t="shared" si="4"/>
        <v>101</v>
      </c>
      <c r="U15" s="8">
        <f t="shared" si="5"/>
        <v>0</v>
      </c>
      <c r="V15" s="8">
        <f>IFERROR(INDEX('Payment 1 through 9'!$A$1:$B$330,MATCH(CONCATENATE(FinalPayment!$F15,"0000"),'Payment 1 through 9'!$A$1:$A$330,0),2)*9,0)</f>
        <v>0</v>
      </c>
      <c r="W15" s="8">
        <f>IFERROR(INDEX('FinalPayment 10'!$A$1:$B$330,MATCH(CONCATENATE(FinalPayment!$F15,"0000"),'FinalPayment 10'!$A$1:$A$330,0),2),0)</f>
        <v>0</v>
      </c>
      <c r="X15" s="8">
        <f t="shared" si="6"/>
        <v>0</v>
      </c>
      <c r="Y15" s="8">
        <f t="shared" si="7"/>
        <v>1037</v>
      </c>
    </row>
    <row r="16" spans="1:25" x14ac:dyDescent="0.55000000000000004">
      <c r="A16">
        <v>2021</v>
      </c>
      <c r="B16" t="s">
        <v>707</v>
      </c>
      <c r="C16" t="s">
        <v>669</v>
      </c>
      <c r="D16" t="s">
        <v>1207</v>
      </c>
      <c r="E16" t="s">
        <v>1207</v>
      </c>
      <c r="F16" t="s">
        <v>669</v>
      </c>
      <c r="G16" t="s">
        <v>30</v>
      </c>
      <c r="H16" s="5">
        <f>SUMPRODUCT(SUMIF(FinalPayment_NoReorg!$F$2:$F$331,FinalPayment!$D16:$F16,FinalPayment_NoReorg!$L$2:$L$331))+SUMPRODUCT(SUMIF(FinalPayment_NoReorg!$F$2:$F$331,FinalPayment!$D16:$F16,FinalPayment_NoReorg!$N$2:$N$331))</f>
        <v>70634</v>
      </c>
      <c r="I16" s="5">
        <f t="shared" si="1"/>
        <v>7063</v>
      </c>
      <c r="J16" s="5">
        <f t="shared" si="1"/>
        <v>7063</v>
      </c>
      <c r="K16" s="5">
        <f t="shared" si="1"/>
        <v>7063</v>
      </c>
      <c r="L16" s="5">
        <f t="shared" si="1"/>
        <v>7063</v>
      </c>
      <c r="M16" s="5">
        <f t="shared" si="2"/>
        <v>7063</v>
      </c>
      <c r="N16" s="5">
        <f t="shared" si="2"/>
        <v>7063</v>
      </c>
      <c r="O16" s="5">
        <f t="shared" si="2"/>
        <v>7063</v>
      </c>
      <c r="P16" s="5">
        <f t="shared" si="2"/>
        <v>7063</v>
      </c>
      <c r="Q16" s="5">
        <f t="shared" si="3"/>
        <v>7063</v>
      </c>
      <c r="R16" s="5">
        <f t="shared" si="4"/>
        <v>7067</v>
      </c>
      <c r="U16" s="8">
        <f t="shared" si="5"/>
        <v>0</v>
      </c>
      <c r="V16" s="8">
        <f>IFERROR(INDEX('Payment 1 through 9'!$A$1:$B$330,MATCH(CONCATENATE(FinalPayment!$F16,"0000"),'Payment 1 through 9'!$A$1:$A$330,0),2)*9,0)</f>
        <v>61281</v>
      </c>
      <c r="W16" s="8">
        <f>IFERROR(INDEX('FinalPayment 10'!$A$1:$B$330,MATCH(CONCATENATE(FinalPayment!$F16,"0000"),'FinalPayment 10'!$A$1:$A$330,0),2),0)</f>
        <v>6810</v>
      </c>
      <c r="X16" s="8">
        <f t="shared" si="6"/>
        <v>68091</v>
      </c>
      <c r="Y16" s="8">
        <f t="shared" si="7"/>
        <v>2543</v>
      </c>
    </row>
    <row r="17" spans="1:25" x14ac:dyDescent="0.55000000000000004">
      <c r="A17">
        <v>2021</v>
      </c>
      <c r="B17" t="s">
        <v>686</v>
      </c>
      <c r="C17" t="s">
        <v>668</v>
      </c>
      <c r="D17" t="s">
        <v>1207</v>
      </c>
      <c r="E17" t="s">
        <v>1207</v>
      </c>
      <c r="F17" t="s">
        <v>668</v>
      </c>
      <c r="G17" t="s">
        <v>31</v>
      </c>
      <c r="H17" s="5">
        <f>SUMPRODUCT(SUMIF(FinalPayment_NoReorg!$F$2:$F$331,FinalPayment!$D17:$F17,FinalPayment_NoReorg!$L$2:$L$331))+SUMPRODUCT(SUMIF(FinalPayment_NoReorg!$F$2:$F$331,FinalPayment!$D17:$F17,FinalPayment_NoReorg!$N$2:$N$331))</f>
        <v>9804</v>
      </c>
      <c r="I17" s="5">
        <f t="shared" si="1"/>
        <v>980</v>
      </c>
      <c r="J17" s="5">
        <f t="shared" si="1"/>
        <v>980</v>
      </c>
      <c r="K17" s="5">
        <f t="shared" si="1"/>
        <v>980</v>
      </c>
      <c r="L17" s="5">
        <f t="shared" si="1"/>
        <v>980</v>
      </c>
      <c r="M17" s="5">
        <f t="shared" si="2"/>
        <v>980</v>
      </c>
      <c r="N17" s="5">
        <f t="shared" si="2"/>
        <v>980</v>
      </c>
      <c r="O17" s="5">
        <f t="shared" si="2"/>
        <v>980</v>
      </c>
      <c r="P17" s="5">
        <f t="shared" si="2"/>
        <v>980</v>
      </c>
      <c r="Q17" s="5">
        <f t="shared" si="3"/>
        <v>980</v>
      </c>
      <c r="R17" s="5">
        <f t="shared" si="4"/>
        <v>984</v>
      </c>
      <c r="U17" s="8">
        <f t="shared" si="5"/>
        <v>0</v>
      </c>
      <c r="V17" s="8">
        <f>IFERROR(INDEX('Payment 1 through 9'!$A$1:$B$330,MATCH(CONCATENATE(FinalPayment!$F17,"0000"),'Payment 1 through 9'!$A$1:$A$330,0),2)*9,0)</f>
        <v>0</v>
      </c>
      <c r="W17" s="8">
        <f>IFERROR(INDEX('FinalPayment 10'!$A$1:$B$330,MATCH(CONCATENATE(FinalPayment!$F17,"0000"),'FinalPayment 10'!$A$1:$A$330,0),2),0)</f>
        <v>0</v>
      </c>
      <c r="X17" s="8">
        <f t="shared" si="6"/>
        <v>0</v>
      </c>
      <c r="Y17" s="8">
        <f t="shared" si="7"/>
        <v>9804</v>
      </c>
    </row>
    <row r="18" spans="1:25" x14ac:dyDescent="0.55000000000000004">
      <c r="A18">
        <v>2021</v>
      </c>
      <c r="B18" t="s">
        <v>689</v>
      </c>
      <c r="C18" t="s">
        <v>667</v>
      </c>
      <c r="D18" t="s">
        <v>1207</v>
      </c>
      <c r="E18" t="s">
        <v>1207</v>
      </c>
      <c r="F18" t="s">
        <v>667</v>
      </c>
      <c r="G18" t="s">
        <v>32</v>
      </c>
      <c r="H18" s="5">
        <f>SUMPRODUCT(SUMIF(FinalPayment_NoReorg!$F$2:$F$331,FinalPayment!$D18:$F18,FinalPayment_NoReorg!$L$2:$L$331))+SUMPRODUCT(SUMIF(FinalPayment_NoReorg!$F$2:$F$331,FinalPayment!$D18:$F18,FinalPayment_NoReorg!$N$2:$N$331))</f>
        <v>39176</v>
      </c>
      <c r="I18" s="5">
        <f t="shared" si="1"/>
        <v>3918</v>
      </c>
      <c r="J18" s="5">
        <f t="shared" si="1"/>
        <v>3918</v>
      </c>
      <c r="K18" s="5">
        <f t="shared" si="1"/>
        <v>3918</v>
      </c>
      <c r="L18" s="5">
        <f t="shared" si="1"/>
        <v>3918</v>
      </c>
      <c r="M18" s="5">
        <f t="shared" si="2"/>
        <v>3918</v>
      </c>
      <c r="N18" s="5">
        <f t="shared" si="2"/>
        <v>3918</v>
      </c>
      <c r="O18" s="5">
        <f t="shared" si="2"/>
        <v>3918</v>
      </c>
      <c r="P18" s="5">
        <f t="shared" si="2"/>
        <v>3918</v>
      </c>
      <c r="Q18" s="5">
        <f t="shared" si="3"/>
        <v>3918</v>
      </c>
      <c r="R18" s="5">
        <f t="shared" si="4"/>
        <v>3914</v>
      </c>
      <c r="U18" s="8">
        <f t="shared" si="5"/>
        <v>0</v>
      </c>
      <c r="V18" s="8">
        <f>IFERROR(INDEX('Payment 1 through 9'!$A$1:$B$330,MATCH(CONCATENATE(FinalPayment!$F18,"0000"),'Payment 1 through 9'!$A$1:$A$330,0),2)*9,0)</f>
        <v>27612</v>
      </c>
      <c r="W18" s="8">
        <f>IFERROR(INDEX('FinalPayment 10'!$A$1:$B$330,MATCH(CONCATENATE(FinalPayment!$F18,"0000"),'FinalPayment 10'!$A$1:$A$330,0),2),0)</f>
        <v>3063</v>
      </c>
      <c r="X18" s="8">
        <f t="shared" si="6"/>
        <v>30675</v>
      </c>
      <c r="Y18" s="8">
        <f t="shared" si="7"/>
        <v>8501</v>
      </c>
    </row>
    <row r="19" spans="1:25" x14ac:dyDescent="0.55000000000000004">
      <c r="A19">
        <v>2021</v>
      </c>
      <c r="B19" t="s">
        <v>692</v>
      </c>
      <c r="C19" t="s">
        <v>665</v>
      </c>
      <c r="D19" t="s">
        <v>1207</v>
      </c>
      <c r="E19" t="s">
        <v>1207</v>
      </c>
      <c r="F19" t="s">
        <v>665</v>
      </c>
      <c r="G19" t="s">
        <v>33</v>
      </c>
      <c r="H19" s="5">
        <f>SUMPRODUCT(SUMIF(FinalPayment_NoReorg!$F$2:$F$331,FinalPayment!$D19:$F19,FinalPayment_NoReorg!$L$2:$L$331))+SUMPRODUCT(SUMIF(FinalPayment_NoReorg!$F$2:$F$331,FinalPayment!$D19:$F19,FinalPayment_NoReorg!$N$2:$N$331))</f>
        <v>91304</v>
      </c>
      <c r="I19" s="5">
        <f t="shared" si="1"/>
        <v>9130</v>
      </c>
      <c r="J19" s="5">
        <f t="shared" si="1"/>
        <v>9130</v>
      </c>
      <c r="K19" s="5">
        <f t="shared" si="1"/>
        <v>9130</v>
      </c>
      <c r="L19" s="5">
        <f t="shared" si="1"/>
        <v>9130</v>
      </c>
      <c r="M19" s="5">
        <f t="shared" si="2"/>
        <v>9130</v>
      </c>
      <c r="N19" s="5">
        <f t="shared" si="2"/>
        <v>9130</v>
      </c>
      <c r="O19" s="5">
        <f t="shared" si="2"/>
        <v>9130</v>
      </c>
      <c r="P19" s="5">
        <f t="shared" si="2"/>
        <v>9130</v>
      </c>
      <c r="Q19" s="5">
        <f t="shared" si="3"/>
        <v>9130</v>
      </c>
      <c r="R19" s="5">
        <f t="shared" si="4"/>
        <v>9134</v>
      </c>
      <c r="U19" s="8">
        <f t="shared" si="5"/>
        <v>0</v>
      </c>
      <c r="V19" s="8">
        <f>IFERROR(INDEX('Payment 1 through 9'!$A$1:$B$330,MATCH(CONCATENATE(FinalPayment!$F19,"0000"),'Payment 1 through 9'!$A$1:$A$330,0),2)*9,0)</f>
        <v>79524</v>
      </c>
      <c r="W19" s="8">
        <f>IFERROR(INDEX('FinalPayment 10'!$A$1:$B$330,MATCH(CONCATENATE(FinalPayment!$F19,"0000"),'FinalPayment 10'!$A$1:$A$330,0),2),0)</f>
        <v>8837</v>
      </c>
      <c r="X19" s="8">
        <f t="shared" si="6"/>
        <v>88361</v>
      </c>
      <c r="Y19" s="8">
        <f t="shared" si="7"/>
        <v>2943</v>
      </c>
    </row>
    <row r="20" spans="1:25" x14ac:dyDescent="0.55000000000000004">
      <c r="A20">
        <v>2021</v>
      </c>
      <c r="B20" t="s">
        <v>690</v>
      </c>
      <c r="C20" t="s">
        <v>664</v>
      </c>
      <c r="D20" t="s">
        <v>1207</v>
      </c>
      <c r="E20" t="s">
        <v>1207</v>
      </c>
      <c r="F20" t="s">
        <v>664</v>
      </c>
      <c r="G20" t="s">
        <v>34</v>
      </c>
      <c r="H20" s="5">
        <f>SUMPRODUCT(SUMIF(FinalPayment_NoReorg!$F$2:$F$331,FinalPayment!$D20:$F20,FinalPayment_NoReorg!$L$2:$L$331))+SUMPRODUCT(SUMIF(FinalPayment_NoReorg!$F$2:$F$331,FinalPayment!$D20:$F20,FinalPayment_NoReorg!$N$2:$N$331))</f>
        <v>1088</v>
      </c>
      <c r="I20" s="5">
        <f t="shared" si="1"/>
        <v>109</v>
      </c>
      <c r="J20" s="5">
        <f t="shared" si="1"/>
        <v>109</v>
      </c>
      <c r="K20" s="5">
        <f t="shared" si="1"/>
        <v>109</v>
      </c>
      <c r="L20" s="5">
        <f t="shared" si="1"/>
        <v>109</v>
      </c>
      <c r="M20" s="5">
        <f t="shared" si="2"/>
        <v>109</v>
      </c>
      <c r="N20" s="5">
        <f t="shared" si="2"/>
        <v>109</v>
      </c>
      <c r="O20" s="5">
        <f t="shared" si="2"/>
        <v>109</v>
      </c>
      <c r="P20" s="5">
        <f t="shared" si="2"/>
        <v>109</v>
      </c>
      <c r="Q20" s="5">
        <f t="shared" si="3"/>
        <v>109</v>
      </c>
      <c r="R20" s="5">
        <f t="shared" si="4"/>
        <v>107</v>
      </c>
      <c r="U20" s="8">
        <f t="shared" si="5"/>
        <v>0</v>
      </c>
      <c r="V20" s="8">
        <f>IFERROR(INDEX('Payment 1 through 9'!$A$1:$B$330,MATCH(CONCATENATE(FinalPayment!$F20,"0000"),'Payment 1 through 9'!$A$1:$A$330,0),2)*9,0)</f>
        <v>0</v>
      </c>
      <c r="W20" s="8">
        <f>IFERROR(INDEX('FinalPayment 10'!$A$1:$B$330,MATCH(CONCATENATE(FinalPayment!$F20,"0000"),'FinalPayment 10'!$A$1:$A$330,0),2),0)</f>
        <v>0</v>
      </c>
      <c r="X20" s="8">
        <f t="shared" si="6"/>
        <v>0</v>
      </c>
      <c r="Y20" s="8">
        <f t="shared" si="7"/>
        <v>1088</v>
      </c>
    </row>
    <row r="21" spans="1:25" x14ac:dyDescent="0.55000000000000004">
      <c r="A21">
        <v>2021</v>
      </c>
      <c r="B21" t="s">
        <v>686</v>
      </c>
      <c r="C21" t="s">
        <v>663</v>
      </c>
      <c r="D21" t="s">
        <v>1207</v>
      </c>
      <c r="E21" t="s">
        <v>1207</v>
      </c>
      <c r="F21" t="s">
        <v>663</v>
      </c>
      <c r="G21" t="s">
        <v>35</v>
      </c>
      <c r="H21" s="5">
        <f>SUMPRODUCT(SUMIF(FinalPayment_NoReorg!$F$2:$F$331,FinalPayment!$D21:$F21,FinalPayment_NoReorg!$L$2:$L$331))+SUMPRODUCT(SUMIF(FinalPayment_NoReorg!$F$2:$F$331,FinalPayment!$D21:$F21,FinalPayment_NoReorg!$N$2:$N$331))</f>
        <v>24485</v>
      </c>
      <c r="I21" s="5">
        <f t="shared" si="1"/>
        <v>2449</v>
      </c>
      <c r="J21" s="5">
        <f t="shared" si="1"/>
        <v>2449</v>
      </c>
      <c r="K21" s="5">
        <f t="shared" si="1"/>
        <v>2449</v>
      </c>
      <c r="L21" s="5">
        <f t="shared" si="1"/>
        <v>2449</v>
      </c>
      <c r="M21" s="5">
        <f t="shared" si="2"/>
        <v>2449</v>
      </c>
      <c r="N21" s="5">
        <f t="shared" si="2"/>
        <v>2449</v>
      </c>
      <c r="O21" s="5">
        <f t="shared" si="2"/>
        <v>2449</v>
      </c>
      <c r="P21" s="5">
        <f t="shared" si="2"/>
        <v>2449</v>
      </c>
      <c r="Q21" s="5">
        <f t="shared" si="3"/>
        <v>2449</v>
      </c>
      <c r="R21" s="5">
        <f t="shared" si="4"/>
        <v>2444</v>
      </c>
      <c r="U21" s="8">
        <f t="shared" si="5"/>
        <v>0</v>
      </c>
      <c r="V21" s="8">
        <f>IFERROR(INDEX('Payment 1 through 9'!$A$1:$B$330,MATCH(CONCATENATE(FinalPayment!$F21,"0000"),'Payment 1 through 9'!$A$1:$A$330,0),2)*9,0)</f>
        <v>17289</v>
      </c>
      <c r="W21" s="8">
        <f>IFERROR(INDEX('FinalPayment 10'!$A$1:$B$330,MATCH(CONCATENATE(FinalPayment!$F21,"0000"),'FinalPayment 10'!$A$1:$A$330,0),2),0)</f>
        <v>1917</v>
      </c>
      <c r="X21" s="8">
        <f t="shared" si="6"/>
        <v>19206</v>
      </c>
      <c r="Y21" s="8">
        <f t="shared" si="7"/>
        <v>5279</v>
      </c>
    </row>
    <row r="22" spans="1:25" x14ac:dyDescent="0.55000000000000004">
      <c r="A22">
        <v>2021</v>
      </c>
      <c r="B22" t="s">
        <v>686</v>
      </c>
      <c r="C22" t="s">
        <v>660</v>
      </c>
      <c r="D22" t="s">
        <v>1207</v>
      </c>
      <c r="E22" t="s">
        <v>1207</v>
      </c>
      <c r="F22" t="s">
        <v>660</v>
      </c>
      <c r="G22" t="s">
        <v>37</v>
      </c>
      <c r="H22" s="5">
        <f>SUMPRODUCT(SUMIF(FinalPayment_NoReorg!$F$2:$F$331,FinalPayment!$D22:$F22,FinalPayment_NoReorg!$L$2:$L$331))+SUMPRODUCT(SUMIF(FinalPayment_NoReorg!$F$2:$F$331,FinalPayment!$D22:$F22,FinalPayment_NoReorg!$N$2:$N$331))</f>
        <v>58368</v>
      </c>
      <c r="I22" s="5">
        <f t="shared" si="1"/>
        <v>5837</v>
      </c>
      <c r="J22" s="5">
        <f t="shared" si="1"/>
        <v>5837</v>
      </c>
      <c r="K22" s="5">
        <f t="shared" si="1"/>
        <v>5837</v>
      </c>
      <c r="L22" s="5">
        <f t="shared" si="1"/>
        <v>5837</v>
      </c>
      <c r="M22" s="5">
        <f t="shared" si="2"/>
        <v>5837</v>
      </c>
      <c r="N22" s="5">
        <f t="shared" si="2"/>
        <v>5837</v>
      </c>
      <c r="O22" s="5">
        <f t="shared" si="2"/>
        <v>5837</v>
      </c>
      <c r="P22" s="5">
        <f t="shared" si="2"/>
        <v>5837</v>
      </c>
      <c r="Q22" s="5">
        <f t="shared" si="3"/>
        <v>5837</v>
      </c>
      <c r="R22" s="5">
        <f t="shared" si="4"/>
        <v>5835</v>
      </c>
      <c r="U22" s="8">
        <f t="shared" si="5"/>
        <v>0</v>
      </c>
      <c r="V22" s="8">
        <f>IFERROR(INDEX('Payment 1 through 9'!$A$1:$B$330,MATCH(CONCATENATE(FinalPayment!$F22,"0000"),'Payment 1 through 9'!$A$1:$A$330,0),2)*9,0)</f>
        <v>37080</v>
      </c>
      <c r="W22" s="8">
        <f>IFERROR(INDEX('FinalPayment 10'!$A$1:$B$330,MATCH(CONCATENATE(FinalPayment!$F22,"0000"),'FinalPayment 10'!$A$1:$A$330,0),2),0)</f>
        <v>4121</v>
      </c>
      <c r="X22" s="8">
        <f t="shared" si="6"/>
        <v>41201</v>
      </c>
      <c r="Y22" s="8">
        <f t="shared" si="7"/>
        <v>17167</v>
      </c>
    </row>
    <row r="23" spans="1:25" x14ac:dyDescent="0.55000000000000004">
      <c r="A23">
        <v>2021</v>
      </c>
      <c r="B23" t="s">
        <v>686</v>
      </c>
      <c r="C23" t="s">
        <v>658</v>
      </c>
      <c r="D23" t="s">
        <v>1207</v>
      </c>
      <c r="E23" t="s">
        <v>1207</v>
      </c>
      <c r="F23" t="s">
        <v>658</v>
      </c>
      <c r="G23" t="s">
        <v>39</v>
      </c>
      <c r="H23" s="5">
        <f>SUMPRODUCT(SUMIF(FinalPayment_NoReorg!$F$2:$F$331,FinalPayment!$D23:$F23,FinalPayment_NoReorg!$L$2:$L$331))+SUMPRODUCT(SUMIF(FinalPayment_NoReorg!$F$2:$F$331,FinalPayment!$D23:$F23,FinalPayment_NoReorg!$N$2:$N$331))</f>
        <v>35994</v>
      </c>
      <c r="I23" s="5">
        <f t="shared" si="1"/>
        <v>3599</v>
      </c>
      <c r="J23" s="5">
        <f t="shared" si="1"/>
        <v>3599</v>
      </c>
      <c r="K23" s="5">
        <f t="shared" si="1"/>
        <v>3599</v>
      </c>
      <c r="L23" s="5">
        <f t="shared" si="1"/>
        <v>3599</v>
      </c>
      <c r="M23" s="5">
        <f t="shared" si="2"/>
        <v>3599</v>
      </c>
      <c r="N23" s="5">
        <f t="shared" si="2"/>
        <v>3599</v>
      </c>
      <c r="O23" s="5">
        <f t="shared" si="2"/>
        <v>3599</v>
      </c>
      <c r="P23" s="5">
        <f t="shared" si="2"/>
        <v>3599</v>
      </c>
      <c r="Q23" s="5">
        <f t="shared" si="3"/>
        <v>3599</v>
      </c>
      <c r="R23" s="5">
        <f t="shared" si="4"/>
        <v>3603</v>
      </c>
      <c r="U23" s="8">
        <f t="shared" si="5"/>
        <v>0</v>
      </c>
      <c r="V23" s="8">
        <f>IFERROR(INDEX('Payment 1 through 9'!$A$1:$B$330,MATCH(CONCATENATE(FinalPayment!$F23,"0000"),'Payment 1 through 9'!$A$1:$A$330,0),2)*9,0)</f>
        <v>29448</v>
      </c>
      <c r="W23" s="8">
        <f>IFERROR(INDEX('FinalPayment 10'!$A$1:$B$330,MATCH(CONCATENATE(FinalPayment!$F23,"0000"),'FinalPayment 10'!$A$1:$A$330,0),2),0)</f>
        <v>3275</v>
      </c>
      <c r="X23" s="8">
        <f t="shared" si="6"/>
        <v>32723</v>
      </c>
      <c r="Y23" s="8">
        <f t="shared" si="7"/>
        <v>3271</v>
      </c>
    </row>
    <row r="24" spans="1:25" x14ac:dyDescent="0.55000000000000004">
      <c r="A24">
        <v>2021</v>
      </c>
      <c r="B24" t="s">
        <v>689</v>
      </c>
      <c r="C24" t="s">
        <v>657</v>
      </c>
      <c r="D24" t="s">
        <v>1207</v>
      </c>
      <c r="E24" t="s">
        <v>1207</v>
      </c>
      <c r="F24" t="s">
        <v>657</v>
      </c>
      <c r="G24" t="s">
        <v>40</v>
      </c>
      <c r="H24" s="5">
        <f>SUMPRODUCT(SUMIF(FinalPayment_NoReorg!$F$2:$F$331,FinalPayment!$D24:$F24,FinalPayment_NoReorg!$L$2:$L$331))+SUMPRODUCT(SUMIF(FinalPayment_NoReorg!$F$2:$F$331,FinalPayment!$D24:$F24,FinalPayment_NoReorg!$N$2:$N$331))</f>
        <v>134430</v>
      </c>
      <c r="I24" s="5">
        <f t="shared" si="1"/>
        <v>13443</v>
      </c>
      <c r="J24" s="5">
        <f t="shared" si="1"/>
        <v>13443</v>
      </c>
      <c r="K24" s="5">
        <f t="shared" si="1"/>
        <v>13443</v>
      </c>
      <c r="L24" s="5">
        <f t="shared" si="1"/>
        <v>13443</v>
      </c>
      <c r="M24" s="5">
        <f t="shared" si="2"/>
        <v>13443</v>
      </c>
      <c r="N24" s="5">
        <f t="shared" si="2"/>
        <v>13443</v>
      </c>
      <c r="O24" s="5">
        <f t="shared" si="2"/>
        <v>13443</v>
      </c>
      <c r="P24" s="5">
        <f t="shared" si="2"/>
        <v>13443</v>
      </c>
      <c r="Q24" s="5">
        <f t="shared" si="3"/>
        <v>13443</v>
      </c>
      <c r="R24" s="5">
        <f t="shared" si="4"/>
        <v>13443</v>
      </c>
      <c r="U24" s="8">
        <f t="shared" si="5"/>
        <v>0</v>
      </c>
      <c r="V24" s="8">
        <f>IFERROR(INDEX('Payment 1 through 9'!$A$1:$B$330,MATCH(CONCATENATE(FinalPayment!$F24,"0000"),'Payment 1 through 9'!$A$1:$A$330,0),2)*9,0)</f>
        <v>116037</v>
      </c>
      <c r="W24" s="8">
        <f>IFERROR(INDEX('FinalPayment 10'!$A$1:$B$330,MATCH(CONCATENATE(FinalPayment!$F24,"0000"),'FinalPayment 10'!$A$1:$A$330,0),2),0)</f>
        <v>12888</v>
      </c>
      <c r="X24" s="8">
        <f t="shared" si="6"/>
        <v>128925</v>
      </c>
      <c r="Y24" s="8">
        <f t="shared" si="7"/>
        <v>5505</v>
      </c>
    </row>
    <row r="25" spans="1:25" x14ac:dyDescent="0.55000000000000004">
      <c r="A25">
        <v>2021</v>
      </c>
      <c r="B25" t="s">
        <v>690</v>
      </c>
      <c r="C25" t="s">
        <v>656</v>
      </c>
      <c r="D25" t="s">
        <v>1207</v>
      </c>
      <c r="E25" t="s">
        <v>1207</v>
      </c>
      <c r="F25" t="s">
        <v>656</v>
      </c>
      <c r="G25" t="s">
        <v>41</v>
      </c>
      <c r="H25" s="5">
        <f>SUMPRODUCT(SUMIF(FinalPayment_NoReorg!$F$2:$F$331,FinalPayment!$D25:$F25,FinalPayment_NoReorg!$L$2:$L$331))+SUMPRODUCT(SUMIF(FinalPayment_NoReorg!$F$2:$F$331,FinalPayment!$D25:$F25,FinalPayment_NoReorg!$N$2:$N$331))</f>
        <v>35837</v>
      </c>
      <c r="I25" s="5">
        <f t="shared" si="1"/>
        <v>3584</v>
      </c>
      <c r="J25" s="5">
        <f t="shared" si="1"/>
        <v>3584</v>
      </c>
      <c r="K25" s="5">
        <f t="shared" si="1"/>
        <v>3584</v>
      </c>
      <c r="L25" s="5">
        <f t="shared" si="1"/>
        <v>3584</v>
      </c>
      <c r="M25" s="5">
        <f t="shared" si="2"/>
        <v>3584</v>
      </c>
      <c r="N25" s="5">
        <f t="shared" si="2"/>
        <v>3584</v>
      </c>
      <c r="O25" s="5">
        <f t="shared" si="2"/>
        <v>3584</v>
      </c>
      <c r="P25" s="5">
        <f t="shared" si="2"/>
        <v>3584</v>
      </c>
      <c r="Q25" s="5">
        <f t="shared" si="3"/>
        <v>3584</v>
      </c>
      <c r="R25" s="5">
        <f t="shared" si="4"/>
        <v>3581</v>
      </c>
      <c r="U25" s="8">
        <f t="shared" si="5"/>
        <v>0</v>
      </c>
      <c r="V25" s="8">
        <f>IFERROR(INDEX('Payment 1 through 9'!$A$1:$B$330,MATCH(CONCATENATE(FinalPayment!$F25,"0000"),'Payment 1 through 9'!$A$1:$A$330,0),2)*9,0)</f>
        <v>27747</v>
      </c>
      <c r="W25" s="8">
        <f>IFERROR(INDEX('FinalPayment 10'!$A$1:$B$330,MATCH(CONCATENATE(FinalPayment!$F25,"0000"),'FinalPayment 10'!$A$1:$A$330,0),2),0)</f>
        <v>3078</v>
      </c>
      <c r="X25" s="8">
        <f t="shared" si="6"/>
        <v>30825</v>
      </c>
      <c r="Y25" s="8">
        <f t="shared" si="7"/>
        <v>5012</v>
      </c>
    </row>
    <row r="26" spans="1:25" x14ac:dyDescent="0.55000000000000004">
      <c r="A26">
        <v>2021</v>
      </c>
      <c r="B26" t="s">
        <v>698</v>
      </c>
      <c r="C26" t="s">
        <v>655</v>
      </c>
      <c r="D26" t="s">
        <v>1207</v>
      </c>
      <c r="E26" t="s">
        <v>1207</v>
      </c>
      <c r="F26" t="s">
        <v>655</v>
      </c>
      <c r="G26" t="s">
        <v>42</v>
      </c>
      <c r="H26" s="5">
        <f>SUMPRODUCT(SUMIF(FinalPayment_NoReorg!$F$2:$F$331,FinalPayment!$D26:$F26,FinalPayment_NoReorg!$L$2:$L$331))+SUMPRODUCT(SUMIF(FinalPayment_NoReorg!$F$2:$F$331,FinalPayment!$D26:$F26,FinalPayment_NoReorg!$N$2:$N$331))</f>
        <v>53973</v>
      </c>
      <c r="I26" s="5">
        <f t="shared" si="1"/>
        <v>5397</v>
      </c>
      <c r="J26" s="5">
        <f t="shared" si="1"/>
        <v>5397</v>
      </c>
      <c r="K26" s="5">
        <f t="shared" si="1"/>
        <v>5397</v>
      </c>
      <c r="L26" s="5">
        <f t="shared" si="1"/>
        <v>5397</v>
      </c>
      <c r="M26" s="5">
        <f t="shared" si="2"/>
        <v>5397</v>
      </c>
      <c r="N26" s="5">
        <f t="shared" si="2"/>
        <v>5397</v>
      </c>
      <c r="O26" s="5">
        <f t="shared" si="2"/>
        <v>5397</v>
      </c>
      <c r="P26" s="5">
        <f t="shared" si="2"/>
        <v>5397</v>
      </c>
      <c r="Q26" s="5">
        <f t="shared" si="3"/>
        <v>5397</v>
      </c>
      <c r="R26" s="5">
        <f t="shared" si="4"/>
        <v>5400</v>
      </c>
      <c r="U26" s="8">
        <f t="shared" si="5"/>
        <v>0</v>
      </c>
      <c r="V26" s="8">
        <f>IFERROR(INDEX('Payment 1 through 9'!$A$1:$B$330,MATCH(CONCATENATE(FinalPayment!$F26,"0000"),'Payment 1 through 9'!$A$1:$A$330,0),2)*9,0)</f>
        <v>43920</v>
      </c>
      <c r="W26" s="8">
        <f>IFERROR(INDEX('FinalPayment 10'!$A$1:$B$330,MATCH(CONCATENATE(FinalPayment!$F26,"0000"),'FinalPayment 10'!$A$1:$A$330,0),2),0)</f>
        <v>4884</v>
      </c>
      <c r="X26" s="8">
        <f t="shared" si="6"/>
        <v>48804</v>
      </c>
      <c r="Y26" s="8">
        <f t="shared" si="7"/>
        <v>5169</v>
      </c>
    </row>
    <row r="27" spans="1:25" x14ac:dyDescent="0.55000000000000004">
      <c r="A27">
        <v>2021</v>
      </c>
      <c r="B27" t="s">
        <v>707</v>
      </c>
      <c r="C27" t="s">
        <v>654</v>
      </c>
      <c r="D27" t="s">
        <v>1207</v>
      </c>
      <c r="E27" t="s">
        <v>1207</v>
      </c>
      <c r="F27" t="s">
        <v>654</v>
      </c>
      <c r="G27" t="s">
        <v>43</v>
      </c>
      <c r="H27" s="5">
        <f>SUMPRODUCT(SUMIF(FinalPayment_NoReorg!$F$2:$F$331,FinalPayment!$D27:$F27,FinalPayment_NoReorg!$L$2:$L$331))+SUMPRODUCT(SUMIF(FinalPayment_NoReorg!$F$2:$F$331,FinalPayment!$D27:$F27,FinalPayment_NoReorg!$N$2:$N$331))</f>
        <v>41866</v>
      </c>
      <c r="I27" s="5">
        <f t="shared" si="1"/>
        <v>4187</v>
      </c>
      <c r="J27" s="5">
        <f t="shared" si="1"/>
        <v>4187</v>
      </c>
      <c r="K27" s="5">
        <f t="shared" si="1"/>
        <v>4187</v>
      </c>
      <c r="L27" s="5">
        <f t="shared" si="1"/>
        <v>4187</v>
      </c>
      <c r="M27" s="5">
        <f t="shared" si="2"/>
        <v>4187</v>
      </c>
      <c r="N27" s="5">
        <f t="shared" si="2"/>
        <v>4187</v>
      </c>
      <c r="O27" s="5">
        <f t="shared" si="2"/>
        <v>4187</v>
      </c>
      <c r="P27" s="5">
        <f t="shared" si="2"/>
        <v>4187</v>
      </c>
      <c r="Q27" s="5">
        <f t="shared" si="3"/>
        <v>4187</v>
      </c>
      <c r="R27" s="5">
        <f t="shared" si="4"/>
        <v>4183</v>
      </c>
      <c r="U27" s="8">
        <f t="shared" si="5"/>
        <v>0</v>
      </c>
      <c r="V27" s="8">
        <f>IFERROR(INDEX('Payment 1 through 9'!$A$1:$B$330,MATCH(CONCATENATE(FinalPayment!$F27,"0000"),'Payment 1 through 9'!$A$1:$A$330,0),2)*9,0)</f>
        <v>32049</v>
      </c>
      <c r="W27" s="8">
        <f>IFERROR(INDEX('FinalPayment 10'!$A$1:$B$330,MATCH(CONCATENATE(FinalPayment!$F27,"0000"),'FinalPayment 10'!$A$1:$A$330,0),2),0)</f>
        <v>3563</v>
      </c>
      <c r="X27" s="8">
        <f t="shared" si="6"/>
        <v>35612</v>
      </c>
      <c r="Y27" s="8">
        <f t="shared" si="7"/>
        <v>6254</v>
      </c>
    </row>
    <row r="28" spans="1:25" x14ac:dyDescent="0.55000000000000004">
      <c r="A28">
        <v>2021</v>
      </c>
      <c r="B28" t="s">
        <v>689</v>
      </c>
      <c r="C28" t="s">
        <v>653</v>
      </c>
      <c r="D28" t="s">
        <v>1207</v>
      </c>
      <c r="E28" t="s">
        <v>1207</v>
      </c>
      <c r="F28" t="s">
        <v>653</v>
      </c>
      <c r="G28" t="s">
        <v>44</v>
      </c>
      <c r="H28" s="5">
        <f>SUMPRODUCT(SUMIF(FinalPayment_NoReorg!$F$2:$F$331,FinalPayment!$D28:$F28,FinalPayment_NoReorg!$L$2:$L$331))+SUMPRODUCT(SUMIF(FinalPayment_NoReorg!$F$2:$F$331,FinalPayment!$D28:$F28,FinalPayment_NoReorg!$N$2:$N$331))</f>
        <v>648</v>
      </c>
      <c r="I28" s="5">
        <f t="shared" si="1"/>
        <v>65</v>
      </c>
      <c r="J28" s="5">
        <f t="shared" si="1"/>
        <v>65</v>
      </c>
      <c r="K28" s="5">
        <f t="shared" si="1"/>
        <v>65</v>
      </c>
      <c r="L28" s="5">
        <f t="shared" si="1"/>
        <v>65</v>
      </c>
      <c r="M28" s="5">
        <f t="shared" si="2"/>
        <v>65</v>
      </c>
      <c r="N28" s="5">
        <f t="shared" si="2"/>
        <v>65</v>
      </c>
      <c r="O28" s="5">
        <f t="shared" si="2"/>
        <v>65</v>
      </c>
      <c r="P28" s="5">
        <f t="shared" si="2"/>
        <v>65</v>
      </c>
      <c r="Q28" s="5">
        <f t="shared" si="3"/>
        <v>65</v>
      </c>
      <c r="R28" s="5">
        <f t="shared" si="4"/>
        <v>63</v>
      </c>
      <c r="U28" s="8">
        <f t="shared" si="5"/>
        <v>0</v>
      </c>
      <c r="V28" s="8">
        <f>IFERROR(INDEX('Payment 1 through 9'!$A$1:$B$330,MATCH(CONCATENATE(FinalPayment!$F28,"0000"),'Payment 1 through 9'!$A$1:$A$330,0),2)*9,0)</f>
        <v>0</v>
      </c>
      <c r="W28" s="8">
        <f>IFERROR(INDEX('FinalPayment 10'!$A$1:$B$330,MATCH(CONCATENATE(FinalPayment!$F28,"0000"),'FinalPayment 10'!$A$1:$A$330,0),2),0)</f>
        <v>0</v>
      </c>
      <c r="X28" s="8">
        <f t="shared" si="6"/>
        <v>0</v>
      </c>
      <c r="Y28" s="8">
        <f t="shared" si="7"/>
        <v>648</v>
      </c>
    </row>
    <row r="29" spans="1:25" x14ac:dyDescent="0.55000000000000004">
      <c r="A29">
        <v>2021</v>
      </c>
      <c r="B29" t="s">
        <v>707</v>
      </c>
      <c r="C29" t="s">
        <v>652</v>
      </c>
      <c r="D29" t="s">
        <v>1207</v>
      </c>
      <c r="E29" t="s">
        <v>1207</v>
      </c>
      <c r="F29" t="s">
        <v>652</v>
      </c>
      <c r="G29" t="s">
        <v>45</v>
      </c>
      <c r="H29" s="5">
        <f>SUMPRODUCT(SUMIF(FinalPayment_NoReorg!$F$2:$F$331,FinalPayment!$D29:$F29,FinalPayment_NoReorg!$L$2:$L$331))+SUMPRODUCT(SUMIF(FinalPayment_NoReorg!$F$2:$F$331,FinalPayment!$D29:$F29,FinalPayment_NoReorg!$N$2:$N$331))</f>
        <v>56079</v>
      </c>
      <c r="I29" s="5">
        <f t="shared" si="1"/>
        <v>5608</v>
      </c>
      <c r="J29" s="5">
        <f t="shared" si="1"/>
        <v>5608</v>
      </c>
      <c r="K29" s="5">
        <f t="shared" si="1"/>
        <v>5608</v>
      </c>
      <c r="L29" s="5">
        <f t="shared" si="1"/>
        <v>5608</v>
      </c>
      <c r="M29" s="5">
        <f t="shared" si="2"/>
        <v>5608</v>
      </c>
      <c r="N29" s="5">
        <f t="shared" si="2"/>
        <v>5608</v>
      </c>
      <c r="O29" s="5">
        <f t="shared" si="2"/>
        <v>5608</v>
      </c>
      <c r="P29" s="5">
        <f t="shared" si="2"/>
        <v>5608</v>
      </c>
      <c r="Q29" s="5">
        <f t="shared" si="3"/>
        <v>5608</v>
      </c>
      <c r="R29" s="5">
        <f t="shared" si="4"/>
        <v>5607</v>
      </c>
      <c r="U29" s="8">
        <f t="shared" si="5"/>
        <v>0</v>
      </c>
      <c r="V29" s="8">
        <f>IFERROR(INDEX('Payment 1 through 9'!$A$1:$B$330,MATCH(CONCATENATE(FinalPayment!$F29,"0000"),'Payment 1 through 9'!$A$1:$A$330,0),2)*9,0)</f>
        <v>48501</v>
      </c>
      <c r="W29" s="8">
        <f>IFERROR(INDEX('FinalPayment 10'!$A$1:$B$330,MATCH(CONCATENATE(FinalPayment!$F29,"0000"),'FinalPayment 10'!$A$1:$A$330,0),2),0)</f>
        <v>5384</v>
      </c>
      <c r="X29" s="8">
        <f t="shared" si="6"/>
        <v>53885</v>
      </c>
      <c r="Y29" s="8">
        <f t="shared" si="7"/>
        <v>2194</v>
      </c>
    </row>
    <row r="30" spans="1:25" x14ac:dyDescent="0.55000000000000004">
      <c r="A30">
        <v>2021</v>
      </c>
      <c r="B30" t="s">
        <v>698</v>
      </c>
      <c r="C30" t="s">
        <v>651</v>
      </c>
      <c r="D30" t="s">
        <v>1207</v>
      </c>
      <c r="E30" t="s">
        <v>1207</v>
      </c>
      <c r="F30" t="s">
        <v>651</v>
      </c>
      <c r="G30" t="s">
        <v>46</v>
      </c>
      <c r="H30" s="5">
        <f>SUMPRODUCT(SUMIF(FinalPayment_NoReorg!$F$2:$F$331,FinalPayment!$D30:$F30,FinalPayment_NoReorg!$L$2:$L$331))+SUMPRODUCT(SUMIF(FinalPayment_NoReorg!$F$2:$F$331,FinalPayment!$D30:$F30,FinalPayment_NoReorg!$N$2:$N$331))</f>
        <v>345541</v>
      </c>
      <c r="I30" s="5">
        <f t="shared" si="1"/>
        <v>34554</v>
      </c>
      <c r="J30" s="5">
        <f t="shared" si="1"/>
        <v>34554</v>
      </c>
      <c r="K30" s="5">
        <f t="shared" si="1"/>
        <v>34554</v>
      </c>
      <c r="L30" s="5">
        <f t="shared" si="1"/>
        <v>34554</v>
      </c>
      <c r="M30" s="5">
        <f t="shared" si="2"/>
        <v>34554</v>
      </c>
      <c r="N30" s="5">
        <f t="shared" si="2"/>
        <v>34554</v>
      </c>
      <c r="O30" s="5">
        <f t="shared" si="2"/>
        <v>34554</v>
      </c>
      <c r="P30" s="5">
        <f t="shared" si="2"/>
        <v>34554</v>
      </c>
      <c r="Q30" s="5">
        <f t="shared" si="3"/>
        <v>34554</v>
      </c>
      <c r="R30" s="5">
        <f t="shared" si="4"/>
        <v>34555</v>
      </c>
      <c r="U30" s="8">
        <f t="shared" si="5"/>
        <v>0</v>
      </c>
      <c r="V30" s="8">
        <f>IFERROR(INDEX('Payment 1 through 9'!$A$1:$B$330,MATCH(CONCATENATE(FinalPayment!$F30,"0000"),'Payment 1 through 9'!$A$1:$A$330,0),2)*9,0)</f>
        <v>296685</v>
      </c>
      <c r="W30" s="8">
        <f>IFERROR(INDEX('FinalPayment 10'!$A$1:$B$330,MATCH(CONCATENATE(FinalPayment!$F30,"0000"),'FinalPayment 10'!$A$1:$A$330,0),2),0)</f>
        <v>32961</v>
      </c>
      <c r="X30" s="8">
        <f t="shared" si="6"/>
        <v>329646</v>
      </c>
      <c r="Y30" s="8">
        <f t="shared" si="7"/>
        <v>15895</v>
      </c>
    </row>
    <row r="31" spans="1:25" x14ac:dyDescent="0.55000000000000004">
      <c r="A31">
        <v>2021</v>
      </c>
      <c r="B31" t="s">
        <v>707</v>
      </c>
      <c r="C31" t="s">
        <v>650</v>
      </c>
      <c r="D31" t="s">
        <v>1207</v>
      </c>
      <c r="E31" t="s">
        <v>1207</v>
      </c>
      <c r="F31" t="s">
        <v>650</v>
      </c>
      <c r="G31" t="s">
        <v>47</v>
      </c>
      <c r="H31" s="5">
        <f>SUMPRODUCT(SUMIF(FinalPayment_NoReorg!$F$2:$F$331,FinalPayment!$D31:$F31,FinalPayment_NoReorg!$L$2:$L$331))+SUMPRODUCT(SUMIF(FinalPayment_NoReorg!$F$2:$F$331,FinalPayment!$D31:$F31,FinalPayment_NoReorg!$N$2:$N$331))</f>
        <v>3426</v>
      </c>
      <c r="I31" s="5">
        <f t="shared" si="1"/>
        <v>343</v>
      </c>
      <c r="J31" s="5">
        <f t="shared" si="1"/>
        <v>343</v>
      </c>
      <c r="K31" s="5">
        <f t="shared" si="1"/>
        <v>343</v>
      </c>
      <c r="L31" s="5">
        <f t="shared" si="1"/>
        <v>343</v>
      </c>
      <c r="M31" s="5">
        <f t="shared" si="2"/>
        <v>343</v>
      </c>
      <c r="N31" s="5">
        <f t="shared" si="2"/>
        <v>343</v>
      </c>
      <c r="O31" s="5">
        <f t="shared" si="2"/>
        <v>343</v>
      </c>
      <c r="P31" s="5">
        <f t="shared" si="2"/>
        <v>343</v>
      </c>
      <c r="Q31" s="5">
        <f t="shared" si="3"/>
        <v>343</v>
      </c>
      <c r="R31" s="5">
        <f t="shared" si="4"/>
        <v>339</v>
      </c>
      <c r="U31" s="8">
        <f t="shared" si="5"/>
        <v>0</v>
      </c>
      <c r="V31" s="8">
        <f>IFERROR(INDEX('Payment 1 through 9'!$A$1:$B$330,MATCH(CONCATENATE(FinalPayment!$F31,"0000"),'Payment 1 through 9'!$A$1:$A$330,0),2)*9,0)</f>
        <v>0</v>
      </c>
      <c r="W31" s="8">
        <f>IFERROR(INDEX('FinalPayment 10'!$A$1:$B$330,MATCH(CONCATENATE(FinalPayment!$F31,"0000"),'FinalPayment 10'!$A$1:$A$330,0),2),0)</f>
        <v>0</v>
      </c>
      <c r="X31" s="8">
        <f t="shared" si="6"/>
        <v>0</v>
      </c>
      <c r="Y31" s="8">
        <f t="shared" si="7"/>
        <v>3426</v>
      </c>
    </row>
    <row r="32" spans="1:25" x14ac:dyDescent="0.55000000000000004">
      <c r="A32">
        <v>2021</v>
      </c>
      <c r="B32" t="s">
        <v>686</v>
      </c>
      <c r="C32" t="s">
        <v>647</v>
      </c>
      <c r="D32" t="s">
        <v>1207</v>
      </c>
      <c r="E32" t="s">
        <v>1207</v>
      </c>
      <c r="F32" t="s">
        <v>647</v>
      </c>
      <c r="G32" t="s">
        <v>48</v>
      </c>
      <c r="H32" s="5">
        <f>SUMPRODUCT(SUMIF(FinalPayment_NoReorg!$F$2:$F$331,FinalPayment!$D32:$F32,FinalPayment_NoReorg!$L$2:$L$331))+SUMPRODUCT(SUMIF(FinalPayment_NoReorg!$F$2:$F$331,FinalPayment!$D32:$F32,FinalPayment_NoReorg!$N$2:$N$331))</f>
        <v>1754</v>
      </c>
      <c r="I32" s="5">
        <f t="shared" si="1"/>
        <v>175</v>
      </c>
      <c r="J32" s="5">
        <f t="shared" si="1"/>
        <v>175</v>
      </c>
      <c r="K32" s="5">
        <f t="shared" si="1"/>
        <v>175</v>
      </c>
      <c r="L32" s="5">
        <f t="shared" si="1"/>
        <v>175</v>
      </c>
      <c r="M32" s="5">
        <f t="shared" si="2"/>
        <v>175</v>
      </c>
      <c r="N32" s="5">
        <f t="shared" si="2"/>
        <v>175</v>
      </c>
      <c r="O32" s="5">
        <f t="shared" si="2"/>
        <v>175</v>
      </c>
      <c r="P32" s="5">
        <f t="shared" si="2"/>
        <v>175</v>
      </c>
      <c r="Q32" s="5">
        <f t="shared" si="3"/>
        <v>175</v>
      </c>
      <c r="R32" s="5">
        <f t="shared" si="4"/>
        <v>179</v>
      </c>
      <c r="U32" s="8">
        <f t="shared" si="5"/>
        <v>0</v>
      </c>
      <c r="V32" s="8">
        <f>IFERROR(INDEX('Payment 1 through 9'!$A$1:$B$330,MATCH(CONCATENATE(FinalPayment!$F32,"0000"),'Payment 1 through 9'!$A$1:$A$330,0),2)*9,0)</f>
        <v>0</v>
      </c>
      <c r="W32" s="8">
        <f>IFERROR(INDEX('FinalPayment 10'!$A$1:$B$330,MATCH(CONCATENATE(FinalPayment!$F32,"0000"),'FinalPayment 10'!$A$1:$A$330,0),2),0)</f>
        <v>0</v>
      </c>
      <c r="X32" s="8">
        <f t="shared" si="6"/>
        <v>0</v>
      </c>
      <c r="Y32" s="8">
        <f t="shared" si="7"/>
        <v>1754</v>
      </c>
    </row>
    <row r="33" spans="1:25" x14ac:dyDescent="0.55000000000000004">
      <c r="A33">
        <v>2021</v>
      </c>
      <c r="B33" t="s">
        <v>686</v>
      </c>
      <c r="C33" t="s">
        <v>646</v>
      </c>
      <c r="D33" t="s">
        <v>1207</v>
      </c>
      <c r="E33" t="s">
        <v>1207</v>
      </c>
      <c r="F33" t="s">
        <v>646</v>
      </c>
      <c r="G33" t="s">
        <v>49</v>
      </c>
      <c r="H33" s="5">
        <f>SUMPRODUCT(SUMIF(FinalPayment_NoReorg!$F$2:$F$331,FinalPayment!$D33:$F33,FinalPayment_NoReorg!$L$2:$L$331))+SUMPRODUCT(SUMIF(FinalPayment_NoReorg!$F$2:$F$331,FinalPayment!$D33:$F33,FinalPayment_NoReorg!$N$2:$N$331))</f>
        <v>1683</v>
      </c>
      <c r="I33" s="5">
        <f t="shared" si="1"/>
        <v>168</v>
      </c>
      <c r="J33" s="5">
        <f t="shared" si="1"/>
        <v>168</v>
      </c>
      <c r="K33" s="5">
        <f t="shared" si="1"/>
        <v>168</v>
      </c>
      <c r="L33" s="5">
        <f t="shared" si="1"/>
        <v>168</v>
      </c>
      <c r="M33" s="5">
        <f t="shared" si="2"/>
        <v>168</v>
      </c>
      <c r="N33" s="5">
        <f t="shared" si="2"/>
        <v>168</v>
      </c>
      <c r="O33" s="5">
        <f t="shared" si="2"/>
        <v>168</v>
      </c>
      <c r="P33" s="5">
        <f t="shared" si="2"/>
        <v>168</v>
      </c>
      <c r="Q33" s="5">
        <f t="shared" si="3"/>
        <v>168</v>
      </c>
      <c r="R33" s="5">
        <f t="shared" si="4"/>
        <v>171</v>
      </c>
      <c r="U33" s="8">
        <f t="shared" si="5"/>
        <v>0</v>
      </c>
      <c r="V33" s="8">
        <f>IFERROR(INDEX('Payment 1 through 9'!$A$1:$B$330,MATCH(CONCATENATE(FinalPayment!$F33,"0000"),'Payment 1 through 9'!$A$1:$A$330,0),2)*9,0)</f>
        <v>0</v>
      </c>
      <c r="W33" s="8">
        <f>IFERROR(INDEX('FinalPayment 10'!$A$1:$B$330,MATCH(CONCATENATE(FinalPayment!$F33,"0000"),'FinalPayment 10'!$A$1:$A$330,0),2),0)</f>
        <v>0</v>
      </c>
      <c r="X33" s="8">
        <f t="shared" si="6"/>
        <v>0</v>
      </c>
      <c r="Y33" s="8">
        <f t="shared" si="7"/>
        <v>1683</v>
      </c>
    </row>
    <row r="34" spans="1:25" x14ac:dyDescent="0.55000000000000004">
      <c r="A34">
        <v>2021</v>
      </c>
      <c r="B34" t="s">
        <v>692</v>
      </c>
      <c r="C34" t="s">
        <v>645</v>
      </c>
      <c r="D34" t="s">
        <v>1207</v>
      </c>
      <c r="E34" t="s">
        <v>1207</v>
      </c>
      <c r="F34" t="s">
        <v>645</v>
      </c>
      <c r="G34" t="s">
        <v>50</v>
      </c>
      <c r="H34" s="5">
        <f>SUMPRODUCT(SUMIF(FinalPayment_NoReorg!$F$2:$F$331,FinalPayment!$D34:$F34,FinalPayment_NoReorg!$L$2:$L$331))+SUMPRODUCT(SUMIF(FinalPayment_NoReorg!$F$2:$F$331,FinalPayment!$D34:$F34,FinalPayment_NoReorg!$N$2:$N$331))</f>
        <v>20891</v>
      </c>
      <c r="I34" s="5">
        <f t="shared" si="1"/>
        <v>2089</v>
      </c>
      <c r="J34" s="5">
        <f t="shared" si="1"/>
        <v>2089</v>
      </c>
      <c r="K34" s="5">
        <f t="shared" si="1"/>
        <v>2089</v>
      </c>
      <c r="L34" s="5">
        <f t="shared" si="1"/>
        <v>2089</v>
      </c>
      <c r="M34" s="5">
        <f t="shared" si="2"/>
        <v>2089</v>
      </c>
      <c r="N34" s="5">
        <f t="shared" si="2"/>
        <v>2089</v>
      </c>
      <c r="O34" s="5">
        <f t="shared" si="2"/>
        <v>2089</v>
      </c>
      <c r="P34" s="5">
        <f t="shared" si="2"/>
        <v>2089</v>
      </c>
      <c r="Q34" s="5">
        <f t="shared" si="3"/>
        <v>2089</v>
      </c>
      <c r="R34" s="5">
        <f t="shared" si="4"/>
        <v>2090</v>
      </c>
      <c r="U34" s="8">
        <f t="shared" si="5"/>
        <v>0</v>
      </c>
      <c r="V34" s="8">
        <f>IFERROR(INDEX('Payment 1 through 9'!$A$1:$B$330,MATCH(CONCATENATE(FinalPayment!$F34,"0000"),'Payment 1 through 9'!$A$1:$A$330,0),2)*9,0)</f>
        <v>13248</v>
      </c>
      <c r="W34" s="8">
        <f>IFERROR(INDEX('FinalPayment 10'!$A$1:$B$330,MATCH(CONCATENATE(FinalPayment!$F34,"0000"),'FinalPayment 10'!$A$1:$A$330,0),2),0)</f>
        <v>1473</v>
      </c>
      <c r="X34" s="8">
        <f t="shared" si="6"/>
        <v>14721</v>
      </c>
      <c r="Y34" s="8">
        <f t="shared" si="7"/>
        <v>6170</v>
      </c>
    </row>
    <row r="35" spans="1:25" x14ac:dyDescent="0.55000000000000004">
      <c r="A35">
        <v>2021</v>
      </c>
      <c r="B35" t="s">
        <v>690</v>
      </c>
      <c r="C35" t="s">
        <v>586</v>
      </c>
      <c r="D35" t="s">
        <v>1207</v>
      </c>
      <c r="E35" t="s">
        <v>1207</v>
      </c>
      <c r="F35" t="s">
        <v>586</v>
      </c>
      <c r="G35" t="s">
        <v>102</v>
      </c>
      <c r="H35" s="5">
        <f>SUMPRODUCT(SUMIF(FinalPayment_NoReorg!$F$2:$F$331,FinalPayment!$D35:$F35,FinalPayment_NoReorg!$L$2:$L$331))+SUMPRODUCT(SUMIF(FinalPayment_NoReorg!$F$2:$F$331,FinalPayment!$D35:$F35,FinalPayment_NoReorg!$N$2:$N$331))</f>
        <v>89121</v>
      </c>
      <c r="I35" s="5">
        <f t="shared" si="1"/>
        <v>8912</v>
      </c>
      <c r="J35" s="5">
        <f t="shared" si="1"/>
        <v>8912</v>
      </c>
      <c r="K35" s="5">
        <f t="shared" si="1"/>
        <v>8912</v>
      </c>
      <c r="L35" s="5">
        <f t="shared" si="1"/>
        <v>8912</v>
      </c>
      <c r="M35" s="5">
        <f t="shared" si="2"/>
        <v>8912</v>
      </c>
      <c r="N35" s="5">
        <f t="shared" si="2"/>
        <v>8912</v>
      </c>
      <c r="O35" s="5">
        <f t="shared" si="2"/>
        <v>8912</v>
      </c>
      <c r="P35" s="5">
        <f t="shared" si="2"/>
        <v>8912</v>
      </c>
      <c r="Q35" s="5">
        <f t="shared" si="3"/>
        <v>8912</v>
      </c>
      <c r="R35" s="5">
        <f t="shared" si="4"/>
        <v>8913</v>
      </c>
      <c r="U35" s="8">
        <f t="shared" si="5"/>
        <v>0</v>
      </c>
      <c r="V35" s="8">
        <f>IFERROR(INDEX('Payment 1 through 9'!$A$1:$B$330,MATCH(CONCATENATE(FinalPayment!$F35,"0000"),'Payment 1 through 9'!$A$1:$A$330,0),2)*9,0)</f>
        <v>76464</v>
      </c>
      <c r="W35" s="8">
        <f>IFERROR(INDEX('FinalPayment 10'!$A$1:$B$330,MATCH(CONCATENATE(FinalPayment!$F35,"0000"),'FinalPayment 10'!$A$1:$A$330,0),2),0)</f>
        <v>8491</v>
      </c>
      <c r="X35" s="8">
        <f t="shared" si="6"/>
        <v>84955</v>
      </c>
      <c r="Y35" s="8">
        <f t="shared" si="7"/>
        <v>4166</v>
      </c>
    </row>
    <row r="36" spans="1:25" x14ac:dyDescent="0.55000000000000004">
      <c r="A36">
        <v>2021</v>
      </c>
      <c r="B36" t="s">
        <v>689</v>
      </c>
      <c r="C36" t="s">
        <v>643</v>
      </c>
      <c r="D36" t="s">
        <v>1207</v>
      </c>
      <c r="E36" t="s">
        <v>1207</v>
      </c>
      <c r="F36" t="s">
        <v>643</v>
      </c>
      <c r="G36" t="s">
        <v>52</v>
      </c>
      <c r="H36" s="5">
        <f>SUMPRODUCT(SUMIF(FinalPayment_NoReorg!$F$2:$F$331,FinalPayment!$D36:$F36,FinalPayment_NoReorg!$L$2:$L$331))+SUMPRODUCT(SUMIF(FinalPayment_NoReorg!$F$2:$F$331,FinalPayment!$D36:$F36,FinalPayment_NoReorg!$N$2:$N$331))</f>
        <v>1599</v>
      </c>
      <c r="I36" s="5">
        <f t="shared" si="1"/>
        <v>160</v>
      </c>
      <c r="J36" s="5">
        <f t="shared" si="1"/>
        <v>160</v>
      </c>
      <c r="K36" s="5">
        <f t="shared" si="1"/>
        <v>160</v>
      </c>
      <c r="L36" s="5">
        <f t="shared" si="1"/>
        <v>160</v>
      </c>
      <c r="M36" s="5">
        <f t="shared" si="2"/>
        <v>160</v>
      </c>
      <c r="N36" s="5">
        <f t="shared" si="2"/>
        <v>160</v>
      </c>
      <c r="O36" s="5">
        <f t="shared" si="2"/>
        <v>160</v>
      </c>
      <c r="P36" s="5">
        <f t="shared" si="2"/>
        <v>160</v>
      </c>
      <c r="Q36" s="5">
        <f t="shared" si="3"/>
        <v>160</v>
      </c>
      <c r="R36" s="5">
        <f t="shared" si="4"/>
        <v>159</v>
      </c>
      <c r="U36" s="8">
        <f t="shared" si="5"/>
        <v>0</v>
      </c>
      <c r="V36" s="8">
        <f>IFERROR(INDEX('Payment 1 through 9'!$A$1:$B$330,MATCH(CONCATENATE(FinalPayment!$F36,"0000"),'Payment 1 through 9'!$A$1:$A$330,0),2)*9,0)</f>
        <v>0</v>
      </c>
      <c r="W36" s="8">
        <f>IFERROR(INDEX('FinalPayment 10'!$A$1:$B$330,MATCH(CONCATENATE(FinalPayment!$F36,"0000"),'FinalPayment 10'!$A$1:$A$330,0),2),0)</f>
        <v>0</v>
      </c>
      <c r="X36" s="8">
        <f t="shared" si="6"/>
        <v>0</v>
      </c>
      <c r="Y36" s="8">
        <f t="shared" si="7"/>
        <v>1599</v>
      </c>
    </row>
    <row r="37" spans="1:25" x14ac:dyDescent="0.55000000000000004">
      <c r="A37">
        <v>2021</v>
      </c>
      <c r="B37" t="s">
        <v>696</v>
      </c>
      <c r="C37" t="s">
        <v>641</v>
      </c>
      <c r="D37" t="s">
        <v>1207</v>
      </c>
      <c r="E37" t="s">
        <v>1207</v>
      </c>
      <c r="F37" t="s">
        <v>641</v>
      </c>
      <c r="G37" t="s">
        <v>54</v>
      </c>
      <c r="H37" s="5">
        <f>SUMPRODUCT(SUMIF(FinalPayment_NoReorg!$F$2:$F$331,FinalPayment!$D37:$F37,FinalPayment_NoReorg!$L$2:$L$331))+SUMPRODUCT(SUMIF(FinalPayment_NoReorg!$F$2:$F$331,FinalPayment!$D37:$F37,FinalPayment_NoReorg!$N$2:$N$331))</f>
        <v>3384</v>
      </c>
      <c r="I37" s="5">
        <f t="shared" si="1"/>
        <v>338</v>
      </c>
      <c r="J37" s="5">
        <f t="shared" si="1"/>
        <v>338</v>
      </c>
      <c r="K37" s="5">
        <f t="shared" si="1"/>
        <v>338</v>
      </c>
      <c r="L37" s="5">
        <f t="shared" si="1"/>
        <v>338</v>
      </c>
      <c r="M37" s="5">
        <f t="shared" si="2"/>
        <v>338</v>
      </c>
      <c r="N37" s="5">
        <f t="shared" si="2"/>
        <v>338</v>
      </c>
      <c r="O37" s="5">
        <f t="shared" si="2"/>
        <v>338</v>
      </c>
      <c r="P37" s="5">
        <f t="shared" si="2"/>
        <v>338</v>
      </c>
      <c r="Q37" s="5">
        <f t="shared" si="3"/>
        <v>338</v>
      </c>
      <c r="R37" s="5">
        <f t="shared" si="4"/>
        <v>342</v>
      </c>
      <c r="U37" s="8">
        <f t="shared" si="5"/>
        <v>0</v>
      </c>
      <c r="V37" s="8">
        <f>IFERROR(INDEX('Payment 1 through 9'!$A$1:$B$330,MATCH(CONCATENATE(FinalPayment!$F37,"0000"),'Payment 1 through 9'!$A$1:$A$330,0),2)*9,0)</f>
        <v>0</v>
      </c>
      <c r="W37" s="8">
        <f>IFERROR(INDEX('FinalPayment 10'!$A$1:$B$330,MATCH(CONCATENATE(FinalPayment!$F37,"0000"),'FinalPayment 10'!$A$1:$A$330,0),2),0)</f>
        <v>0</v>
      </c>
      <c r="X37" s="8">
        <f t="shared" si="6"/>
        <v>0</v>
      </c>
      <c r="Y37" s="8">
        <f t="shared" si="7"/>
        <v>3384</v>
      </c>
    </row>
    <row r="38" spans="1:25" x14ac:dyDescent="0.55000000000000004">
      <c r="A38">
        <v>2021</v>
      </c>
      <c r="B38" t="s">
        <v>689</v>
      </c>
      <c r="C38" t="s">
        <v>638</v>
      </c>
      <c r="D38" t="s">
        <v>1207</v>
      </c>
      <c r="E38" t="s">
        <v>1207</v>
      </c>
      <c r="F38" t="s">
        <v>638</v>
      </c>
      <c r="G38" t="s">
        <v>55</v>
      </c>
      <c r="H38" s="5">
        <f>SUMPRODUCT(SUMIF(FinalPayment_NoReorg!$F$2:$F$331,FinalPayment!$D38:$F38,FinalPayment_NoReorg!$L$2:$L$331))+SUMPRODUCT(SUMIF(FinalPayment_NoReorg!$F$2:$F$331,FinalPayment!$D38:$F38,FinalPayment_NoReorg!$N$2:$N$331))</f>
        <v>45899</v>
      </c>
      <c r="I38" s="5">
        <f t="shared" si="1"/>
        <v>4590</v>
      </c>
      <c r="J38" s="5">
        <f t="shared" si="1"/>
        <v>4590</v>
      </c>
      <c r="K38" s="5">
        <f t="shared" si="1"/>
        <v>4590</v>
      </c>
      <c r="L38" s="5">
        <f t="shared" si="1"/>
        <v>4590</v>
      </c>
      <c r="M38" s="5">
        <f t="shared" si="2"/>
        <v>4590</v>
      </c>
      <c r="N38" s="5">
        <f t="shared" si="2"/>
        <v>4590</v>
      </c>
      <c r="O38" s="5">
        <f t="shared" si="2"/>
        <v>4590</v>
      </c>
      <c r="P38" s="5">
        <f t="shared" si="2"/>
        <v>4590</v>
      </c>
      <c r="Q38" s="5">
        <f t="shared" si="3"/>
        <v>4590</v>
      </c>
      <c r="R38" s="5">
        <f t="shared" si="4"/>
        <v>4589</v>
      </c>
      <c r="U38" s="8">
        <f t="shared" si="5"/>
        <v>0</v>
      </c>
      <c r="V38" s="8">
        <f>IFERROR(INDEX('Payment 1 through 9'!$A$1:$B$330,MATCH(CONCATENATE(FinalPayment!$F38,"0000"),'Payment 1 through 9'!$A$1:$A$330,0),2)*9,0)</f>
        <v>39024</v>
      </c>
      <c r="W38" s="8">
        <f>IFERROR(INDEX('FinalPayment 10'!$A$1:$B$330,MATCH(CONCATENATE(FinalPayment!$F38,"0000"),'FinalPayment 10'!$A$1:$A$330,0),2),0)</f>
        <v>4337</v>
      </c>
      <c r="X38" s="8">
        <f t="shared" si="6"/>
        <v>43361</v>
      </c>
      <c r="Y38" s="8">
        <f t="shared" si="7"/>
        <v>2538</v>
      </c>
    </row>
    <row r="39" spans="1:25" x14ac:dyDescent="0.55000000000000004">
      <c r="A39">
        <v>2021</v>
      </c>
      <c r="B39" t="s">
        <v>707</v>
      </c>
      <c r="C39" t="s">
        <v>637</v>
      </c>
      <c r="D39" t="s">
        <v>1207</v>
      </c>
      <c r="E39" t="s">
        <v>1207</v>
      </c>
      <c r="F39" t="s">
        <v>637</v>
      </c>
      <c r="G39" t="s">
        <v>56</v>
      </c>
      <c r="H39" s="5">
        <f>SUMPRODUCT(SUMIF(FinalPayment_NoReorg!$F$2:$F$331,FinalPayment!$D39:$F39,FinalPayment_NoReorg!$L$2:$L$331))+SUMPRODUCT(SUMIF(FinalPayment_NoReorg!$F$2:$F$331,FinalPayment!$D39:$F39,FinalPayment_NoReorg!$N$2:$N$331))</f>
        <v>86135</v>
      </c>
      <c r="I39" s="5">
        <f t="shared" si="1"/>
        <v>8614</v>
      </c>
      <c r="J39" s="5">
        <f t="shared" si="1"/>
        <v>8614</v>
      </c>
      <c r="K39" s="5">
        <f t="shared" si="1"/>
        <v>8614</v>
      </c>
      <c r="L39" s="5">
        <f t="shared" si="1"/>
        <v>8614</v>
      </c>
      <c r="M39" s="5">
        <f t="shared" si="2"/>
        <v>8614</v>
      </c>
      <c r="N39" s="5">
        <f t="shared" si="2"/>
        <v>8614</v>
      </c>
      <c r="O39" s="5">
        <f t="shared" si="2"/>
        <v>8614</v>
      </c>
      <c r="P39" s="5">
        <f t="shared" si="2"/>
        <v>8614</v>
      </c>
      <c r="Q39" s="5">
        <f t="shared" si="3"/>
        <v>8614</v>
      </c>
      <c r="R39" s="5">
        <f t="shared" si="4"/>
        <v>8609</v>
      </c>
      <c r="U39" s="8">
        <f t="shared" si="5"/>
        <v>0</v>
      </c>
      <c r="V39" s="8">
        <f>IFERROR(INDEX('Payment 1 through 9'!$A$1:$B$330,MATCH(CONCATENATE(FinalPayment!$F39,"0000"),'Payment 1 through 9'!$A$1:$A$330,0),2)*9,0)</f>
        <v>73476</v>
      </c>
      <c r="W39" s="8">
        <f>IFERROR(INDEX('FinalPayment 10'!$A$1:$B$330,MATCH(CONCATENATE(FinalPayment!$F39,"0000"),'FinalPayment 10'!$A$1:$A$330,0),2),0)</f>
        <v>8163</v>
      </c>
      <c r="X39" s="8">
        <f t="shared" si="6"/>
        <v>81639</v>
      </c>
      <c r="Y39" s="8">
        <f t="shared" si="7"/>
        <v>4496</v>
      </c>
    </row>
    <row r="40" spans="1:25" x14ac:dyDescent="0.55000000000000004">
      <c r="A40">
        <v>2021</v>
      </c>
      <c r="B40" t="s">
        <v>690</v>
      </c>
      <c r="C40" t="s">
        <v>640</v>
      </c>
      <c r="D40" t="s">
        <v>1207</v>
      </c>
      <c r="E40" t="s">
        <v>1207</v>
      </c>
      <c r="F40" t="s">
        <v>640</v>
      </c>
      <c r="G40" t="s">
        <v>639</v>
      </c>
      <c r="H40" s="5">
        <f>SUMPRODUCT(SUMIF(FinalPayment_NoReorg!$F$2:$F$331,FinalPayment!$D40:$F40,FinalPayment_NoReorg!$L$2:$L$331))+SUMPRODUCT(SUMIF(FinalPayment_NoReorg!$F$2:$F$331,FinalPayment!$D40:$F40,FinalPayment_NoReorg!$N$2:$N$331))</f>
        <v>140139</v>
      </c>
      <c r="I40" s="5">
        <f t="shared" si="1"/>
        <v>14014</v>
      </c>
      <c r="J40" s="5">
        <f t="shared" si="1"/>
        <v>14014</v>
      </c>
      <c r="K40" s="5">
        <f t="shared" si="1"/>
        <v>14014</v>
      </c>
      <c r="L40" s="5">
        <f t="shared" si="1"/>
        <v>14014</v>
      </c>
      <c r="M40" s="5">
        <f t="shared" si="2"/>
        <v>14014</v>
      </c>
      <c r="N40" s="5">
        <f t="shared" si="2"/>
        <v>14014</v>
      </c>
      <c r="O40" s="5">
        <f t="shared" si="2"/>
        <v>14014</v>
      </c>
      <c r="P40" s="5">
        <f t="shared" si="2"/>
        <v>14014</v>
      </c>
      <c r="Q40" s="5">
        <f t="shared" si="3"/>
        <v>14014</v>
      </c>
      <c r="R40" s="5">
        <f t="shared" si="4"/>
        <v>14013</v>
      </c>
      <c r="U40" s="8">
        <f t="shared" si="5"/>
        <v>0</v>
      </c>
      <c r="V40" s="8">
        <f>IFERROR(INDEX('Payment 1 through 9'!$A$1:$B$330,MATCH(CONCATENATE(FinalPayment!$F40,"0000"),'Payment 1 through 9'!$A$1:$A$330,0),2)*9,0)</f>
        <v>121446</v>
      </c>
      <c r="W40" s="8">
        <f>IFERROR(INDEX('FinalPayment 10'!$A$1:$B$330,MATCH(CONCATENATE(FinalPayment!$F40,"0000"),'FinalPayment 10'!$A$1:$A$330,0),2),0)</f>
        <v>13492</v>
      </c>
      <c r="X40" s="8">
        <f t="shared" si="6"/>
        <v>134938</v>
      </c>
      <c r="Y40" s="8">
        <f t="shared" si="7"/>
        <v>5201</v>
      </c>
    </row>
    <row r="41" spans="1:25" x14ac:dyDescent="0.55000000000000004">
      <c r="A41">
        <v>2021</v>
      </c>
      <c r="B41" t="s">
        <v>707</v>
      </c>
      <c r="C41" t="s">
        <v>636</v>
      </c>
      <c r="D41" t="s">
        <v>1207</v>
      </c>
      <c r="E41" t="s">
        <v>1207</v>
      </c>
      <c r="F41" t="s">
        <v>636</v>
      </c>
      <c r="G41" t="s">
        <v>57</v>
      </c>
      <c r="H41" s="5">
        <f>SUMPRODUCT(SUMIF(FinalPayment_NoReorg!$F$2:$F$331,FinalPayment!$D41:$F41,FinalPayment_NoReorg!$L$2:$L$331))+SUMPRODUCT(SUMIF(FinalPayment_NoReorg!$F$2:$F$331,FinalPayment!$D41:$F41,FinalPayment_NoReorg!$N$2:$N$331))</f>
        <v>672</v>
      </c>
      <c r="I41" s="5">
        <f t="shared" si="1"/>
        <v>67</v>
      </c>
      <c r="J41" s="5">
        <f t="shared" si="1"/>
        <v>67</v>
      </c>
      <c r="K41" s="5">
        <f t="shared" si="1"/>
        <v>67</v>
      </c>
      <c r="L41" s="5">
        <f t="shared" si="1"/>
        <v>67</v>
      </c>
      <c r="M41" s="5">
        <f t="shared" si="2"/>
        <v>67</v>
      </c>
      <c r="N41" s="5">
        <f t="shared" si="2"/>
        <v>67</v>
      </c>
      <c r="O41" s="5">
        <f t="shared" si="2"/>
        <v>67</v>
      </c>
      <c r="P41" s="5">
        <f t="shared" si="2"/>
        <v>67</v>
      </c>
      <c r="Q41" s="5">
        <f t="shared" si="3"/>
        <v>67</v>
      </c>
      <c r="R41" s="5">
        <f t="shared" si="4"/>
        <v>69</v>
      </c>
      <c r="U41" s="8">
        <f t="shared" si="5"/>
        <v>0</v>
      </c>
      <c r="V41" s="8">
        <f>IFERROR(INDEX('Payment 1 through 9'!$A$1:$B$330,MATCH(CONCATENATE(FinalPayment!$F41,"0000"),'Payment 1 through 9'!$A$1:$A$330,0),2)*9,0)</f>
        <v>0</v>
      </c>
      <c r="W41" s="8">
        <f>IFERROR(INDEX('FinalPayment 10'!$A$1:$B$330,MATCH(CONCATENATE(FinalPayment!$F41,"0000"),'FinalPayment 10'!$A$1:$A$330,0),2),0)</f>
        <v>0</v>
      </c>
      <c r="X41" s="8">
        <f t="shared" si="6"/>
        <v>0</v>
      </c>
      <c r="Y41" s="8">
        <f t="shared" si="7"/>
        <v>672</v>
      </c>
    </row>
    <row r="42" spans="1:25" x14ac:dyDescent="0.55000000000000004">
      <c r="A42">
        <v>2021</v>
      </c>
      <c r="B42" t="s">
        <v>696</v>
      </c>
      <c r="C42" t="s">
        <v>635</v>
      </c>
      <c r="D42" t="s">
        <v>1207</v>
      </c>
      <c r="E42" t="s">
        <v>1207</v>
      </c>
      <c r="F42" t="s">
        <v>635</v>
      </c>
      <c r="G42" t="s">
        <v>58</v>
      </c>
      <c r="H42" s="5">
        <f>SUMPRODUCT(SUMIF(FinalPayment_NoReorg!$F$2:$F$331,FinalPayment!$D42:$F42,FinalPayment_NoReorg!$L$2:$L$331))+SUMPRODUCT(SUMIF(FinalPayment_NoReorg!$F$2:$F$331,FinalPayment!$D42:$F42,FinalPayment_NoReorg!$N$2:$N$331))</f>
        <v>276571</v>
      </c>
      <c r="I42" s="5">
        <f t="shared" si="1"/>
        <v>27657</v>
      </c>
      <c r="J42" s="5">
        <f t="shared" si="1"/>
        <v>27657</v>
      </c>
      <c r="K42" s="5">
        <f t="shared" si="1"/>
        <v>27657</v>
      </c>
      <c r="L42" s="5">
        <f t="shared" si="1"/>
        <v>27657</v>
      </c>
      <c r="M42" s="5">
        <f t="shared" si="2"/>
        <v>27657</v>
      </c>
      <c r="N42" s="5">
        <f t="shared" si="2"/>
        <v>27657</v>
      </c>
      <c r="O42" s="5">
        <f t="shared" si="2"/>
        <v>27657</v>
      </c>
      <c r="P42" s="5">
        <f t="shared" si="2"/>
        <v>27657</v>
      </c>
      <c r="Q42" s="5">
        <f t="shared" si="3"/>
        <v>27657</v>
      </c>
      <c r="R42" s="5">
        <f t="shared" si="4"/>
        <v>27658</v>
      </c>
      <c r="U42" s="8">
        <f t="shared" si="5"/>
        <v>0</v>
      </c>
      <c r="V42" s="8">
        <f>IFERROR(INDEX('Payment 1 through 9'!$A$1:$B$330,MATCH(CONCATENATE(FinalPayment!$F42,"0000"),'Payment 1 through 9'!$A$1:$A$330,0),2)*9,0)</f>
        <v>243477</v>
      </c>
      <c r="W42" s="8">
        <f>IFERROR(INDEX('FinalPayment 10'!$A$1:$B$330,MATCH(CONCATENATE(FinalPayment!$F42,"0000"),'FinalPayment 10'!$A$1:$A$330,0),2),0)</f>
        <v>27053</v>
      </c>
      <c r="X42" s="8">
        <f t="shared" si="6"/>
        <v>270530</v>
      </c>
      <c r="Y42" s="8">
        <f t="shared" si="7"/>
        <v>6041</v>
      </c>
    </row>
    <row r="43" spans="1:25" x14ac:dyDescent="0.55000000000000004">
      <c r="A43">
        <v>2021</v>
      </c>
      <c r="B43" t="s">
        <v>686</v>
      </c>
      <c r="C43" t="s">
        <v>634</v>
      </c>
      <c r="D43" t="s">
        <v>1207</v>
      </c>
      <c r="E43" t="s">
        <v>1207</v>
      </c>
      <c r="F43" t="s">
        <v>634</v>
      </c>
      <c r="G43" t="s">
        <v>59</v>
      </c>
      <c r="H43" s="5">
        <f>SUMPRODUCT(SUMIF(FinalPayment_NoReorg!$F$2:$F$331,FinalPayment!$D43:$F43,FinalPayment_NoReorg!$L$2:$L$331))+SUMPRODUCT(SUMIF(FinalPayment_NoReorg!$F$2:$F$331,FinalPayment!$D43:$F43,FinalPayment_NoReorg!$N$2:$N$331))</f>
        <v>70301</v>
      </c>
      <c r="I43" s="5">
        <f t="shared" si="1"/>
        <v>7030</v>
      </c>
      <c r="J43" s="5">
        <f t="shared" si="1"/>
        <v>7030</v>
      </c>
      <c r="K43" s="5">
        <f t="shared" si="1"/>
        <v>7030</v>
      </c>
      <c r="L43" s="5">
        <f t="shared" si="1"/>
        <v>7030</v>
      </c>
      <c r="M43" s="5">
        <f t="shared" si="2"/>
        <v>7030</v>
      </c>
      <c r="N43" s="5">
        <f t="shared" si="2"/>
        <v>7030</v>
      </c>
      <c r="O43" s="5">
        <f t="shared" si="2"/>
        <v>7030</v>
      </c>
      <c r="P43" s="5">
        <f t="shared" si="2"/>
        <v>7030</v>
      </c>
      <c r="Q43" s="5">
        <f t="shared" si="3"/>
        <v>7030</v>
      </c>
      <c r="R43" s="5">
        <f t="shared" si="4"/>
        <v>7031</v>
      </c>
      <c r="U43" s="8">
        <f t="shared" si="5"/>
        <v>0</v>
      </c>
      <c r="V43" s="8">
        <f>IFERROR(INDEX('Payment 1 through 9'!$A$1:$B$330,MATCH(CONCATENATE(FinalPayment!$F43,"0000"),'Payment 1 through 9'!$A$1:$A$330,0),2)*9,0)</f>
        <v>44397</v>
      </c>
      <c r="W43" s="8">
        <f>IFERROR(INDEX('FinalPayment 10'!$A$1:$B$330,MATCH(CONCATENATE(FinalPayment!$F43,"0000"),'FinalPayment 10'!$A$1:$A$330,0),2),0)</f>
        <v>4935</v>
      </c>
      <c r="X43" s="8">
        <f t="shared" si="6"/>
        <v>49332</v>
      </c>
      <c r="Y43" s="8">
        <f t="shared" si="7"/>
        <v>20969</v>
      </c>
    </row>
    <row r="44" spans="1:25" x14ac:dyDescent="0.55000000000000004">
      <c r="A44">
        <v>2021</v>
      </c>
      <c r="B44" t="s">
        <v>686</v>
      </c>
      <c r="C44" t="s">
        <v>633</v>
      </c>
      <c r="D44" t="s">
        <v>1207</v>
      </c>
      <c r="E44" t="s">
        <v>1207</v>
      </c>
      <c r="F44" t="s">
        <v>633</v>
      </c>
      <c r="G44" t="s">
        <v>60</v>
      </c>
      <c r="H44" s="5">
        <f>SUMPRODUCT(SUMIF(FinalPayment_NoReorg!$F$2:$F$331,FinalPayment!$D44:$F44,FinalPayment_NoReorg!$L$2:$L$331))+SUMPRODUCT(SUMIF(FinalPayment_NoReorg!$F$2:$F$331,FinalPayment!$D44:$F44,FinalPayment_NoReorg!$N$2:$N$331))</f>
        <v>135622</v>
      </c>
      <c r="I44" s="5">
        <f t="shared" si="1"/>
        <v>13562</v>
      </c>
      <c r="J44" s="5">
        <f t="shared" si="1"/>
        <v>13562</v>
      </c>
      <c r="K44" s="5">
        <f t="shared" si="1"/>
        <v>13562</v>
      </c>
      <c r="L44" s="5">
        <f t="shared" si="1"/>
        <v>13562</v>
      </c>
      <c r="M44" s="5">
        <f t="shared" si="2"/>
        <v>13562</v>
      </c>
      <c r="N44" s="5">
        <f t="shared" si="2"/>
        <v>13562</v>
      </c>
      <c r="O44" s="5">
        <f t="shared" si="2"/>
        <v>13562</v>
      </c>
      <c r="P44" s="5">
        <f t="shared" si="2"/>
        <v>13562</v>
      </c>
      <c r="Q44" s="5">
        <f t="shared" si="3"/>
        <v>13562</v>
      </c>
      <c r="R44" s="5">
        <f t="shared" si="4"/>
        <v>13564</v>
      </c>
      <c r="U44" s="8">
        <f t="shared" si="5"/>
        <v>0</v>
      </c>
      <c r="V44" s="8">
        <f>IFERROR(INDEX('Payment 1 through 9'!$A$1:$B$330,MATCH(CONCATENATE(FinalPayment!$F44,"0000"),'Payment 1 through 9'!$A$1:$A$330,0),2)*9,0)</f>
        <v>105885</v>
      </c>
      <c r="W44" s="8">
        <f>IFERROR(INDEX('FinalPayment 10'!$A$1:$B$330,MATCH(CONCATENATE(FinalPayment!$F44,"0000"),'FinalPayment 10'!$A$1:$A$330,0),2),0)</f>
        <v>11761</v>
      </c>
      <c r="X44" s="8">
        <f t="shared" si="6"/>
        <v>117646</v>
      </c>
      <c r="Y44" s="8">
        <f t="shared" si="7"/>
        <v>17976</v>
      </c>
    </row>
    <row r="45" spans="1:25" x14ac:dyDescent="0.55000000000000004">
      <c r="A45">
        <v>2021</v>
      </c>
      <c r="B45" t="s">
        <v>689</v>
      </c>
      <c r="C45" t="s">
        <v>632</v>
      </c>
      <c r="D45" t="s">
        <v>1207</v>
      </c>
      <c r="E45" t="s">
        <v>1207</v>
      </c>
      <c r="F45" t="s">
        <v>632</v>
      </c>
      <c r="G45" t="s">
        <v>61</v>
      </c>
      <c r="H45" s="5">
        <f>SUMPRODUCT(SUMIF(FinalPayment_NoReorg!$F$2:$F$331,FinalPayment!$D45:$F45,FinalPayment_NoReorg!$L$2:$L$331))+SUMPRODUCT(SUMIF(FinalPayment_NoReorg!$F$2:$F$331,FinalPayment!$D45:$F45,FinalPayment_NoReorg!$N$2:$N$331))</f>
        <v>4286</v>
      </c>
      <c r="I45" s="5">
        <f t="shared" si="1"/>
        <v>429</v>
      </c>
      <c r="J45" s="5">
        <f t="shared" si="1"/>
        <v>429</v>
      </c>
      <c r="K45" s="5">
        <f t="shared" si="1"/>
        <v>429</v>
      </c>
      <c r="L45" s="5">
        <f t="shared" si="1"/>
        <v>429</v>
      </c>
      <c r="M45" s="5">
        <f t="shared" si="2"/>
        <v>429</v>
      </c>
      <c r="N45" s="5">
        <f t="shared" si="2"/>
        <v>429</v>
      </c>
      <c r="O45" s="5">
        <f t="shared" si="2"/>
        <v>429</v>
      </c>
      <c r="P45" s="5">
        <f t="shared" si="2"/>
        <v>429</v>
      </c>
      <c r="Q45" s="5">
        <f t="shared" si="3"/>
        <v>429</v>
      </c>
      <c r="R45" s="5">
        <f t="shared" si="4"/>
        <v>425</v>
      </c>
      <c r="U45" s="8">
        <f t="shared" si="5"/>
        <v>0</v>
      </c>
      <c r="V45" s="8">
        <f>IFERROR(INDEX('Payment 1 through 9'!$A$1:$B$330,MATCH(CONCATENATE(FinalPayment!$F45,"0000"),'Payment 1 through 9'!$A$1:$A$330,0),2)*9,0)</f>
        <v>0</v>
      </c>
      <c r="W45" s="8">
        <f>IFERROR(INDEX('FinalPayment 10'!$A$1:$B$330,MATCH(CONCATENATE(FinalPayment!$F45,"0000"),'FinalPayment 10'!$A$1:$A$330,0),2),0)</f>
        <v>0</v>
      </c>
      <c r="X45" s="8">
        <f t="shared" si="6"/>
        <v>0</v>
      </c>
      <c r="Y45" s="8">
        <f t="shared" si="7"/>
        <v>4286</v>
      </c>
    </row>
    <row r="46" spans="1:25" x14ac:dyDescent="0.55000000000000004">
      <c r="A46">
        <v>2021</v>
      </c>
      <c r="B46" t="s">
        <v>698</v>
      </c>
      <c r="C46" t="s">
        <v>631</v>
      </c>
      <c r="D46" t="s">
        <v>1207</v>
      </c>
      <c r="E46" t="s">
        <v>1207</v>
      </c>
      <c r="F46" t="s">
        <v>631</v>
      </c>
      <c r="G46" t="s">
        <v>62</v>
      </c>
      <c r="H46" s="5">
        <f>SUMPRODUCT(SUMIF(FinalPayment_NoReorg!$F$2:$F$331,FinalPayment!$D46:$F46,FinalPayment_NoReorg!$L$2:$L$331))+SUMPRODUCT(SUMIF(FinalPayment_NoReorg!$F$2:$F$331,FinalPayment!$D46:$F46,FinalPayment_NoReorg!$N$2:$N$331))</f>
        <v>296155</v>
      </c>
      <c r="I46" s="5">
        <f t="shared" si="1"/>
        <v>29616</v>
      </c>
      <c r="J46" s="5">
        <f t="shared" si="1"/>
        <v>29616</v>
      </c>
      <c r="K46" s="5">
        <f t="shared" si="1"/>
        <v>29616</v>
      </c>
      <c r="L46" s="5">
        <f t="shared" si="1"/>
        <v>29616</v>
      </c>
      <c r="M46" s="5">
        <f t="shared" si="2"/>
        <v>29616</v>
      </c>
      <c r="N46" s="5">
        <f t="shared" si="2"/>
        <v>29616</v>
      </c>
      <c r="O46" s="5">
        <f t="shared" si="2"/>
        <v>29616</v>
      </c>
      <c r="P46" s="5">
        <f t="shared" si="2"/>
        <v>29616</v>
      </c>
      <c r="Q46" s="5">
        <f t="shared" si="3"/>
        <v>29616</v>
      </c>
      <c r="R46" s="5">
        <f t="shared" si="4"/>
        <v>29611</v>
      </c>
      <c r="U46" s="8">
        <f t="shared" si="5"/>
        <v>0</v>
      </c>
      <c r="V46" s="8">
        <f>IFERROR(INDEX('Payment 1 through 9'!$A$1:$B$330,MATCH(CONCATENATE(FinalPayment!$F46,"0000"),'Payment 1 through 9'!$A$1:$A$330,0),2)*9,0)</f>
        <v>105165</v>
      </c>
      <c r="W46" s="8">
        <f>IFERROR(INDEX('FinalPayment 10'!$A$1:$B$330,MATCH(CONCATENATE(FinalPayment!$F46,"0000"),'FinalPayment 10'!$A$1:$A$330,0),2),0)</f>
        <v>11689</v>
      </c>
      <c r="X46" s="8">
        <f t="shared" si="6"/>
        <v>116854</v>
      </c>
      <c r="Y46" s="8">
        <f t="shared" si="7"/>
        <v>179301</v>
      </c>
    </row>
    <row r="47" spans="1:25" x14ac:dyDescent="0.55000000000000004">
      <c r="A47">
        <v>2021</v>
      </c>
      <c r="B47" t="s">
        <v>698</v>
      </c>
      <c r="C47" t="s">
        <v>630</v>
      </c>
      <c r="D47" t="s">
        <v>1207</v>
      </c>
      <c r="E47" t="s">
        <v>1207</v>
      </c>
      <c r="F47" t="s">
        <v>630</v>
      </c>
      <c r="G47" t="s">
        <v>63</v>
      </c>
      <c r="H47" s="5">
        <f>SUMPRODUCT(SUMIF(FinalPayment_NoReorg!$F$2:$F$331,FinalPayment!$D47:$F47,FinalPayment_NoReorg!$L$2:$L$331))+SUMPRODUCT(SUMIF(FinalPayment_NoReorg!$F$2:$F$331,FinalPayment!$D47:$F47,FinalPayment_NoReorg!$N$2:$N$331))</f>
        <v>1090</v>
      </c>
      <c r="I47" s="5">
        <f t="shared" si="1"/>
        <v>109</v>
      </c>
      <c r="J47" s="5">
        <f t="shared" si="1"/>
        <v>109</v>
      </c>
      <c r="K47" s="5">
        <f t="shared" si="1"/>
        <v>109</v>
      </c>
      <c r="L47" s="5">
        <f t="shared" si="1"/>
        <v>109</v>
      </c>
      <c r="M47" s="5">
        <f t="shared" si="2"/>
        <v>109</v>
      </c>
      <c r="N47" s="5">
        <f t="shared" si="2"/>
        <v>109</v>
      </c>
      <c r="O47" s="5">
        <f t="shared" si="2"/>
        <v>109</v>
      </c>
      <c r="P47" s="5">
        <f t="shared" si="2"/>
        <v>109</v>
      </c>
      <c r="Q47" s="5">
        <f t="shared" si="3"/>
        <v>109</v>
      </c>
      <c r="R47" s="5">
        <f t="shared" si="4"/>
        <v>109</v>
      </c>
      <c r="U47" s="8">
        <f t="shared" si="5"/>
        <v>0</v>
      </c>
      <c r="V47" s="8">
        <f>IFERROR(INDEX('Payment 1 through 9'!$A$1:$B$330,MATCH(CONCATENATE(FinalPayment!$F47,"0000"),'Payment 1 through 9'!$A$1:$A$330,0),2)*9,0)</f>
        <v>0</v>
      </c>
      <c r="W47" s="8">
        <f>IFERROR(INDEX('FinalPayment 10'!$A$1:$B$330,MATCH(CONCATENATE(FinalPayment!$F47,"0000"),'FinalPayment 10'!$A$1:$A$330,0),2),0)</f>
        <v>0</v>
      </c>
      <c r="X47" s="8">
        <f t="shared" si="6"/>
        <v>0</v>
      </c>
      <c r="Y47" s="8">
        <f t="shared" si="7"/>
        <v>1090</v>
      </c>
    </row>
    <row r="48" spans="1:25" x14ac:dyDescent="0.55000000000000004">
      <c r="A48">
        <v>2021</v>
      </c>
      <c r="B48" t="s">
        <v>696</v>
      </c>
      <c r="C48" t="s">
        <v>629</v>
      </c>
      <c r="D48" t="s">
        <v>1207</v>
      </c>
      <c r="E48" t="s">
        <v>1207</v>
      </c>
      <c r="F48" t="s">
        <v>629</v>
      </c>
      <c r="G48" t="s">
        <v>64</v>
      </c>
      <c r="H48" s="5">
        <f>SUMPRODUCT(SUMIF(FinalPayment_NoReorg!$F$2:$F$331,FinalPayment!$D48:$F48,FinalPayment_NoReorg!$L$2:$L$331))+SUMPRODUCT(SUMIF(FinalPayment_NoReorg!$F$2:$F$331,FinalPayment!$D48:$F48,FinalPayment_NoReorg!$N$2:$N$331))</f>
        <v>1125</v>
      </c>
      <c r="I48" s="5">
        <f t="shared" si="1"/>
        <v>113</v>
      </c>
      <c r="J48" s="5">
        <f t="shared" si="1"/>
        <v>113</v>
      </c>
      <c r="K48" s="5">
        <f t="shared" si="1"/>
        <v>113</v>
      </c>
      <c r="L48" s="5">
        <f t="shared" si="1"/>
        <v>113</v>
      </c>
      <c r="M48" s="5">
        <f t="shared" si="2"/>
        <v>113</v>
      </c>
      <c r="N48" s="5">
        <f t="shared" si="2"/>
        <v>113</v>
      </c>
      <c r="O48" s="5">
        <f t="shared" si="2"/>
        <v>113</v>
      </c>
      <c r="P48" s="5">
        <f t="shared" si="2"/>
        <v>113</v>
      </c>
      <c r="Q48" s="5">
        <f t="shared" si="3"/>
        <v>113</v>
      </c>
      <c r="R48" s="5">
        <f t="shared" si="4"/>
        <v>108</v>
      </c>
      <c r="U48" s="8">
        <f t="shared" si="5"/>
        <v>0</v>
      </c>
      <c r="V48" s="8">
        <f>IFERROR(INDEX('Payment 1 through 9'!$A$1:$B$330,MATCH(CONCATENATE(FinalPayment!$F48,"0000"),'Payment 1 through 9'!$A$1:$A$330,0),2)*9,0)</f>
        <v>0</v>
      </c>
      <c r="W48" s="8">
        <f>IFERROR(INDEX('FinalPayment 10'!$A$1:$B$330,MATCH(CONCATENATE(FinalPayment!$F48,"0000"),'FinalPayment 10'!$A$1:$A$330,0),2),0)</f>
        <v>0</v>
      </c>
      <c r="X48" s="8">
        <f t="shared" si="6"/>
        <v>0</v>
      </c>
      <c r="Y48" s="8">
        <f t="shared" si="7"/>
        <v>1125</v>
      </c>
    </row>
    <row r="49" spans="1:25" x14ac:dyDescent="0.55000000000000004">
      <c r="A49">
        <v>2021</v>
      </c>
      <c r="B49" t="s">
        <v>698</v>
      </c>
      <c r="C49" t="s">
        <v>624</v>
      </c>
      <c r="D49" t="s">
        <v>1207</v>
      </c>
      <c r="E49" t="s">
        <v>1207</v>
      </c>
      <c r="F49" t="s">
        <v>624</v>
      </c>
      <c r="G49" t="s">
        <v>67</v>
      </c>
      <c r="H49" s="5">
        <f>SUMPRODUCT(SUMIF(FinalPayment_NoReorg!$F$2:$F$331,FinalPayment!$D49:$F49,FinalPayment_NoReorg!$L$2:$L$331))+SUMPRODUCT(SUMIF(FinalPayment_NoReorg!$F$2:$F$331,FinalPayment!$D49:$F49,FinalPayment_NoReorg!$N$2:$N$331))</f>
        <v>376</v>
      </c>
      <c r="I49" s="5">
        <f t="shared" si="1"/>
        <v>38</v>
      </c>
      <c r="J49" s="5">
        <f t="shared" si="1"/>
        <v>38</v>
      </c>
      <c r="K49" s="5">
        <f t="shared" si="1"/>
        <v>38</v>
      </c>
      <c r="L49" s="5">
        <f t="shared" si="1"/>
        <v>38</v>
      </c>
      <c r="M49" s="5">
        <f t="shared" si="2"/>
        <v>38</v>
      </c>
      <c r="N49" s="5">
        <f t="shared" si="2"/>
        <v>38</v>
      </c>
      <c r="O49" s="5">
        <f t="shared" si="2"/>
        <v>38</v>
      </c>
      <c r="P49" s="5">
        <f t="shared" si="2"/>
        <v>38</v>
      </c>
      <c r="Q49" s="5">
        <f t="shared" si="3"/>
        <v>38</v>
      </c>
      <c r="R49" s="5">
        <f t="shared" si="4"/>
        <v>34</v>
      </c>
      <c r="U49" s="8">
        <f t="shared" si="5"/>
        <v>0</v>
      </c>
      <c r="V49" s="8">
        <f>IFERROR(INDEX('Payment 1 through 9'!$A$1:$B$330,MATCH(CONCATENATE(FinalPayment!$F49,"0000"),'Payment 1 through 9'!$A$1:$A$330,0),2)*9,0)</f>
        <v>0</v>
      </c>
      <c r="W49" s="8">
        <f>IFERROR(INDEX('FinalPayment 10'!$A$1:$B$330,MATCH(CONCATENATE(FinalPayment!$F49,"0000"),'FinalPayment 10'!$A$1:$A$330,0),2),0)</f>
        <v>0</v>
      </c>
      <c r="X49" s="8">
        <f t="shared" si="6"/>
        <v>0</v>
      </c>
      <c r="Y49" s="8">
        <f t="shared" si="7"/>
        <v>376</v>
      </c>
    </row>
    <row r="50" spans="1:25" x14ac:dyDescent="0.55000000000000004">
      <c r="A50">
        <v>2021</v>
      </c>
      <c r="B50" t="s">
        <v>703</v>
      </c>
      <c r="C50" t="s">
        <v>627</v>
      </c>
      <c r="D50" t="s">
        <v>1207</v>
      </c>
      <c r="E50" t="s">
        <v>1207</v>
      </c>
      <c r="F50" t="s">
        <v>627</v>
      </c>
      <c r="G50" t="s">
        <v>1211</v>
      </c>
      <c r="H50" s="5">
        <f>SUMPRODUCT(SUMIF(FinalPayment_NoReorg!$F$2:$F$331,FinalPayment!$D50:$F50,FinalPayment_NoReorg!$L$2:$L$331))+SUMPRODUCT(SUMIF(FinalPayment_NoReorg!$F$2:$F$331,FinalPayment!$D50:$F50,FinalPayment_NoReorg!$N$2:$N$331))</f>
        <v>142671</v>
      </c>
      <c r="I50" s="5">
        <f t="shared" si="1"/>
        <v>14267</v>
      </c>
      <c r="J50" s="5">
        <f t="shared" si="1"/>
        <v>14267</v>
      </c>
      <c r="K50" s="5">
        <f t="shared" si="1"/>
        <v>14267</v>
      </c>
      <c r="L50" s="5">
        <f t="shared" si="1"/>
        <v>14267</v>
      </c>
      <c r="M50" s="5">
        <f t="shared" si="2"/>
        <v>14267</v>
      </c>
      <c r="N50" s="5">
        <f t="shared" si="2"/>
        <v>14267</v>
      </c>
      <c r="O50" s="5">
        <f t="shared" si="2"/>
        <v>14267</v>
      </c>
      <c r="P50" s="5">
        <f t="shared" si="2"/>
        <v>14267</v>
      </c>
      <c r="Q50" s="5">
        <f t="shared" si="3"/>
        <v>14267</v>
      </c>
      <c r="R50" s="5">
        <f t="shared" si="4"/>
        <v>14268</v>
      </c>
      <c r="U50" s="8">
        <f t="shared" si="5"/>
        <v>0</v>
      </c>
      <c r="V50" s="8">
        <f>IFERROR(INDEX('Payment 1 through 9'!$A$1:$B$330,MATCH(CONCATENATE(FinalPayment!$F50,"0000"),'Payment 1 through 9'!$A$1:$A$330,0),2)*9,0)</f>
        <v>124362</v>
      </c>
      <c r="W50" s="8">
        <f>IFERROR(INDEX('FinalPayment 10'!$A$1:$B$330,MATCH(CONCATENATE(FinalPayment!$F50,"0000"),'FinalPayment 10'!$A$1:$A$330,0),2),0)</f>
        <v>13821</v>
      </c>
      <c r="X50" s="8">
        <f t="shared" si="6"/>
        <v>138183</v>
      </c>
      <c r="Y50" s="8">
        <f t="shared" si="7"/>
        <v>4488</v>
      </c>
    </row>
    <row r="51" spans="1:25" x14ac:dyDescent="0.55000000000000004">
      <c r="A51">
        <v>2021</v>
      </c>
      <c r="B51" t="s">
        <v>707</v>
      </c>
      <c r="C51" t="s">
        <v>626</v>
      </c>
      <c r="D51" t="s">
        <v>1207</v>
      </c>
      <c r="E51" t="s">
        <v>1207</v>
      </c>
      <c r="F51" t="s">
        <v>626</v>
      </c>
      <c r="G51" t="s">
        <v>1212</v>
      </c>
      <c r="H51" s="5">
        <f>SUMPRODUCT(SUMIF(FinalPayment_NoReorg!$F$2:$F$331,FinalPayment!$D51:$F51,FinalPayment_NoReorg!$L$2:$L$331))+SUMPRODUCT(SUMIF(FinalPayment_NoReorg!$F$2:$F$331,FinalPayment!$D51:$F51,FinalPayment_NoReorg!$N$2:$N$331))</f>
        <v>1205</v>
      </c>
      <c r="I51" s="5">
        <f t="shared" si="1"/>
        <v>121</v>
      </c>
      <c r="J51" s="5">
        <f t="shared" si="1"/>
        <v>121</v>
      </c>
      <c r="K51" s="5">
        <f t="shared" si="1"/>
        <v>121</v>
      </c>
      <c r="L51" s="5">
        <f t="shared" si="1"/>
        <v>121</v>
      </c>
      <c r="M51" s="5">
        <f t="shared" si="2"/>
        <v>121</v>
      </c>
      <c r="N51" s="5">
        <f t="shared" si="2"/>
        <v>121</v>
      </c>
      <c r="O51" s="5">
        <f t="shared" si="2"/>
        <v>121</v>
      </c>
      <c r="P51" s="5">
        <f t="shared" si="2"/>
        <v>121</v>
      </c>
      <c r="Q51" s="5">
        <f t="shared" si="3"/>
        <v>121</v>
      </c>
      <c r="R51" s="5">
        <f t="shared" si="4"/>
        <v>116</v>
      </c>
      <c r="U51" s="8">
        <f t="shared" si="5"/>
        <v>0</v>
      </c>
      <c r="V51" s="8">
        <f>IFERROR(INDEX('Payment 1 through 9'!$A$1:$B$330,MATCH(CONCATENATE(FinalPayment!$F51,"0000"),'Payment 1 through 9'!$A$1:$A$330,0),2)*9,0)</f>
        <v>0</v>
      </c>
      <c r="W51" s="8">
        <f>IFERROR(INDEX('FinalPayment 10'!$A$1:$B$330,MATCH(CONCATENATE(FinalPayment!$F51,"0000"),'FinalPayment 10'!$A$1:$A$330,0),2),0)</f>
        <v>0</v>
      </c>
      <c r="X51" s="8">
        <f t="shared" si="6"/>
        <v>0</v>
      </c>
      <c r="Y51" s="8">
        <f t="shared" si="7"/>
        <v>1205</v>
      </c>
    </row>
    <row r="52" spans="1:25" x14ac:dyDescent="0.55000000000000004">
      <c r="A52">
        <v>2021</v>
      </c>
      <c r="B52" t="s">
        <v>690</v>
      </c>
      <c r="C52" t="s">
        <v>623</v>
      </c>
      <c r="D52" t="s">
        <v>1207</v>
      </c>
      <c r="E52" t="s">
        <v>1207</v>
      </c>
      <c r="F52" t="s">
        <v>623</v>
      </c>
      <c r="G52" t="s">
        <v>68</v>
      </c>
      <c r="H52" s="5">
        <f>SUMPRODUCT(SUMIF(FinalPayment_NoReorg!$F$2:$F$331,FinalPayment!$D52:$F52,FinalPayment_NoReorg!$L$2:$L$331))+SUMPRODUCT(SUMIF(FinalPayment_NoReorg!$F$2:$F$331,FinalPayment!$D52:$F52,FinalPayment_NoReorg!$N$2:$N$331))</f>
        <v>461156</v>
      </c>
      <c r="I52" s="5">
        <f t="shared" si="1"/>
        <v>46116</v>
      </c>
      <c r="J52" s="5">
        <f t="shared" si="1"/>
        <v>46116</v>
      </c>
      <c r="K52" s="5">
        <f t="shared" si="1"/>
        <v>46116</v>
      </c>
      <c r="L52" s="5">
        <f t="shared" si="1"/>
        <v>46116</v>
      </c>
      <c r="M52" s="5">
        <f t="shared" si="2"/>
        <v>46116</v>
      </c>
      <c r="N52" s="5">
        <f t="shared" si="2"/>
        <v>46116</v>
      </c>
      <c r="O52" s="5">
        <f t="shared" si="2"/>
        <v>46116</v>
      </c>
      <c r="P52" s="5">
        <f t="shared" si="2"/>
        <v>46116</v>
      </c>
      <c r="Q52" s="5">
        <f t="shared" si="3"/>
        <v>46116</v>
      </c>
      <c r="R52" s="5">
        <f t="shared" si="4"/>
        <v>46112</v>
      </c>
      <c r="U52" s="8">
        <f t="shared" si="5"/>
        <v>0</v>
      </c>
      <c r="V52" s="8">
        <f>IFERROR(INDEX('Payment 1 through 9'!$A$1:$B$330,MATCH(CONCATENATE(FinalPayment!$F52,"0000"),'Payment 1 through 9'!$A$1:$A$330,0),2)*9,0)</f>
        <v>409176</v>
      </c>
      <c r="W52" s="8">
        <f>IFERROR(INDEX('FinalPayment 10'!$A$1:$B$330,MATCH(CONCATENATE(FinalPayment!$F52,"0000"),'FinalPayment 10'!$A$1:$A$330,0),2),0)</f>
        <v>45467</v>
      </c>
      <c r="X52" s="8">
        <f t="shared" si="6"/>
        <v>454643</v>
      </c>
      <c r="Y52" s="8">
        <f t="shared" si="7"/>
        <v>6513</v>
      </c>
    </row>
    <row r="53" spans="1:25" x14ac:dyDescent="0.55000000000000004">
      <c r="A53">
        <v>2021</v>
      </c>
      <c r="B53" t="s">
        <v>696</v>
      </c>
      <c r="C53" t="s">
        <v>628</v>
      </c>
      <c r="D53" t="s">
        <v>1207</v>
      </c>
      <c r="E53" t="s">
        <v>1207</v>
      </c>
      <c r="F53" t="s">
        <v>628</v>
      </c>
      <c r="G53" t="s">
        <v>65</v>
      </c>
      <c r="H53" s="5">
        <f>SUMPRODUCT(SUMIF(FinalPayment_NoReorg!$F$2:$F$331,FinalPayment!$D53:$F53,FinalPayment_NoReorg!$L$2:$L$331))+SUMPRODUCT(SUMIF(FinalPayment_NoReorg!$F$2:$F$331,FinalPayment!$D53:$F53,FinalPayment_NoReorg!$N$2:$N$331))</f>
        <v>252936</v>
      </c>
      <c r="I53" s="5">
        <f t="shared" si="1"/>
        <v>25294</v>
      </c>
      <c r="J53" s="5">
        <f t="shared" si="1"/>
        <v>25294</v>
      </c>
      <c r="K53" s="5">
        <f t="shared" si="1"/>
        <v>25294</v>
      </c>
      <c r="L53" s="5">
        <f t="shared" si="1"/>
        <v>25294</v>
      </c>
      <c r="M53" s="5">
        <f t="shared" si="2"/>
        <v>25294</v>
      </c>
      <c r="N53" s="5">
        <f t="shared" si="2"/>
        <v>25294</v>
      </c>
      <c r="O53" s="5">
        <f t="shared" si="2"/>
        <v>25294</v>
      </c>
      <c r="P53" s="5">
        <f t="shared" si="2"/>
        <v>25294</v>
      </c>
      <c r="Q53" s="5">
        <f t="shared" si="3"/>
        <v>25294</v>
      </c>
      <c r="R53" s="5">
        <f t="shared" si="4"/>
        <v>25290</v>
      </c>
      <c r="U53" s="8">
        <f t="shared" si="5"/>
        <v>0</v>
      </c>
      <c r="V53" s="8">
        <f>IFERROR(INDEX('Payment 1 through 9'!$A$1:$B$330,MATCH(CONCATENATE(FinalPayment!$F53,"0000"),'Payment 1 through 9'!$A$1:$A$330,0),2)*9,0)</f>
        <v>220365</v>
      </c>
      <c r="W53" s="8">
        <f>IFERROR(INDEX('FinalPayment 10'!$A$1:$B$330,MATCH(CONCATENATE(FinalPayment!$F53,"0000"),'FinalPayment 10'!$A$1:$A$330,0),2),0)</f>
        <v>24487</v>
      </c>
      <c r="X53" s="8">
        <f t="shared" si="6"/>
        <v>244852</v>
      </c>
      <c r="Y53" s="8">
        <f t="shared" si="7"/>
        <v>8084</v>
      </c>
    </row>
    <row r="54" spans="1:25" x14ac:dyDescent="0.55000000000000004">
      <c r="A54">
        <v>2021</v>
      </c>
      <c r="B54" t="s">
        <v>692</v>
      </c>
      <c r="C54" t="s">
        <v>622</v>
      </c>
      <c r="D54" t="s">
        <v>1207</v>
      </c>
      <c r="E54" t="s">
        <v>1207</v>
      </c>
      <c r="F54" t="s">
        <v>622</v>
      </c>
      <c r="G54" t="s">
        <v>69</v>
      </c>
      <c r="H54" s="5">
        <f>SUMPRODUCT(SUMIF(FinalPayment_NoReorg!$F$2:$F$331,FinalPayment!$D54:$F54,FinalPayment_NoReorg!$L$2:$L$331))+SUMPRODUCT(SUMIF(FinalPayment_NoReorg!$F$2:$F$331,FinalPayment!$D54:$F54,FinalPayment_NoReorg!$N$2:$N$331))</f>
        <v>634</v>
      </c>
      <c r="I54" s="5">
        <f t="shared" si="1"/>
        <v>63</v>
      </c>
      <c r="J54" s="5">
        <f t="shared" si="1"/>
        <v>63</v>
      </c>
      <c r="K54" s="5">
        <f t="shared" si="1"/>
        <v>63</v>
      </c>
      <c r="L54" s="5">
        <f t="shared" si="1"/>
        <v>63</v>
      </c>
      <c r="M54" s="5">
        <f t="shared" si="2"/>
        <v>63</v>
      </c>
      <c r="N54" s="5">
        <f t="shared" si="2"/>
        <v>63</v>
      </c>
      <c r="O54" s="5">
        <f t="shared" si="2"/>
        <v>63</v>
      </c>
      <c r="P54" s="5">
        <f t="shared" si="2"/>
        <v>63</v>
      </c>
      <c r="Q54" s="5">
        <f t="shared" si="3"/>
        <v>63</v>
      </c>
      <c r="R54" s="5">
        <f t="shared" si="4"/>
        <v>67</v>
      </c>
      <c r="U54" s="8">
        <f t="shared" si="5"/>
        <v>0</v>
      </c>
      <c r="V54" s="8">
        <f>IFERROR(INDEX('Payment 1 through 9'!$A$1:$B$330,MATCH(CONCATENATE(FinalPayment!$F54,"0000"),'Payment 1 through 9'!$A$1:$A$330,0),2)*9,0)</f>
        <v>0</v>
      </c>
      <c r="W54" s="8">
        <f>IFERROR(INDEX('FinalPayment 10'!$A$1:$B$330,MATCH(CONCATENATE(FinalPayment!$F54,"0000"),'FinalPayment 10'!$A$1:$A$330,0),2),0)</f>
        <v>0</v>
      </c>
      <c r="X54" s="8">
        <f t="shared" si="6"/>
        <v>0</v>
      </c>
      <c r="Y54" s="8">
        <f t="shared" si="7"/>
        <v>634</v>
      </c>
    </row>
    <row r="55" spans="1:25" x14ac:dyDescent="0.55000000000000004">
      <c r="A55">
        <v>2021</v>
      </c>
      <c r="B55" t="s">
        <v>689</v>
      </c>
      <c r="C55" t="s">
        <v>468</v>
      </c>
      <c r="D55" t="s">
        <v>1207</v>
      </c>
      <c r="E55" t="s">
        <v>1207</v>
      </c>
      <c r="F55" t="s">
        <v>468</v>
      </c>
      <c r="G55" t="s">
        <v>332</v>
      </c>
      <c r="H55" s="5">
        <f>SUMPRODUCT(SUMIF(FinalPayment_NoReorg!$F$2:$F$331,FinalPayment!$D55:$F55,FinalPayment_NoReorg!$L$2:$L$331))+SUMPRODUCT(SUMIF(FinalPayment_NoReorg!$F$2:$F$331,FinalPayment!$D55:$F55,FinalPayment_NoReorg!$N$2:$N$331))</f>
        <v>136046</v>
      </c>
      <c r="I55" s="5">
        <f t="shared" si="1"/>
        <v>13605</v>
      </c>
      <c r="J55" s="5">
        <f t="shared" si="1"/>
        <v>13605</v>
      </c>
      <c r="K55" s="5">
        <f t="shared" si="1"/>
        <v>13605</v>
      </c>
      <c r="L55" s="5">
        <f t="shared" si="1"/>
        <v>13605</v>
      </c>
      <c r="M55" s="5">
        <f t="shared" si="2"/>
        <v>13605</v>
      </c>
      <c r="N55" s="5">
        <f t="shared" si="2"/>
        <v>13605</v>
      </c>
      <c r="O55" s="5">
        <f t="shared" si="2"/>
        <v>13605</v>
      </c>
      <c r="P55" s="5">
        <f t="shared" si="2"/>
        <v>13605</v>
      </c>
      <c r="Q55" s="5">
        <f t="shared" si="3"/>
        <v>13605</v>
      </c>
      <c r="R55" s="5">
        <f t="shared" si="4"/>
        <v>13601</v>
      </c>
      <c r="U55" s="8">
        <f t="shared" si="5"/>
        <v>0</v>
      </c>
      <c r="V55" s="8">
        <f>IFERROR(INDEX('Payment 1 through 9'!$A$1:$B$330,MATCH(CONCATENATE(FinalPayment!$F55,"0000"),'Payment 1 through 9'!$A$1:$A$330,0),2)*9,0)</f>
        <v>114849</v>
      </c>
      <c r="W55" s="8">
        <f>IFERROR(INDEX('FinalPayment 10'!$A$1:$B$330,MATCH(CONCATENATE(FinalPayment!$F55,"0000"),'FinalPayment 10'!$A$1:$A$330,0),2),0)</f>
        <v>12764</v>
      </c>
      <c r="X55" s="8">
        <f t="shared" si="6"/>
        <v>127613</v>
      </c>
      <c r="Y55" s="8">
        <f t="shared" si="7"/>
        <v>8433</v>
      </c>
    </row>
    <row r="56" spans="1:25" x14ac:dyDescent="0.55000000000000004">
      <c r="A56">
        <v>2021</v>
      </c>
      <c r="B56" t="s">
        <v>696</v>
      </c>
      <c r="C56" t="s">
        <v>621</v>
      </c>
      <c r="D56" t="s">
        <v>1207</v>
      </c>
      <c r="E56" t="s">
        <v>1207</v>
      </c>
      <c r="F56" t="s">
        <v>621</v>
      </c>
      <c r="G56" t="s">
        <v>70</v>
      </c>
      <c r="H56" s="5">
        <f>SUMPRODUCT(SUMIF(FinalPayment_NoReorg!$F$2:$F$331,FinalPayment!$D56:$F56,FinalPayment_NoReorg!$L$2:$L$331))+SUMPRODUCT(SUMIF(FinalPayment_NoReorg!$F$2:$F$331,FinalPayment!$D56:$F56,FinalPayment_NoReorg!$N$2:$N$331))</f>
        <v>103440</v>
      </c>
      <c r="I56" s="5">
        <f t="shared" si="1"/>
        <v>10344</v>
      </c>
      <c r="J56" s="5">
        <f t="shared" si="1"/>
        <v>10344</v>
      </c>
      <c r="K56" s="5">
        <f t="shared" si="1"/>
        <v>10344</v>
      </c>
      <c r="L56" s="5">
        <f t="shared" si="1"/>
        <v>10344</v>
      </c>
      <c r="M56" s="5">
        <f t="shared" si="2"/>
        <v>10344</v>
      </c>
      <c r="N56" s="5">
        <f t="shared" si="2"/>
        <v>10344</v>
      </c>
      <c r="O56" s="5">
        <f t="shared" si="2"/>
        <v>10344</v>
      </c>
      <c r="P56" s="5">
        <f t="shared" si="2"/>
        <v>10344</v>
      </c>
      <c r="Q56" s="5">
        <f t="shared" si="3"/>
        <v>10344</v>
      </c>
      <c r="R56" s="5">
        <f t="shared" si="4"/>
        <v>10344</v>
      </c>
      <c r="U56" s="8">
        <f t="shared" si="5"/>
        <v>0</v>
      </c>
      <c r="V56" s="8">
        <f>IFERROR(INDEX('Payment 1 through 9'!$A$1:$B$330,MATCH(CONCATENATE(FinalPayment!$F56,"0000"),'Payment 1 through 9'!$A$1:$A$330,0),2)*9,0)</f>
        <v>80946</v>
      </c>
      <c r="W56" s="8">
        <f>IFERROR(INDEX('FinalPayment 10'!$A$1:$B$330,MATCH(CONCATENATE(FinalPayment!$F56,"0000"),'FinalPayment 10'!$A$1:$A$330,0),2),0)</f>
        <v>8993</v>
      </c>
      <c r="X56" s="8">
        <f t="shared" si="6"/>
        <v>89939</v>
      </c>
      <c r="Y56" s="8">
        <f t="shared" si="7"/>
        <v>13501</v>
      </c>
    </row>
    <row r="57" spans="1:25" x14ac:dyDescent="0.55000000000000004">
      <c r="A57">
        <v>2021</v>
      </c>
      <c r="B57" t="s">
        <v>689</v>
      </c>
      <c r="C57" t="s">
        <v>620</v>
      </c>
      <c r="D57" t="s">
        <v>1207</v>
      </c>
      <c r="E57" t="s">
        <v>1207</v>
      </c>
      <c r="F57" t="s">
        <v>620</v>
      </c>
      <c r="G57" t="s">
        <v>71</v>
      </c>
      <c r="H57" s="5">
        <f>SUMPRODUCT(SUMIF(FinalPayment_NoReorg!$F$2:$F$331,FinalPayment!$D57:$F57,FinalPayment_NoReorg!$L$2:$L$331))+SUMPRODUCT(SUMIF(FinalPayment_NoReorg!$F$2:$F$331,FinalPayment!$D57:$F57,FinalPayment_NoReorg!$N$2:$N$331))</f>
        <v>1259</v>
      </c>
      <c r="I57" s="5">
        <f t="shared" si="1"/>
        <v>126</v>
      </c>
      <c r="J57" s="5">
        <f t="shared" si="1"/>
        <v>126</v>
      </c>
      <c r="K57" s="5">
        <f t="shared" si="1"/>
        <v>126</v>
      </c>
      <c r="L57" s="5">
        <f t="shared" si="1"/>
        <v>126</v>
      </c>
      <c r="M57" s="5">
        <f t="shared" si="2"/>
        <v>126</v>
      </c>
      <c r="N57" s="5">
        <f t="shared" si="2"/>
        <v>126</v>
      </c>
      <c r="O57" s="5">
        <f t="shared" si="2"/>
        <v>126</v>
      </c>
      <c r="P57" s="5">
        <f t="shared" si="2"/>
        <v>126</v>
      </c>
      <c r="Q57" s="5">
        <f t="shared" si="3"/>
        <v>126</v>
      </c>
      <c r="R57" s="5">
        <f t="shared" si="4"/>
        <v>125</v>
      </c>
      <c r="U57" s="8">
        <f t="shared" si="5"/>
        <v>0</v>
      </c>
      <c r="V57" s="8">
        <f>IFERROR(INDEX('Payment 1 through 9'!$A$1:$B$330,MATCH(CONCATENATE(FinalPayment!$F57,"0000"),'Payment 1 through 9'!$A$1:$A$330,0),2)*9,0)</f>
        <v>0</v>
      </c>
      <c r="W57" s="8">
        <f>IFERROR(INDEX('FinalPayment 10'!$A$1:$B$330,MATCH(CONCATENATE(FinalPayment!$F57,"0000"),'FinalPayment 10'!$A$1:$A$330,0),2),0)</f>
        <v>0</v>
      </c>
      <c r="X57" s="8">
        <f t="shared" si="6"/>
        <v>0</v>
      </c>
      <c r="Y57" s="8">
        <f t="shared" si="7"/>
        <v>1259</v>
      </c>
    </row>
    <row r="58" spans="1:25" x14ac:dyDescent="0.55000000000000004">
      <c r="A58">
        <v>2021</v>
      </c>
      <c r="B58" t="s">
        <v>692</v>
      </c>
      <c r="C58" t="s">
        <v>619</v>
      </c>
      <c r="D58" t="s">
        <v>1207</v>
      </c>
      <c r="E58" t="s">
        <v>1207</v>
      </c>
      <c r="F58" t="s">
        <v>619</v>
      </c>
      <c r="G58" t="s">
        <v>72</v>
      </c>
      <c r="H58" s="5">
        <f>SUMPRODUCT(SUMIF(FinalPayment_NoReorg!$F$2:$F$331,FinalPayment!$D58:$F58,FinalPayment_NoReorg!$L$2:$L$331))+SUMPRODUCT(SUMIF(FinalPayment_NoReorg!$F$2:$F$331,FinalPayment!$D58:$F58,FinalPayment_NoReorg!$N$2:$N$331))</f>
        <v>159704</v>
      </c>
      <c r="I58" s="5">
        <f t="shared" si="1"/>
        <v>15970</v>
      </c>
      <c r="J58" s="5">
        <f t="shared" si="1"/>
        <v>15970</v>
      </c>
      <c r="K58" s="5">
        <f t="shared" si="1"/>
        <v>15970</v>
      </c>
      <c r="L58" s="5">
        <f t="shared" si="1"/>
        <v>15970</v>
      </c>
      <c r="M58" s="5">
        <f t="shared" si="2"/>
        <v>15970</v>
      </c>
      <c r="N58" s="5">
        <f t="shared" si="2"/>
        <v>15970</v>
      </c>
      <c r="O58" s="5">
        <f t="shared" si="2"/>
        <v>15970</v>
      </c>
      <c r="P58" s="5">
        <f t="shared" si="2"/>
        <v>15970</v>
      </c>
      <c r="Q58" s="5">
        <f t="shared" si="3"/>
        <v>15970</v>
      </c>
      <c r="R58" s="5">
        <f t="shared" si="4"/>
        <v>15974</v>
      </c>
      <c r="U58" s="8">
        <f t="shared" si="5"/>
        <v>0</v>
      </c>
      <c r="V58" s="8">
        <f>IFERROR(INDEX('Payment 1 through 9'!$A$1:$B$330,MATCH(CONCATENATE(FinalPayment!$F58,"0000"),'Payment 1 through 9'!$A$1:$A$330,0),2)*9,0)</f>
        <v>141174</v>
      </c>
      <c r="W58" s="8">
        <f>IFERROR(INDEX('FinalPayment 10'!$A$1:$B$330,MATCH(CONCATENATE(FinalPayment!$F58,"0000"),'FinalPayment 10'!$A$1:$A$330,0),2),0)</f>
        <v>15686</v>
      </c>
      <c r="X58" s="8">
        <f t="shared" si="6"/>
        <v>156860</v>
      </c>
      <c r="Y58" s="8">
        <f t="shared" si="7"/>
        <v>2844</v>
      </c>
    </row>
    <row r="59" spans="1:25" x14ac:dyDescent="0.55000000000000004">
      <c r="A59">
        <v>2021</v>
      </c>
      <c r="B59" t="s">
        <v>692</v>
      </c>
      <c r="C59" t="s">
        <v>618</v>
      </c>
      <c r="D59" t="s">
        <v>1207</v>
      </c>
      <c r="E59" t="s">
        <v>1207</v>
      </c>
      <c r="F59" t="s">
        <v>618</v>
      </c>
      <c r="G59" t="s">
        <v>73</v>
      </c>
      <c r="H59" s="5">
        <f>SUMPRODUCT(SUMIF(FinalPayment_NoReorg!$F$2:$F$331,FinalPayment!$D59:$F59,FinalPayment_NoReorg!$L$2:$L$331))+SUMPRODUCT(SUMIF(FinalPayment_NoReorg!$F$2:$F$331,FinalPayment!$D59:$F59,FinalPayment_NoReorg!$N$2:$N$331))</f>
        <v>830</v>
      </c>
      <c r="I59" s="5">
        <f t="shared" si="1"/>
        <v>83</v>
      </c>
      <c r="J59" s="5">
        <f t="shared" si="1"/>
        <v>83</v>
      </c>
      <c r="K59" s="5">
        <f t="shared" si="1"/>
        <v>83</v>
      </c>
      <c r="L59" s="5">
        <f t="shared" si="1"/>
        <v>83</v>
      </c>
      <c r="M59" s="5">
        <f t="shared" si="2"/>
        <v>83</v>
      </c>
      <c r="N59" s="5">
        <f t="shared" si="2"/>
        <v>83</v>
      </c>
      <c r="O59" s="5">
        <f t="shared" si="2"/>
        <v>83</v>
      </c>
      <c r="P59" s="5">
        <f t="shared" si="2"/>
        <v>83</v>
      </c>
      <c r="Q59" s="5">
        <f t="shared" si="3"/>
        <v>83</v>
      </c>
      <c r="R59" s="5">
        <f t="shared" si="4"/>
        <v>83</v>
      </c>
      <c r="U59" s="8">
        <f t="shared" si="5"/>
        <v>0</v>
      </c>
      <c r="V59" s="8">
        <f>IFERROR(INDEX('Payment 1 through 9'!$A$1:$B$330,MATCH(CONCATENATE(FinalPayment!$F59,"0000"),'Payment 1 through 9'!$A$1:$A$330,0),2)*9,0)</f>
        <v>0</v>
      </c>
      <c r="W59" s="8">
        <f>IFERROR(INDEX('FinalPayment 10'!$A$1:$B$330,MATCH(CONCATENATE(FinalPayment!$F59,"0000"),'FinalPayment 10'!$A$1:$A$330,0),2),0)</f>
        <v>0</v>
      </c>
      <c r="X59" s="8">
        <f t="shared" si="6"/>
        <v>0</v>
      </c>
      <c r="Y59" s="8">
        <f t="shared" si="7"/>
        <v>830</v>
      </c>
    </row>
    <row r="60" spans="1:25" x14ac:dyDescent="0.55000000000000004">
      <c r="A60">
        <v>2021</v>
      </c>
      <c r="B60" t="s">
        <v>690</v>
      </c>
      <c r="C60" t="s">
        <v>617</v>
      </c>
      <c r="D60" t="s">
        <v>1207</v>
      </c>
      <c r="E60" t="s">
        <v>1207</v>
      </c>
      <c r="F60" t="s">
        <v>617</v>
      </c>
      <c r="G60" t="s">
        <v>74</v>
      </c>
      <c r="H60" s="5">
        <f>SUMPRODUCT(SUMIF(FinalPayment_NoReorg!$F$2:$F$331,FinalPayment!$D60:$F60,FinalPayment_NoReorg!$L$2:$L$331))+SUMPRODUCT(SUMIF(FinalPayment_NoReorg!$F$2:$F$331,FinalPayment!$D60:$F60,FinalPayment_NoReorg!$N$2:$N$331))</f>
        <v>809</v>
      </c>
      <c r="I60" s="5">
        <f t="shared" si="1"/>
        <v>81</v>
      </c>
      <c r="J60" s="5">
        <f t="shared" si="1"/>
        <v>81</v>
      </c>
      <c r="K60" s="5">
        <f t="shared" si="1"/>
        <v>81</v>
      </c>
      <c r="L60" s="5">
        <f t="shared" si="1"/>
        <v>81</v>
      </c>
      <c r="M60" s="5">
        <f t="shared" si="2"/>
        <v>81</v>
      </c>
      <c r="N60" s="5">
        <f t="shared" si="2"/>
        <v>81</v>
      </c>
      <c r="O60" s="5">
        <f t="shared" si="2"/>
        <v>81</v>
      </c>
      <c r="P60" s="5">
        <f t="shared" si="2"/>
        <v>81</v>
      </c>
      <c r="Q60" s="5">
        <f t="shared" si="3"/>
        <v>81</v>
      </c>
      <c r="R60" s="5">
        <f t="shared" si="4"/>
        <v>80</v>
      </c>
      <c r="U60" s="8">
        <f t="shared" si="5"/>
        <v>0</v>
      </c>
      <c r="V60" s="8">
        <f>IFERROR(INDEX('Payment 1 through 9'!$A$1:$B$330,MATCH(CONCATENATE(FinalPayment!$F60,"0000"),'Payment 1 through 9'!$A$1:$A$330,0),2)*9,0)</f>
        <v>0</v>
      </c>
      <c r="W60" s="8">
        <f>IFERROR(INDEX('FinalPayment 10'!$A$1:$B$330,MATCH(CONCATENATE(FinalPayment!$F60,"0000"),'FinalPayment 10'!$A$1:$A$330,0),2),0)</f>
        <v>0</v>
      </c>
      <c r="X60" s="8">
        <f t="shared" si="6"/>
        <v>0</v>
      </c>
      <c r="Y60" s="8">
        <f t="shared" si="7"/>
        <v>809</v>
      </c>
    </row>
    <row r="61" spans="1:25" x14ac:dyDescent="0.55000000000000004">
      <c r="A61">
        <v>2021</v>
      </c>
      <c r="B61" t="s">
        <v>694</v>
      </c>
      <c r="C61" t="s">
        <v>616</v>
      </c>
      <c r="D61" t="s">
        <v>749</v>
      </c>
      <c r="E61" t="s">
        <v>1207</v>
      </c>
      <c r="F61" t="s">
        <v>616</v>
      </c>
      <c r="G61" t="s">
        <v>344</v>
      </c>
      <c r="H61" s="5">
        <f>SUMPRODUCT(SUMIF(FinalPayment_NoReorg!$F$2:$F$331,FinalPayment!$D61:$F61,FinalPayment_NoReorg!$L$2:$L$331))+SUMPRODUCT(SUMIF(FinalPayment_NoReorg!$F$2:$F$331,FinalPayment!$D61:$F61,FinalPayment_NoReorg!$N$2:$N$331))</f>
        <v>334408</v>
      </c>
      <c r="I61" s="5">
        <f t="shared" si="1"/>
        <v>33441</v>
      </c>
      <c r="J61" s="5">
        <f t="shared" si="1"/>
        <v>33441</v>
      </c>
      <c r="K61" s="5">
        <f t="shared" si="1"/>
        <v>33441</v>
      </c>
      <c r="L61" s="5">
        <f t="shared" si="1"/>
        <v>33441</v>
      </c>
      <c r="M61" s="5">
        <f t="shared" si="2"/>
        <v>33441</v>
      </c>
      <c r="N61" s="5">
        <f t="shared" si="2"/>
        <v>33441</v>
      </c>
      <c r="O61" s="5">
        <f t="shared" si="2"/>
        <v>33441</v>
      </c>
      <c r="P61" s="5">
        <f t="shared" si="2"/>
        <v>33441</v>
      </c>
      <c r="Q61" s="5">
        <f t="shared" si="3"/>
        <v>33441</v>
      </c>
      <c r="R61" s="5">
        <f t="shared" si="4"/>
        <v>33439</v>
      </c>
      <c r="U61" s="8">
        <f t="shared" si="5"/>
        <v>0</v>
      </c>
      <c r="V61" s="8">
        <f>IFERROR(INDEX('Payment 1 through 9'!$A$1:$B$330,MATCH(CONCATENATE(FinalPayment!$F61,"0000"),'Payment 1 through 9'!$A$1:$A$330,0),2)*9,0)</f>
        <v>291987</v>
      </c>
      <c r="W61" s="8">
        <f>IFERROR(INDEX('FinalPayment 10'!$A$1:$B$330,MATCH(CONCATENATE(FinalPayment!$F61,"0000"),'FinalPayment 10'!$A$1:$A$330,0),2),0)</f>
        <v>32446</v>
      </c>
      <c r="X61" s="8">
        <f t="shared" si="6"/>
        <v>324433</v>
      </c>
      <c r="Y61" s="8">
        <f t="shared" si="7"/>
        <v>9975</v>
      </c>
    </row>
    <row r="62" spans="1:25" x14ac:dyDescent="0.55000000000000004">
      <c r="A62">
        <v>2021</v>
      </c>
      <c r="B62" t="s">
        <v>690</v>
      </c>
      <c r="C62" t="s">
        <v>615</v>
      </c>
      <c r="D62" t="s">
        <v>1207</v>
      </c>
      <c r="E62" t="s">
        <v>1207</v>
      </c>
      <c r="F62" t="s">
        <v>615</v>
      </c>
      <c r="G62" t="s">
        <v>75</v>
      </c>
      <c r="H62" s="5">
        <f>SUMPRODUCT(SUMIF(FinalPayment_NoReorg!$F$2:$F$331,FinalPayment!$D62:$F62,FinalPayment_NoReorg!$L$2:$L$331))+SUMPRODUCT(SUMIF(FinalPayment_NoReorg!$F$2:$F$331,FinalPayment!$D62:$F62,FinalPayment_NoReorg!$N$2:$N$331))</f>
        <v>99489</v>
      </c>
      <c r="I62" s="5">
        <f t="shared" si="1"/>
        <v>9949</v>
      </c>
      <c r="J62" s="5">
        <f t="shared" si="1"/>
        <v>9949</v>
      </c>
      <c r="K62" s="5">
        <f t="shared" si="1"/>
        <v>9949</v>
      </c>
      <c r="L62" s="5">
        <f t="shared" si="1"/>
        <v>9949</v>
      </c>
      <c r="M62" s="5">
        <f t="shared" si="2"/>
        <v>9949</v>
      </c>
      <c r="N62" s="5">
        <f t="shared" si="2"/>
        <v>9949</v>
      </c>
      <c r="O62" s="5">
        <f t="shared" si="2"/>
        <v>9949</v>
      </c>
      <c r="P62" s="5">
        <f t="shared" si="2"/>
        <v>9949</v>
      </c>
      <c r="Q62" s="5">
        <f t="shared" si="3"/>
        <v>9949</v>
      </c>
      <c r="R62" s="5">
        <f t="shared" si="4"/>
        <v>9948</v>
      </c>
      <c r="U62" s="8">
        <f t="shared" si="5"/>
        <v>0</v>
      </c>
      <c r="V62" s="8">
        <f>IFERROR(INDEX('Payment 1 through 9'!$A$1:$B$330,MATCH(CONCATENATE(FinalPayment!$F62,"0000"),'Payment 1 through 9'!$A$1:$A$330,0),2)*9,0)</f>
        <v>75726</v>
      </c>
      <c r="W62" s="8">
        <f>IFERROR(INDEX('FinalPayment 10'!$A$1:$B$330,MATCH(CONCATENATE(FinalPayment!$F62,"0000"),'FinalPayment 10'!$A$1:$A$330,0),2),0)</f>
        <v>8418</v>
      </c>
      <c r="X62" s="8">
        <f t="shared" si="6"/>
        <v>84144</v>
      </c>
      <c r="Y62" s="8">
        <f t="shared" si="7"/>
        <v>15345</v>
      </c>
    </row>
    <row r="63" spans="1:25" x14ac:dyDescent="0.55000000000000004">
      <c r="A63">
        <v>2021</v>
      </c>
      <c r="B63" t="s">
        <v>689</v>
      </c>
      <c r="C63" t="s">
        <v>614</v>
      </c>
      <c r="D63" t="s">
        <v>1207</v>
      </c>
      <c r="E63" t="s">
        <v>1207</v>
      </c>
      <c r="F63" t="s">
        <v>614</v>
      </c>
      <c r="G63" t="s">
        <v>76</v>
      </c>
      <c r="H63" s="5">
        <f>SUMPRODUCT(SUMIF(FinalPayment_NoReorg!$F$2:$F$331,FinalPayment!$D63:$F63,FinalPayment_NoReorg!$L$2:$L$331))+SUMPRODUCT(SUMIF(FinalPayment_NoReorg!$F$2:$F$331,FinalPayment!$D63:$F63,FinalPayment_NoReorg!$N$2:$N$331))</f>
        <v>254</v>
      </c>
      <c r="I63" s="5">
        <f t="shared" si="1"/>
        <v>25</v>
      </c>
      <c r="J63" s="5">
        <f t="shared" si="1"/>
        <v>25</v>
      </c>
      <c r="K63" s="5">
        <f t="shared" si="1"/>
        <v>25</v>
      </c>
      <c r="L63" s="5">
        <f t="shared" si="1"/>
        <v>25</v>
      </c>
      <c r="M63" s="5">
        <f t="shared" si="2"/>
        <v>25</v>
      </c>
      <c r="N63" s="5">
        <f t="shared" si="2"/>
        <v>25</v>
      </c>
      <c r="O63" s="5">
        <f t="shared" si="2"/>
        <v>25</v>
      </c>
      <c r="P63" s="5">
        <f t="shared" si="2"/>
        <v>25</v>
      </c>
      <c r="Q63" s="5">
        <f t="shared" si="3"/>
        <v>25</v>
      </c>
      <c r="R63" s="5">
        <f t="shared" si="4"/>
        <v>29</v>
      </c>
      <c r="U63" s="8">
        <f t="shared" si="5"/>
        <v>0</v>
      </c>
      <c r="V63" s="8">
        <f>IFERROR(INDEX('Payment 1 through 9'!$A$1:$B$330,MATCH(CONCATENATE(FinalPayment!$F63,"0000"),'Payment 1 through 9'!$A$1:$A$330,0),2)*9,0)</f>
        <v>0</v>
      </c>
      <c r="W63" s="8">
        <f>IFERROR(INDEX('FinalPayment 10'!$A$1:$B$330,MATCH(CONCATENATE(FinalPayment!$F63,"0000"),'FinalPayment 10'!$A$1:$A$330,0),2),0)</f>
        <v>0</v>
      </c>
      <c r="X63" s="8">
        <f t="shared" si="6"/>
        <v>0</v>
      </c>
      <c r="Y63" s="8">
        <f t="shared" si="7"/>
        <v>254</v>
      </c>
    </row>
    <row r="64" spans="1:25" x14ac:dyDescent="0.55000000000000004">
      <c r="A64">
        <v>2021</v>
      </c>
      <c r="B64" t="s">
        <v>694</v>
      </c>
      <c r="C64" t="s">
        <v>613</v>
      </c>
      <c r="D64" t="s">
        <v>1207</v>
      </c>
      <c r="E64" t="s">
        <v>1207</v>
      </c>
      <c r="F64" t="s">
        <v>613</v>
      </c>
      <c r="G64" t="s">
        <v>77</v>
      </c>
      <c r="H64" s="5">
        <f>SUMPRODUCT(SUMIF(FinalPayment_NoReorg!$F$2:$F$331,FinalPayment!$D64:$F64,FinalPayment_NoReorg!$L$2:$L$331))+SUMPRODUCT(SUMIF(FinalPayment_NoReorg!$F$2:$F$331,FinalPayment!$D64:$F64,FinalPayment_NoReorg!$N$2:$N$331))</f>
        <v>61008</v>
      </c>
      <c r="I64" s="5">
        <f t="shared" si="1"/>
        <v>6101</v>
      </c>
      <c r="J64" s="5">
        <f t="shared" si="1"/>
        <v>6101</v>
      </c>
      <c r="K64" s="5">
        <f t="shared" si="1"/>
        <v>6101</v>
      </c>
      <c r="L64" s="5">
        <f t="shared" si="1"/>
        <v>6101</v>
      </c>
      <c r="M64" s="5">
        <f t="shared" si="2"/>
        <v>6101</v>
      </c>
      <c r="N64" s="5">
        <f t="shared" si="2"/>
        <v>6101</v>
      </c>
      <c r="O64" s="5">
        <f t="shared" si="2"/>
        <v>6101</v>
      </c>
      <c r="P64" s="5">
        <f t="shared" si="2"/>
        <v>6101</v>
      </c>
      <c r="Q64" s="5">
        <f t="shared" si="3"/>
        <v>6101</v>
      </c>
      <c r="R64" s="5">
        <f t="shared" si="4"/>
        <v>6099</v>
      </c>
      <c r="U64" s="8">
        <f t="shared" si="5"/>
        <v>0</v>
      </c>
      <c r="V64" s="8">
        <f>IFERROR(INDEX('Payment 1 through 9'!$A$1:$B$330,MATCH(CONCATENATE(FinalPayment!$F64,"0000"),'Payment 1 through 9'!$A$1:$A$330,0),2)*9,0)</f>
        <v>51939</v>
      </c>
      <c r="W64" s="8">
        <f>IFERROR(INDEX('FinalPayment 10'!$A$1:$B$330,MATCH(CONCATENATE(FinalPayment!$F64,"0000"),'FinalPayment 10'!$A$1:$A$330,0),2),0)</f>
        <v>5767</v>
      </c>
      <c r="X64" s="8">
        <f t="shared" si="6"/>
        <v>57706</v>
      </c>
      <c r="Y64" s="8">
        <f t="shared" si="7"/>
        <v>3302</v>
      </c>
    </row>
    <row r="65" spans="1:25" x14ac:dyDescent="0.55000000000000004">
      <c r="A65">
        <v>2021</v>
      </c>
      <c r="B65" t="s">
        <v>703</v>
      </c>
      <c r="C65" t="s">
        <v>547</v>
      </c>
      <c r="D65" t="s">
        <v>1207</v>
      </c>
      <c r="E65" t="s">
        <v>1207</v>
      </c>
      <c r="F65" t="s">
        <v>547</v>
      </c>
      <c r="G65" t="s">
        <v>136</v>
      </c>
      <c r="H65" s="5">
        <f>SUMPRODUCT(SUMIF(FinalPayment_NoReorg!$F$2:$F$331,FinalPayment!$D65:$F65,FinalPayment_NoReorg!$L$2:$L$331))+SUMPRODUCT(SUMIF(FinalPayment_NoReorg!$F$2:$F$331,FinalPayment!$D65:$F65,FinalPayment_NoReorg!$N$2:$N$331))</f>
        <v>139727</v>
      </c>
      <c r="I65" s="5">
        <f t="shared" si="1"/>
        <v>13973</v>
      </c>
      <c r="J65" s="5">
        <f t="shared" si="1"/>
        <v>13973</v>
      </c>
      <c r="K65" s="5">
        <f t="shared" si="1"/>
        <v>13973</v>
      </c>
      <c r="L65" s="5">
        <f t="shared" si="1"/>
        <v>13973</v>
      </c>
      <c r="M65" s="5">
        <f t="shared" si="2"/>
        <v>13973</v>
      </c>
      <c r="N65" s="5">
        <f t="shared" si="2"/>
        <v>13973</v>
      </c>
      <c r="O65" s="5">
        <f t="shared" si="2"/>
        <v>13973</v>
      </c>
      <c r="P65" s="5">
        <f t="shared" si="2"/>
        <v>13973</v>
      </c>
      <c r="Q65" s="5">
        <f t="shared" si="3"/>
        <v>13973</v>
      </c>
      <c r="R65" s="5">
        <f t="shared" si="4"/>
        <v>13970</v>
      </c>
      <c r="U65" s="8">
        <f t="shared" si="5"/>
        <v>0</v>
      </c>
      <c r="V65" s="8">
        <f>IFERROR(INDEX('Payment 1 through 9'!$A$1:$B$330,MATCH(CONCATENATE(FinalPayment!$F65,"0000"),'Payment 1 through 9'!$A$1:$A$330,0),2)*9,0)</f>
        <v>120186</v>
      </c>
      <c r="W65" s="8">
        <f>IFERROR(INDEX('FinalPayment 10'!$A$1:$B$330,MATCH(CONCATENATE(FinalPayment!$F65,"0000"),'FinalPayment 10'!$A$1:$A$330,0),2),0)</f>
        <v>13350</v>
      </c>
      <c r="X65" s="8">
        <f t="shared" si="6"/>
        <v>133536</v>
      </c>
      <c r="Y65" s="8">
        <f t="shared" si="7"/>
        <v>6191</v>
      </c>
    </row>
    <row r="66" spans="1:25" x14ac:dyDescent="0.55000000000000004">
      <c r="A66">
        <v>2021</v>
      </c>
      <c r="B66" t="s">
        <v>698</v>
      </c>
      <c r="C66" t="s">
        <v>612</v>
      </c>
      <c r="D66" t="s">
        <v>755</v>
      </c>
      <c r="E66" t="s">
        <v>1207</v>
      </c>
      <c r="F66" t="s">
        <v>612</v>
      </c>
      <c r="G66" t="s">
        <v>1213</v>
      </c>
      <c r="H66" s="5">
        <f>SUMPRODUCT(SUMIF(FinalPayment_NoReorg!$F$2:$F$331,FinalPayment!$D66:$F66,FinalPayment_NoReorg!$L$2:$L$331))+SUMPRODUCT(SUMIF(FinalPayment_NoReorg!$F$2:$F$331,FinalPayment!$D66:$F66,FinalPayment_NoReorg!$N$2:$N$331))</f>
        <v>54085</v>
      </c>
      <c r="I66" s="5">
        <f t="shared" si="1"/>
        <v>5409</v>
      </c>
      <c r="J66" s="5">
        <f t="shared" si="1"/>
        <v>5409</v>
      </c>
      <c r="K66" s="5">
        <f t="shared" si="1"/>
        <v>5409</v>
      </c>
      <c r="L66" s="5">
        <f t="shared" ref="L66" si="8">ROUND($H66/10,0)</f>
        <v>5409</v>
      </c>
      <c r="M66" s="5">
        <f t="shared" si="2"/>
        <v>5409</v>
      </c>
      <c r="N66" s="5">
        <f t="shared" si="2"/>
        <v>5409</v>
      </c>
      <c r="O66" s="5">
        <f t="shared" si="2"/>
        <v>5409</v>
      </c>
      <c r="P66" s="5">
        <f t="shared" ref="P66:Q129" si="9">ROUND($H66/10,0)</f>
        <v>5409</v>
      </c>
      <c r="Q66" s="5">
        <f t="shared" si="3"/>
        <v>5409</v>
      </c>
      <c r="R66" s="5">
        <f t="shared" si="4"/>
        <v>5404</v>
      </c>
      <c r="U66" s="8">
        <f t="shared" ref="U66:U129" si="10">SUM(I66:R66)-H66</f>
        <v>0</v>
      </c>
      <c r="V66" s="8">
        <f>IFERROR(INDEX('Payment 1 through 9'!$A$1:$B$330,MATCH(CONCATENATE(FinalPayment!$F66,"0000"),'Payment 1 through 9'!$A$1:$A$330,0),2)*9,0)</f>
        <v>25992</v>
      </c>
      <c r="W66" s="8">
        <f>IFERROR(INDEX('FinalPayment 10'!$A$1:$B$330,MATCH(CONCATENATE(FinalPayment!$F66,"0000"),'FinalPayment 10'!$A$1:$A$330,0),2),0)</f>
        <v>2890</v>
      </c>
      <c r="X66" s="8">
        <f t="shared" si="6"/>
        <v>28882</v>
      </c>
      <c r="Y66" s="8">
        <f t="shared" si="7"/>
        <v>25203</v>
      </c>
    </row>
    <row r="67" spans="1:25" x14ac:dyDescent="0.55000000000000004">
      <c r="A67">
        <v>2021</v>
      </c>
      <c r="B67" t="s">
        <v>689</v>
      </c>
      <c r="C67" t="s">
        <v>611</v>
      </c>
      <c r="D67" t="s">
        <v>1207</v>
      </c>
      <c r="E67" t="s">
        <v>1207</v>
      </c>
      <c r="F67" t="s">
        <v>611</v>
      </c>
      <c r="G67" t="s">
        <v>79</v>
      </c>
      <c r="H67" s="5">
        <f>SUMPRODUCT(SUMIF(FinalPayment_NoReorg!$F$2:$F$331,FinalPayment!$D67:$F67,FinalPayment_NoReorg!$L$2:$L$331))+SUMPRODUCT(SUMIF(FinalPayment_NoReorg!$F$2:$F$331,FinalPayment!$D67:$F67,FinalPayment_NoReorg!$N$2:$N$331))</f>
        <v>998</v>
      </c>
      <c r="I67" s="5">
        <f t="shared" ref="I67:L130" si="11">ROUND($H67/10,0)</f>
        <v>100</v>
      </c>
      <c r="J67" s="5">
        <f t="shared" si="11"/>
        <v>100</v>
      </c>
      <c r="K67" s="5">
        <f t="shared" si="11"/>
        <v>100</v>
      </c>
      <c r="L67" s="5">
        <f t="shared" si="11"/>
        <v>100</v>
      </c>
      <c r="M67" s="5">
        <f t="shared" ref="M67:Q130" si="12">ROUND($H67/10,0)</f>
        <v>100</v>
      </c>
      <c r="N67" s="5">
        <f t="shared" si="12"/>
        <v>100</v>
      </c>
      <c r="O67" s="5">
        <f t="shared" si="12"/>
        <v>100</v>
      </c>
      <c r="P67" s="5">
        <f t="shared" si="9"/>
        <v>100</v>
      </c>
      <c r="Q67" s="5">
        <f t="shared" si="9"/>
        <v>100</v>
      </c>
      <c r="R67" s="5">
        <f t="shared" ref="R67:R130" si="13">$H67-SUM(I67:Q67)</f>
        <v>98</v>
      </c>
      <c r="U67" s="8">
        <f t="shared" si="10"/>
        <v>0</v>
      </c>
      <c r="V67" s="8">
        <f>IFERROR(INDEX('Payment 1 through 9'!$A$1:$B$330,MATCH(CONCATENATE(FinalPayment!$F67,"0000"),'Payment 1 through 9'!$A$1:$A$330,0),2)*9,0)</f>
        <v>0</v>
      </c>
      <c r="W67" s="8">
        <f>IFERROR(INDEX('FinalPayment 10'!$A$1:$B$330,MATCH(CONCATENATE(FinalPayment!$F67,"0000"),'FinalPayment 10'!$A$1:$A$330,0),2),0)</f>
        <v>0</v>
      </c>
      <c r="X67" s="8">
        <f t="shared" ref="X67:X130" si="14">SUM(V67:W67)</f>
        <v>0</v>
      </c>
      <c r="Y67" s="8">
        <f t="shared" ref="Y67:Y130" si="15">H67-X67</f>
        <v>998</v>
      </c>
    </row>
    <row r="68" spans="1:25" x14ac:dyDescent="0.55000000000000004">
      <c r="A68">
        <v>2021</v>
      </c>
      <c r="B68" t="s">
        <v>707</v>
      </c>
      <c r="C68" t="s">
        <v>610</v>
      </c>
      <c r="D68" t="s">
        <v>1207</v>
      </c>
      <c r="E68" t="s">
        <v>1207</v>
      </c>
      <c r="F68" t="s">
        <v>610</v>
      </c>
      <c r="G68" t="s">
        <v>80</v>
      </c>
      <c r="H68" s="5">
        <f>SUMPRODUCT(SUMIF(FinalPayment_NoReorg!$F$2:$F$331,FinalPayment!$D68:$F68,FinalPayment_NoReorg!$L$2:$L$331))+SUMPRODUCT(SUMIF(FinalPayment_NoReorg!$F$2:$F$331,FinalPayment!$D68:$F68,FinalPayment_NoReorg!$N$2:$N$331))</f>
        <v>3055</v>
      </c>
      <c r="I68" s="5">
        <f t="shared" si="11"/>
        <v>306</v>
      </c>
      <c r="J68" s="5">
        <f t="shared" si="11"/>
        <v>306</v>
      </c>
      <c r="K68" s="5">
        <f t="shared" si="11"/>
        <v>306</v>
      </c>
      <c r="L68" s="5">
        <f t="shared" si="11"/>
        <v>306</v>
      </c>
      <c r="M68" s="5">
        <f t="shared" si="12"/>
        <v>306</v>
      </c>
      <c r="N68" s="5">
        <f t="shared" si="12"/>
        <v>306</v>
      </c>
      <c r="O68" s="5">
        <f t="shared" si="12"/>
        <v>306</v>
      </c>
      <c r="P68" s="5">
        <f t="shared" si="9"/>
        <v>306</v>
      </c>
      <c r="Q68" s="5">
        <f t="shared" si="9"/>
        <v>306</v>
      </c>
      <c r="R68" s="5">
        <f t="shared" si="13"/>
        <v>301</v>
      </c>
      <c r="U68" s="8">
        <f t="shared" si="10"/>
        <v>0</v>
      </c>
      <c r="V68" s="8">
        <f>IFERROR(INDEX('Payment 1 through 9'!$A$1:$B$330,MATCH(CONCATENATE(FinalPayment!$F68,"0000"),'Payment 1 through 9'!$A$1:$A$330,0),2)*9,0)</f>
        <v>0</v>
      </c>
      <c r="W68" s="8">
        <f>IFERROR(INDEX('FinalPayment 10'!$A$1:$B$330,MATCH(CONCATENATE(FinalPayment!$F68,"0000"),'FinalPayment 10'!$A$1:$A$330,0),2),0)</f>
        <v>0</v>
      </c>
      <c r="X68" s="8">
        <f t="shared" si="14"/>
        <v>0</v>
      </c>
      <c r="Y68" s="8">
        <f t="shared" si="15"/>
        <v>3055</v>
      </c>
    </row>
    <row r="69" spans="1:25" x14ac:dyDescent="0.55000000000000004">
      <c r="A69">
        <v>2021</v>
      </c>
      <c r="B69" t="s">
        <v>686</v>
      </c>
      <c r="C69" t="s">
        <v>609</v>
      </c>
      <c r="D69" t="s">
        <v>1207</v>
      </c>
      <c r="E69" t="s">
        <v>1207</v>
      </c>
      <c r="F69" t="s">
        <v>609</v>
      </c>
      <c r="G69" t="s">
        <v>81</v>
      </c>
      <c r="H69" s="5">
        <f>SUMPRODUCT(SUMIF(FinalPayment_NoReorg!$F$2:$F$331,FinalPayment!$D69:$F69,FinalPayment_NoReorg!$L$2:$L$331))+SUMPRODUCT(SUMIF(FinalPayment_NoReorg!$F$2:$F$331,FinalPayment!$D69:$F69,FinalPayment_NoReorg!$N$2:$N$331))</f>
        <v>622</v>
      </c>
      <c r="I69" s="5">
        <f t="shared" si="11"/>
        <v>62</v>
      </c>
      <c r="J69" s="5">
        <f t="shared" si="11"/>
        <v>62</v>
      </c>
      <c r="K69" s="5">
        <f t="shared" si="11"/>
        <v>62</v>
      </c>
      <c r="L69" s="5">
        <f t="shared" si="11"/>
        <v>62</v>
      </c>
      <c r="M69" s="5">
        <f t="shared" si="12"/>
        <v>62</v>
      </c>
      <c r="N69" s="5">
        <f t="shared" si="12"/>
        <v>62</v>
      </c>
      <c r="O69" s="5">
        <f t="shared" si="12"/>
        <v>62</v>
      </c>
      <c r="P69" s="5">
        <f t="shared" si="9"/>
        <v>62</v>
      </c>
      <c r="Q69" s="5">
        <f t="shared" si="9"/>
        <v>62</v>
      </c>
      <c r="R69" s="5">
        <f t="shared" si="13"/>
        <v>64</v>
      </c>
      <c r="U69" s="8">
        <f t="shared" si="10"/>
        <v>0</v>
      </c>
      <c r="V69" s="8">
        <f>IFERROR(INDEX('Payment 1 through 9'!$A$1:$B$330,MATCH(CONCATENATE(FinalPayment!$F69,"0000"),'Payment 1 through 9'!$A$1:$A$330,0),2)*9,0)</f>
        <v>0</v>
      </c>
      <c r="W69" s="8">
        <f>IFERROR(INDEX('FinalPayment 10'!$A$1:$B$330,MATCH(CONCATENATE(FinalPayment!$F69,"0000"),'FinalPayment 10'!$A$1:$A$330,0),2),0)</f>
        <v>0</v>
      </c>
      <c r="X69" s="8">
        <f t="shared" si="14"/>
        <v>0</v>
      </c>
      <c r="Y69" s="8">
        <f t="shared" si="15"/>
        <v>622</v>
      </c>
    </row>
    <row r="70" spans="1:25" x14ac:dyDescent="0.55000000000000004">
      <c r="A70">
        <v>2021</v>
      </c>
      <c r="B70" t="s">
        <v>698</v>
      </c>
      <c r="C70" t="s">
        <v>608</v>
      </c>
      <c r="D70" t="s">
        <v>1207</v>
      </c>
      <c r="E70" t="s">
        <v>1207</v>
      </c>
      <c r="F70" t="s">
        <v>608</v>
      </c>
      <c r="G70" t="s">
        <v>1214</v>
      </c>
      <c r="H70" s="5">
        <f>SUMPRODUCT(SUMIF(FinalPayment_NoReorg!$F$2:$F$331,FinalPayment!$D70:$F70,FinalPayment_NoReorg!$L$2:$L$331))+SUMPRODUCT(SUMIF(FinalPayment_NoReorg!$F$2:$F$331,FinalPayment!$D70:$F70,FinalPayment_NoReorg!$N$2:$N$331))</f>
        <v>465846</v>
      </c>
      <c r="I70" s="5">
        <f t="shared" si="11"/>
        <v>46585</v>
      </c>
      <c r="J70" s="5">
        <f t="shared" si="11"/>
        <v>46585</v>
      </c>
      <c r="K70" s="5">
        <f t="shared" si="11"/>
        <v>46585</v>
      </c>
      <c r="L70" s="5">
        <f t="shared" si="11"/>
        <v>46585</v>
      </c>
      <c r="M70" s="5">
        <f t="shared" si="12"/>
        <v>46585</v>
      </c>
      <c r="N70" s="5">
        <f t="shared" si="12"/>
        <v>46585</v>
      </c>
      <c r="O70" s="5">
        <f t="shared" si="12"/>
        <v>46585</v>
      </c>
      <c r="P70" s="5">
        <f t="shared" si="9"/>
        <v>46585</v>
      </c>
      <c r="Q70" s="5">
        <f t="shared" si="9"/>
        <v>46585</v>
      </c>
      <c r="R70" s="5">
        <f t="shared" si="13"/>
        <v>46581</v>
      </c>
      <c r="U70" s="8">
        <f t="shared" si="10"/>
        <v>0</v>
      </c>
      <c r="V70" s="8">
        <f>IFERROR(INDEX('Payment 1 through 9'!$A$1:$B$330,MATCH(CONCATENATE(FinalPayment!$F70,"0000"),'Payment 1 through 9'!$A$1:$A$330,0),2)*9,0)</f>
        <v>370314</v>
      </c>
      <c r="W70" s="8">
        <f>IFERROR(INDEX('FinalPayment 10'!$A$1:$B$330,MATCH(CONCATENATE(FinalPayment!$F70,"0000"),'FinalPayment 10'!$A$1:$A$330,0),2),0)</f>
        <v>41144</v>
      </c>
      <c r="X70" s="8">
        <f t="shared" si="14"/>
        <v>411458</v>
      </c>
      <c r="Y70" s="8">
        <f t="shared" si="15"/>
        <v>54388</v>
      </c>
    </row>
    <row r="71" spans="1:25" x14ac:dyDescent="0.55000000000000004">
      <c r="A71">
        <v>2021</v>
      </c>
      <c r="B71" t="s">
        <v>686</v>
      </c>
      <c r="C71" t="s">
        <v>607</v>
      </c>
      <c r="D71" t="s">
        <v>1207</v>
      </c>
      <c r="E71" t="s">
        <v>1207</v>
      </c>
      <c r="F71" t="s">
        <v>607</v>
      </c>
      <c r="G71" t="s">
        <v>83</v>
      </c>
      <c r="H71" s="5">
        <f>SUMPRODUCT(SUMIF(FinalPayment_NoReorg!$F$2:$F$331,FinalPayment!$D71:$F71,FinalPayment_NoReorg!$L$2:$L$331))+SUMPRODUCT(SUMIF(FinalPayment_NoReorg!$F$2:$F$331,FinalPayment!$D71:$F71,FinalPayment_NoReorg!$N$2:$N$331))</f>
        <v>376</v>
      </c>
      <c r="I71" s="5">
        <f t="shared" si="11"/>
        <v>38</v>
      </c>
      <c r="J71" s="5">
        <f t="shared" si="11"/>
        <v>38</v>
      </c>
      <c r="K71" s="5">
        <f t="shared" si="11"/>
        <v>38</v>
      </c>
      <c r="L71" s="5">
        <f t="shared" si="11"/>
        <v>38</v>
      </c>
      <c r="M71" s="5">
        <f t="shared" si="12"/>
        <v>38</v>
      </c>
      <c r="N71" s="5">
        <f t="shared" si="12"/>
        <v>38</v>
      </c>
      <c r="O71" s="5">
        <f t="shared" si="12"/>
        <v>38</v>
      </c>
      <c r="P71" s="5">
        <f t="shared" si="9"/>
        <v>38</v>
      </c>
      <c r="Q71" s="5">
        <f t="shared" si="9"/>
        <v>38</v>
      </c>
      <c r="R71" s="5">
        <f t="shared" si="13"/>
        <v>34</v>
      </c>
      <c r="U71" s="8">
        <f t="shared" si="10"/>
        <v>0</v>
      </c>
      <c r="V71" s="8">
        <f>IFERROR(INDEX('Payment 1 through 9'!$A$1:$B$330,MATCH(CONCATENATE(FinalPayment!$F71,"0000"),'Payment 1 through 9'!$A$1:$A$330,0),2)*9,0)</f>
        <v>0</v>
      </c>
      <c r="W71" s="8">
        <f>IFERROR(INDEX('FinalPayment 10'!$A$1:$B$330,MATCH(CONCATENATE(FinalPayment!$F71,"0000"),'FinalPayment 10'!$A$1:$A$330,0),2),0)</f>
        <v>0</v>
      </c>
      <c r="X71" s="8">
        <f t="shared" si="14"/>
        <v>0</v>
      </c>
      <c r="Y71" s="8">
        <f t="shared" si="15"/>
        <v>376</v>
      </c>
    </row>
    <row r="72" spans="1:25" x14ac:dyDescent="0.55000000000000004">
      <c r="A72">
        <v>2021</v>
      </c>
      <c r="B72" t="s">
        <v>686</v>
      </c>
      <c r="C72" t="s">
        <v>606</v>
      </c>
      <c r="D72" t="s">
        <v>1207</v>
      </c>
      <c r="E72" t="s">
        <v>1207</v>
      </c>
      <c r="F72" t="s">
        <v>606</v>
      </c>
      <c r="G72" t="s">
        <v>1215</v>
      </c>
      <c r="H72" s="5">
        <f>SUMPRODUCT(SUMIF(FinalPayment_NoReorg!$F$2:$F$331,FinalPayment!$D72:$F72,FinalPayment_NoReorg!$L$2:$L$331))+SUMPRODUCT(SUMIF(FinalPayment_NoReorg!$F$2:$F$331,FinalPayment!$D72:$F72,FinalPayment_NoReorg!$N$2:$N$331))</f>
        <v>29364</v>
      </c>
      <c r="I72" s="5">
        <f t="shared" si="11"/>
        <v>2936</v>
      </c>
      <c r="J72" s="5">
        <f t="shared" si="11"/>
        <v>2936</v>
      </c>
      <c r="K72" s="5">
        <f t="shared" si="11"/>
        <v>2936</v>
      </c>
      <c r="L72" s="5">
        <f t="shared" si="11"/>
        <v>2936</v>
      </c>
      <c r="M72" s="5">
        <f t="shared" si="12"/>
        <v>2936</v>
      </c>
      <c r="N72" s="5">
        <f t="shared" si="12"/>
        <v>2936</v>
      </c>
      <c r="O72" s="5">
        <f t="shared" si="12"/>
        <v>2936</v>
      </c>
      <c r="P72" s="5">
        <f t="shared" si="9"/>
        <v>2936</v>
      </c>
      <c r="Q72" s="5">
        <f t="shared" si="9"/>
        <v>2936</v>
      </c>
      <c r="R72" s="5">
        <f t="shared" si="13"/>
        <v>2940</v>
      </c>
      <c r="U72" s="8">
        <f t="shared" si="10"/>
        <v>0</v>
      </c>
      <c r="V72" s="8">
        <f>IFERROR(INDEX('Payment 1 through 9'!$A$1:$B$330,MATCH(CONCATENATE(FinalPayment!$F72,"0000"),'Payment 1 through 9'!$A$1:$A$330,0),2)*9,0)</f>
        <v>21762</v>
      </c>
      <c r="W72" s="8">
        <f>IFERROR(INDEX('FinalPayment 10'!$A$1:$B$330,MATCH(CONCATENATE(FinalPayment!$F72,"0000"),'FinalPayment 10'!$A$1:$A$330,0),2),0)</f>
        <v>2418</v>
      </c>
      <c r="X72" s="8">
        <f t="shared" si="14"/>
        <v>24180</v>
      </c>
      <c r="Y72" s="8">
        <f t="shared" si="15"/>
        <v>5184</v>
      </c>
    </row>
    <row r="73" spans="1:25" x14ac:dyDescent="0.55000000000000004">
      <c r="A73">
        <v>2021</v>
      </c>
      <c r="B73" t="s">
        <v>707</v>
      </c>
      <c r="C73" t="s">
        <v>604</v>
      </c>
      <c r="D73" t="s">
        <v>1207</v>
      </c>
      <c r="E73" t="s">
        <v>1207</v>
      </c>
      <c r="F73" t="s">
        <v>604</v>
      </c>
      <c r="G73" t="s">
        <v>84</v>
      </c>
      <c r="H73" s="5">
        <f>SUMPRODUCT(SUMIF(FinalPayment_NoReorg!$F$2:$F$331,FinalPayment!$D73:$F73,FinalPayment_NoReorg!$L$2:$L$331))+SUMPRODUCT(SUMIF(FinalPayment_NoReorg!$F$2:$F$331,FinalPayment!$D73:$F73,FinalPayment_NoReorg!$N$2:$N$331))</f>
        <v>22435</v>
      </c>
      <c r="I73" s="5">
        <f t="shared" si="11"/>
        <v>2244</v>
      </c>
      <c r="J73" s="5">
        <f t="shared" si="11"/>
        <v>2244</v>
      </c>
      <c r="K73" s="5">
        <f t="shared" si="11"/>
        <v>2244</v>
      </c>
      <c r="L73" s="5">
        <f t="shared" si="11"/>
        <v>2244</v>
      </c>
      <c r="M73" s="5">
        <f t="shared" si="12"/>
        <v>2244</v>
      </c>
      <c r="N73" s="5">
        <f t="shared" si="12"/>
        <v>2244</v>
      </c>
      <c r="O73" s="5">
        <f t="shared" si="12"/>
        <v>2244</v>
      </c>
      <c r="P73" s="5">
        <f t="shared" si="9"/>
        <v>2244</v>
      </c>
      <c r="Q73" s="5">
        <f t="shared" si="9"/>
        <v>2244</v>
      </c>
      <c r="R73" s="5">
        <f t="shared" si="13"/>
        <v>2239</v>
      </c>
      <c r="U73" s="8">
        <f t="shared" si="10"/>
        <v>0</v>
      </c>
      <c r="V73" s="8">
        <f>IFERROR(INDEX('Payment 1 through 9'!$A$1:$B$330,MATCH(CONCATENATE(FinalPayment!$F73,"0000"),'Payment 1 through 9'!$A$1:$A$330,0),2)*9,0)</f>
        <v>13023</v>
      </c>
      <c r="W73" s="8">
        <f>IFERROR(INDEX('FinalPayment 10'!$A$1:$B$330,MATCH(CONCATENATE(FinalPayment!$F73,"0000"),'FinalPayment 10'!$A$1:$A$330,0),2),0)</f>
        <v>1445</v>
      </c>
      <c r="X73" s="8">
        <f t="shared" si="14"/>
        <v>14468</v>
      </c>
      <c r="Y73" s="8">
        <f t="shared" si="15"/>
        <v>7967</v>
      </c>
    </row>
    <row r="74" spans="1:25" x14ac:dyDescent="0.55000000000000004">
      <c r="A74">
        <v>2021</v>
      </c>
      <c r="B74" t="s">
        <v>686</v>
      </c>
      <c r="C74" t="s">
        <v>603</v>
      </c>
      <c r="D74" t="s">
        <v>1207</v>
      </c>
      <c r="E74" t="s">
        <v>1207</v>
      </c>
      <c r="F74" t="s">
        <v>603</v>
      </c>
      <c r="G74" t="s">
        <v>85</v>
      </c>
      <c r="H74" s="5">
        <f>SUMPRODUCT(SUMIF(FinalPayment_NoReorg!$F$2:$F$331,FinalPayment!$D74:$F74,FinalPayment_NoReorg!$L$2:$L$331))+SUMPRODUCT(SUMIF(FinalPayment_NoReorg!$F$2:$F$331,FinalPayment!$D74:$F74,FinalPayment_NoReorg!$N$2:$N$331))</f>
        <v>67341</v>
      </c>
      <c r="I74" s="5">
        <f t="shared" si="11"/>
        <v>6734</v>
      </c>
      <c r="J74" s="5">
        <f t="shared" si="11"/>
        <v>6734</v>
      </c>
      <c r="K74" s="5">
        <f t="shared" si="11"/>
        <v>6734</v>
      </c>
      <c r="L74" s="5">
        <f t="shared" si="11"/>
        <v>6734</v>
      </c>
      <c r="M74" s="5">
        <f t="shared" si="12"/>
        <v>6734</v>
      </c>
      <c r="N74" s="5">
        <f t="shared" si="12"/>
        <v>6734</v>
      </c>
      <c r="O74" s="5">
        <f t="shared" si="12"/>
        <v>6734</v>
      </c>
      <c r="P74" s="5">
        <f t="shared" si="9"/>
        <v>6734</v>
      </c>
      <c r="Q74" s="5">
        <f t="shared" si="9"/>
        <v>6734</v>
      </c>
      <c r="R74" s="5">
        <f t="shared" si="13"/>
        <v>6735</v>
      </c>
      <c r="U74" s="8">
        <f t="shared" si="10"/>
        <v>0</v>
      </c>
      <c r="V74" s="8">
        <f>IFERROR(INDEX('Payment 1 through 9'!$A$1:$B$330,MATCH(CONCATENATE(FinalPayment!$F74,"0000"),'Payment 1 through 9'!$A$1:$A$330,0),2)*9,0)</f>
        <v>56583</v>
      </c>
      <c r="W74" s="8">
        <f>IFERROR(INDEX('FinalPayment 10'!$A$1:$B$330,MATCH(CONCATENATE(FinalPayment!$F74,"0000"),'FinalPayment 10'!$A$1:$A$330,0),2),0)</f>
        <v>6282</v>
      </c>
      <c r="X74" s="8">
        <f t="shared" si="14"/>
        <v>62865</v>
      </c>
      <c r="Y74" s="8">
        <f t="shared" si="15"/>
        <v>4476</v>
      </c>
    </row>
    <row r="75" spans="1:25" x14ac:dyDescent="0.55000000000000004">
      <c r="A75">
        <v>2021</v>
      </c>
      <c r="B75" t="s">
        <v>690</v>
      </c>
      <c r="C75" t="s">
        <v>602</v>
      </c>
      <c r="D75" t="s">
        <v>1207</v>
      </c>
      <c r="E75" t="s">
        <v>1207</v>
      </c>
      <c r="F75" t="s">
        <v>602</v>
      </c>
      <c r="G75" t="s">
        <v>86</v>
      </c>
      <c r="H75" s="5">
        <f>SUMPRODUCT(SUMIF(FinalPayment_NoReorg!$F$2:$F$331,FinalPayment!$D75:$F75,FinalPayment_NoReorg!$L$2:$L$331))+SUMPRODUCT(SUMIF(FinalPayment_NoReorg!$F$2:$F$331,FinalPayment!$D75:$F75,FinalPayment_NoReorg!$N$2:$N$331))</f>
        <v>243620</v>
      </c>
      <c r="I75" s="5">
        <f t="shared" si="11"/>
        <v>24362</v>
      </c>
      <c r="J75" s="5">
        <f t="shared" si="11"/>
        <v>24362</v>
      </c>
      <c r="K75" s="5">
        <f t="shared" si="11"/>
        <v>24362</v>
      </c>
      <c r="L75" s="5">
        <f t="shared" si="11"/>
        <v>24362</v>
      </c>
      <c r="M75" s="5">
        <f t="shared" si="12"/>
        <v>24362</v>
      </c>
      <c r="N75" s="5">
        <f t="shared" si="12"/>
        <v>24362</v>
      </c>
      <c r="O75" s="5">
        <f t="shared" si="12"/>
        <v>24362</v>
      </c>
      <c r="P75" s="5">
        <f t="shared" si="9"/>
        <v>24362</v>
      </c>
      <c r="Q75" s="5">
        <f t="shared" si="9"/>
        <v>24362</v>
      </c>
      <c r="R75" s="5">
        <f t="shared" si="13"/>
        <v>24362</v>
      </c>
      <c r="U75" s="8">
        <f t="shared" si="10"/>
        <v>0</v>
      </c>
      <c r="V75" s="8">
        <f>IFERROR(INDEX('Payment 1 through 9'!$A$1:$B$330,MATCH(CONCATENATE(FinalPayment!$F75,"0000"),'Payment 1 through 9'!$A$1:$A$330,0),2)*9,0)</f>
        <v>215316</v>
      </c>
      <c r="W75" s="8">
        <f>IFERROR(INDEX('FinalPayment 10'!$A$1:$B$330,MATCH(CONCATENATE(FinalPayment!$F75,"0000"),'FinalPayment 10'!$A$1:$A$330,0),2),0)</f>
        <v>23925</v>
      </c>
      <c r="X75" s="8">
        <f t="shared" si="14"/>
        <v>239241</v>
      </c>
      <c r="Y75" s="8">
        <f t="shared" si="15"/>
        <v>4379</v>
      </c>
    </row>
    <row r="76" spans="1:25" x14ac:dyDescent="0.55000000000000004">
      <c r="A76">
        <v>2021</v>
      </c>
      <c r="B76" t="s">
        <v>690</v>
      </c>
      <c r="C76" t="s">
        <v>601</v>
      </c>
      <c r="D76" t="s">
        <v>1207</v>
      </c>
      <c r="E76" t="s">
        <v>1207</v>
      </c>
      <c r="F76" t="s">
        <v>601</v>
      </c>
      <c r="G76" t="s">
        <v>87</v>
      </c>
      <c r="H76" s="5">
        <f>SUMPRODUCT(SUMIF(FinalPayment_NoReorg!$F$2:$F$331,FinalPayment!$D76:$F76,FinalPayment_NoReorg!$L$2:$L$331))+SUMPRODUCT(SUMIF(FinalPayment_NoReorg!$F$2:$F$331,FinalPayment!$D76:$F76,FinalPayment_NoReorg!$N$2:$N$331))</f>
        <v>7411</v>
      </c>
      <c r="I76" s="5">
        <f t="shared" si="11"/>
        <v>741</v>
      </c>
      <c r="J76" s="5">
        <f t="shared" si="11"/>
        <v>741</v>
      </c>
      <c r="K76" s="5">
        <f t="shared" si="11"/>
        <v>741</v>
      </c>
      <c r="L76" s="5">
        <f t="shared" si="11"/>
        <v>741</v>
      </c>
      <c r="M76" s="5">
        <f t="shared" si="12"/>
        <v>741</v>
      </c>
      <c r="N76" s="5">
        <f t="shared" si="12"/>
        <v>741</v>
      </c>
      <c r="O76" s="5">
        <f t="shared" si="12"/>
        <v>741</v>
      </c>
      <c r="P76" s="5">
        <f t="shared" si="9"/>
        <v>741</v>
      </c>
      <c r="Q76" s="5">
        <f t="shared" si="9"/>
        <v>741</v>
      </c>
      <c r="R76" s="5">
        <f t="shared" si="13"/>
        <v>742</v>
      </c>
      <c r="U76" s="8">
        <f t="shared" si="10"/>
        <v>0</v>
      </c>
      <c r="V76" s="8">
        <f>IFERROR(INDEX('Payment 1 through 9'!$A$1:$B$330,MATCH(CONCATENATE(FinalPayment!$F76,"0000"),'Payment 1 through 9'!$A$1:$A$330,0),2)*9,0)</f>
        <v>0</v>
      </c>
      <c r="W76" s="8">
        <f>IFERROR(INDEX('FinalPayment 10'!$A$1:$B$330,MATCH(CONCATENATE(FinalPayment!$F76,"0000"),'FinalPayment 10'!$A$1:$A$330,0),2),0)</f>
        <v>0</v>
      </c>
      <c r="X76" s="8">
        <f t="shared" si="14"/>
        <v>0</v>
      </c>
      <c r="Y76" s="8">
        <f t="shared" si="15"/>
        <v>7411</v>
      </c>
    </row>
    <row r="77" spans="1:25" x14ac:dyDescent="0.55000000000000004">
      <c r="A77">
        <v>2021</v>
      </c>
      <c r="B77" t="s">
        <v>690</v>
      </c>
      <c r="C77" t="s">
        <v>600</v>
      </c>
      <c r="D77" t="s">
        <v>765</v>
      </c>
      <c r="E77" t="s">
        <v>1207</v>
      </c>
      <c r="F77" t="s">
        <v>600</v>
      </c>
      <c r="G77" t="s">
        <v>88</v>
      </c>
      <c r="H77" s="5">
        <f>SUMPRODUCT(SUMIF(FinalPayment_NoReorg!$F$2:$F$331,FinalPayment!$D77:$F77,FinalPayment_NoReorg!$L$2:$L$331))+SUMPRODUCT(SUMIF(FinalPayment_NoReorg!$F$2:$F$331,FinalPayment!$D77:$F77,FinalPayment_NoReorg!$N$2:$N$331))</f>
        <v>1184</v>
      </c>
      <c r="I77" s="5">
        <f t="shared" si="11"/>
        <v>118</v>
      </c>
      <c r="J77" s="5">
        <f t="shared" si="11"/>
        <v>118</v>
      </c>
      <c r="K77" s="5">
        <f t="shared" si="11"/>
        <v>118</v>
      </c>
      <c r="L77" s="5">
        <f t="shared" si="11"/>
        <v>118</v>
      </c>
      <c r="M77" s="5">
        <f t="shared" si="12"/>
        <v>118</v>
      </c>
      <c r="N77" s="5">
        <f t="shared" si="12"/>
        <v>118</v>
      </c>
      <c r="O77" s="5">
        <f t="shared" si="12"/>
        <v>118</v>
      </c>
      <c r="P77" s="5">
        <f t="shared" si="9"/>
        <v>118</v>
      </c>
      <c r="Q77" s="5">
        <f t="shared" si="9"/>
        <v>118</v>
      </c>
      <c r="R77" s="5">
        <f t="shared" si="13"/>
        <v>122</v>
      </c>
      <c r="U77" s="8">
        <f t="shared" si="10"/>
        <v>0</v>
      </c>
      <c r="V77" s="8">
        <f>IFERROR(INDEX('Payment 1 through 9'!$A$1:$B$330,MATCH(CONCATENATE(FinalPayment!$F77,"0000"),'Payment 1 through 9'!$A$1:$A$330,0),2)*9,0)</f>
        <v>0</v>
      </c>
      <c r="W77" s="8">
        <f>IFERROR(INDEX('FinalPayment 10'!$A$1:$B$330,MATCH(CONCATENATE(FinalPayment!$F77,"0000"),'FinalPayment 10'!$A$1:$A$330,0),2),0)</f>
        <v>0</v>
      </c>
      <c r="X77" s="8">
        <f t="shared" si="14"/>
        <v>0</v>
      </c>
      <c r="Y77" s="8">
        <f t="shared" si="15"/>
        <v>1184</v>
      </c>
    </row>
    <row r="78" spans="1:25" x14ac:dyDescent="0.55000000000000004">
      <c r="A78">
        <v>2021</v>
      </c>
      <c r="B78" t="s">
        <v>686</v>
      </c>
      <c r="C78" t="s">
        <v>599</v>
      </c>
      <c r="D78" t="s">
        <v>1207</v>
      </c>
      <c r="E78" t="s">
        <v>1207</v>
      </c>
      <c r="F78" t="s">
        <v>599</v>
      </c>
      <c r="G78" t="s">
        <v>89</v>
      </c>
      <c r="H78" s="5">
        <f>SUMPRODUCT(SUMIF(FinalPayment_NoReorg!$F$2:$F$331,FinalPayment!$D78:$F78,FinalPayment_NoReorg!$L$2:$L$331))+SUMPRODUCT(SUMIF(FinalPayment_NoReorg!$F$2:$F$331,FinalPayment!$D78:$F78,FinalPayment_NoReorg!$N$2:$N$331))</f>
        <v>2401</v>
      </c>
      <c r="I78" s="5">
        <f t="shared" si="11"/>
        <v>240</v>
      </c>
      <c r="J78" s="5">
        <f t="shared" si="11"/>
        <v>240</v>
      </c>
      <c r="K78" s="5">
        <f t="shared" si="11"/>
        <v>240</v>
      </c>
      <c r="L78" s="5">
        <f t="shared" si="11"/>
        <v>240</v>
      </c>
      <c r="M78" s="5">
        <f t="shared" si="12"/>
        <v>240</v>
      </c>
      <c r="N78" s="5">
        <f t="shared" si="12"/>
        <v>240</v>
      </c>
      <c r="O78" s="5">
        <f t="shared" si="12"/>
        <v>240</v>
      </c>
      <c r="P78" s="5">
        <f t="shared" si="9"/>
        <v>240</v>
      </c>
      <c r="Q78" s="5">
        <f t="shared" si="9"/>
        <v>240</v>
      </c>
      <c r="R78" s="5">
        <f t="shared" si="13"/>
        <v>241</v>
      </c>
      <c r="U78" s="8">
        <f t="shared" si="10"/>
        <v>0</v>
      </c>
      <c r="V78" s="8">
        <f>IFERROR(INDEX('Payment 1 through 9'!$A$1:$B$330,MATCH(CONCATENATE(FinalPayment!$F78,"0000"),'Payment 1 through 9'!$A$1:$A$330,0),2)*9,0)</f>
        <v>0</v>
      </c>
      <c r="W78" s="8">
        <f>IFERROR(INDEX('FinalPayment 10'!$A$1:$B$330,MATCH(CONCATENATE(FinalPayment!$F78,"0000"),'FinalPayment 10'!$A$1:$A$330,0),2),0)</f>
        <v>0</v>
      </c>
      <c r="X78" s="8">
        <f t="shared" si="14"/>
        <v>0</v>
      </c>
      <c r="Y78" s="8">
        <f t="shared" si="15"/>
        <v>2401</v>
      </c>
    </row>
    <row r="79" spans="1:25" x14ac:dyDescent="0.55000000000000004">
      <c r="A79">
        <v>2021</v>
      </c>
      <c r="B79" t="s">
        <v>696</v>
      </c>
      <c r="C79" t="s">
        <v>598</v>
      </c>
      <c r="D79" t="s">
        <v>1207</v>
      </c>
      <c r="E79" t="s">
        <v>1207</v>
      </c>
      <c r="F79" t="s">
        <v>598</v>
      </c>
      <c r="G79" t="s">
        <v>90</v>
      </c>
      <c r="H79" s="5">
        <f>SUMPRODUCT(SUMIF(FinalPayment_NoReorg!$F$2:$F$331,FinalPayment!$D79:$F79,FinalPayment_NoReorg!$L$2:$L$331))+SUMPRODUCT(SUMIF(FinalPayment_NoReorg!$F$2:$F$331,FinalPayment!$D79:$F79,FinalPayment_NoReorg!$N$2:$N$331))</f>
        <v>72909</v>
      </c>
      <c r="I79" s="5">
        <f t="shared" si="11"/>
        <v>7291</v>
      </c>
      <c r="J79" s="5">
        <f t="shared" si="11"/>
        <v>7291</v>
      </c>
      <c r="K79" s="5">
        <f t="shared" si="11"/>
        <v>7291</v>
      </c>
      <c r="L79" s="5">
        <f t="shared" si="11"/>
        <v>7291</v>
      </c>
      <c r="M79" s="5">
        <f t="shared" si="12"/>
        <v>7291</v>
      </c>
      <c r="N79" s="5">
        <f t="shared" si="12"/>
        <v>7291</v>
      </c>
      <c r="O79" s="5">
        <f t="shared" si="12"/>
        <v>7291</v>
      </c>
      <c r="P79" s="5">
        <f t="shared" si="9"/>
        <v>7291</v>
      </c>
      <c r="Q79" s="5">
        <f t="shared" si="9"/>
        <v>7291</v>
      </c>
      <c r="R79" s="5">
        <f t="shared" si="13"/>
        <v>7290</v>
      </c>
      <c r="U79" s="8">
        <f t="shared" si="10"/>
        <v>0</v>
      </c>
      <c r="V79" s="8">
        <f>IFERROR(INDEX('Payment 1 through 9'!$A$1:$B$330,MATCH(CONCATENATE(FinalPayment!$F79,"0000"),'Payment 1 through 9'!$A$1:$A$330,0),2)*9,0)</f>
        <v>60777</v>
      </c>
      <c r="W79" s="8">
        <f>IFERROR(INDEX('FinalPayment 10'!$A$1:$B$330,MATCH(CONCATENATE(FinalPayment!$F79,"0000"),'FinalPayment 10'!$A$1:$A$330,0),2),0)</f>
        <v>6752</v>
      </c>
      <c r="X79" s="8">
        <f t="shared" si="14"/>
        <v>67529</v>
      </c>
      <c r="Y79" s="8">
        <f t="shared" si="15"/>
        <v>5380</v>
      </c>
    </row>
    <row r="80" spans="1:25" x14ac:dyDescent="0.55000000000000004">
      <c r="A80">
        <v>2021</v>
      </c>
      <c r="B80" t="s">
        <v>707</v>
      </c>
      <c r="C80" t="s">
        <v>597</v>
      </c>
      <c r="D80" t="s">
        <v>1207</v>
      </c>
      <c r="E80" t="s">
        <v>1207</v>
      </c>
      <c r="F80" t="s">
        <v>597</v>
      </c>
      <c r="G80" t="s">
        <v>91</v>
      </c>
      <c r="H80" s="5">
        <f>SUMPRODUCT(SUMIF(FinalPayment_NoReorg!$F$2:$F$331,FinalPayment!$D80:$F80,FinalPayment_NoReorg!$L$2:$L$331))+SUMPRODUCT(SUMIF(FinalPayment_NoReorg!$F$2:$F$331,FinalPayment!$D80:$F80,FinalPayment_NoReorg!$N$2:$N$331))</f>
        <v>12321</v>
      </c>
      <c r="I80" s="5">
        <f t="shared" si="11"/>
        <v>1232</v>
      </c>
      <c r="J80" s="5">
        <f t="shared" si="11"/>
        <v>1232</v>
      </c>
      <c r="K80" s="5">
        <f t="shared" si="11"/>
        <v>1232</v>
      </c>
      <c r="L80" s="5">
        <f t="shared" si="11"/>
        <v>1232</v>
      </c>
      <c r="M80" s="5">
        <f t="shared" si="12"/>
        <v>1232</v>
      </c>
      <c r="N80" s="5">
        <f t="shared" si="12"/>
        <v>1232</v>
      </c>
      <c r="O80" s="5">
        <f t="shared" si="12"/>
        <v>1232</v>
      </c>
      <c r="P80" s="5">
        <f t="shared" si="9"/>
        <v>1232</v>
      </c>
      <c r="Q80" s="5">
        <f t="shared" si="9"/>
        <v>1232</v>
      </c>
      <c r="R80" s="5">
        <f t="shared" si="13"/>
        <v>1233</v>
      </c>
      <c r="U80" s="8">
        <f t="shared" si="10"/>
        <v>0</v>
      </c>
      <c r="V80" s="8">
        <f>IFERROR(INDEX('Payment 1 through 9'!$A$1:$B$330,MATCH(CONCATENATE(FinalPayment!$F80,"0000"),'Payment 1 through 9'!$A$1:$A$330,0),2)*9,0)</f>
        <v>0</v>
      </c>
      <c r="W80" s="8">
        <f>IFERROR(INDEX('FinalPayment 10'!$A$1:$B$330,MATCH(CONCATENATE(FinalPayment!$F80,"0000"),'FinalPayment 10'!$A$1:$A$330,0),2),0)</f>
        <v>0</v>
      </c>
      <c r="X80" s="8">
        <f t="shared" si="14"/>
        <v>0</v>
      </c>
      <c r="Y80" s="8">
        <f t="shared" si="15"/>
        <v>12321</v>
      </c>
    </row>
    <row r="81" spans="1:25" x14ac:dyDescent="0.55000000000000004">
      <c r="A81">
        <v>2021</v>
      </c>
      <c r="B81" t="s">
        <v>696</v>
      </c>
      <c r="C81" t="s">
        <v>596</v>
      </c>
      <c r="D81" t="s">
        <v>1207</v>
      </c>
      <c r="E81" t="s">
        <v>1207</v>
      </c>
      <c r="F81" t="s">
        <v>596</v>
      </c>
      <c r="G81" t="s">
        <v>92</v>
      </c>
      <c r="H81" s="5">
        <f>SUMPRODUCT(SUMIF(FinalPayment_NoReorg!$F$2:$F$331,FinalPayment!$D81:$F81,FinalPayment_NoReorg!$L$2:$L$331))+SUMPRODUCT(SUMIF(FinalPayment_NoReorg!$F$2:$F$331,FinalPayment!$D81:$F81,FinalPayment_NoReorg!$N$2:$N$331))</f>
        <v>498139</v>
      </c>
      <c r="I81" s="5">
        <f t="shared" si="11"/>
        <v>49814</v>
      </c>
      <c r="J81" s="5">
        <f t="shared" si="11"/>
        <v>49814</v>
      </c>
      <c r="K81" s="5">
        <f t="shared" si="11"/>
        <v>49814</v>
      </c>
      <c r="L81" s="5">
        <f t="shared" si="11"/>
        <v>49814</v>
      </c>
      <c r="M81" s="5">
        <f t="shared" si="12"/>
        <v>49814</v>
      </c>
      <c r="N81" s="5">
        <f t="shared" si="12"/>
        <v>49814</v>
      </c>
      <c r="O81" s="5">
        <f t="shared" si="12"/>
        <v>49814</v>
      </c>
      <c r="P81" s="5">
        <f t="shared" si="9"/>
        <v>49814</v>
      </c>
      <c r="Q81" s="5">
        <f t="shared" si="9"/>
        <v>49814</v>
      </c>
      <c r="R81" s="5">
        <f t="shared" si="13"/>
        <v>49813</v>
      </c>
      <c r="U81" s="8">
        <f t="shared" si="10"/>
        <v>0</v>
      </c>
      <c r="V81" s="8">
        <f>IFERROR(INDEX('Payment 1 through 9'!$A$1:$B$330,MATCH(CONCATENATE(FinalPayment!$F81,"0000"),'Payment 1 through 9'!$A$1:$A$330,0),2)*9,0)</f>
        <v>437337</v>
      </c>
      <c r="W81" s="8">
        <f>IFERROR(INDEX('FinalPayment 10'!$A$1:$B$330,MATCH(CONCATENATE(FinalPayment!$F81,"0000"),'FinalPayment 10'!$A$1:$A$330,0),2),0)</f>
        <v>48593</v>
      </c>
      <c r="X81" s="8">
        <f t="shared" si="14"/>
        <v>485930</v>
      </c>
      <c r="Y81" s="8">
        <f t="shared" si="15"/>
        <v>12209</v>
      </c>
    </row>
    <row r="82" spans="1:25" x14ac:dyDescent="0.55000000000000004">
      <c r="A82">
        <v>2021</v>
      </c>
      <c r="B82" t="s">
        <v>703</v>
      </c>
      <c r="C82" t="s">
        <v>595</v>
      </c>
      <c r="D82" t="s">
        <v>458</v>
      </c>
      <c r="E82" t="s">
        <v>1207</v>
      </c>
      <c r="F82" t="s">
        <v>595</v>
      </c>
      <c r="G82" t="s">
        <v>1216</v>
      </c>
      <c r="H82" s="5">
        <f>SUMPRODUCT(SUMIF(FinalPayment_NoReorg!$F$2:$F$331,FinalPayment!$D82:$F82,FinalPayment_NoReorg!$L$2:$L$331))+SUMPRODUCT(SUMIF(FinalPayment_NoReorg!$F$2:$F$331,FinalPayment!$D82:$F82,FinalPayment_NoReorg!$N$2:$N$331))</f>
        <v>351781</v>
      </c>
      <c r="I82" s="5">
        <f t="shared" si="11"/>
        <v>35178</v>
      </c>
      <c r="J82" s="5">
        <f t="shared" si="11"/>
        <v>35178</v>
      </c>
      <c r="K82" s="5">
        <f t="shared" si="11"/>
        <v>35178</v>
      </c>
      <c r="L82" s="5">
        <f t="shared" si="11"/>
        <v>35178</v>
      </c>
      <c r="M82" s="5">
        <f t="shared" si="12"/>
        <v>35178</v>
      </c>
      <c r="N82" s="5">
        <f t="shared" si="12"/>
        <v>35178</v>
      </c>
      <c r="O82" s="5">
        <f t="shared" si="12"/>
        <v>35178</v>
      </c>
      <c r="P82" s="5">
        <f t="shared" si="9"/>
        <v>35178</v>
      </c>
      <c r="Q82" s="5">
        <f t="shared" si="9"/>
        <v>35178</v>
      </c>
      <c r="R82" s="5">
        <f t="shared" si="13"/>
        <v>35179</v>
      </c>
      <c r="U82" s="8">
        <f t="shared" si="10"/>
        <v>0</v>
      </c>
      <c r="V82" s="8">
        <f>IFERROR(INDEX('Payment 1 through 9'!$A$1:$B$330,MATCH(CONCATENATE(FinalPayment!$F82,"0000"),'Payment 1 through 9'!$A$1:$A$330,0),2)*9,0)</f>
        <v>301122</v>
      </c>
      <c r="W82" s="8">
        <f>IFERROR(INDEX('FinalPayment 10'!$A$1:$B$330,MATCH(CONCATENATE(FinalPayment!$F82,"0000"),'FinalPayment 10'!$A$1:$A$330,0),2),0)</f>
        <v>33459</v>
      </c>
      <c r="X82" s="8">
        <f t="shared" si="14"/>
        <v>334581</v>
      </c>
      <c r="Y82" s="8">
        <f t="shared" si="15"/>
        <v>17200</v>
      </c>
    </row>
    <row r="83" spans="1:25" x14ac:dyDescent="0.55000000000000004">
      <c r="A83">
        <v>2021</v>
      </c>
      <c r="B83" t="s">
        <v>707</v>
      </c>
      <c r="C83" t="s">
        <v>594</v>
      </c>
      <c r="D83" t="s">
        <v>1207</v>
      </c>
      <c r="E83" t="s">
        <v>1207</v>
      </c>
      <c r="F83" t="s">
        <v>594</v>
      </c>
      <c r="G83" t="s">
        <v>94</v>
      </c>
      <c r="H83" s="5">
        <f>SUMPRODUCT(SUMIF(FinalPayment_NoReorg!$F$2:$F$331,FinalPayment!$D83:$F83,FinalPayment_NoReorg!$L$2:$L$331))+SUMPRODUCT(SUMIF(FinalPayment_NoReorg!$F$2:$F$331,FinalPayment!$D83:$F83,FinalPayment_NoReorg!$N$2:$N$331))</f>
        <v>118809</v>
      </c>
      <c r="I83" s="5">
        <f t="shared" si="11"/>
        <v>11881</v>
      </c>
      <c r="J83" s="5">
        <f t="shared" si="11"/>
        <v>11881</v>
      </c>
      <c r="K83" s="5">
        <f t="shared" si="11"/>
        <v>11881</v>
      </c>
      <c r="L83" s="5">
        <f t="shared" si="11"/>
        <v>11881</v>
      </c>
      <c r="M83" s="5">
        <f t="shared" si="12"/>
        <v>11881</v>
      </c>
      <c r="N83" s="5">
        <f t="shared" si="12"/>
        <v>11881</v>
      </c>
      <c r="O83" s="5">
        <f t="shared" si="12"/>
        <v>11881</v>
      </c>
      <c r="P83" s="5">
        <f t="shared" si="9"/>
        <v>11881</v>
      </c>
      <c r="Q83" s="5">
        <f t="shared" si="9"/>
        <v>11881</v>
      </c>
      <c r="R83" s="5">
        <f t="shared" si="13"/>
        <v>11880</v>
      </c>
      <c r="U83" s="8">
        <f t="shared" si="10"/>
        <v>0</v>
      </c>
      <c r="V83" s="8">
        <f>IFERROR(INDEX('Payment 1 through 9'!$A$1:$B$330,MATCH(CONCATENATE(FinalPayment!$F83,"0000"),'Payment 1 through 9'!$A$1:$A$330,0),2)*9,0)</f>
        <v>104976</v>
      </c>
      <c r="W83" s="8">
        <f>IFERROR(INDEX('FinalPayment 10'!$A$1:$B$330,MATCH(CONCATENATE(FinalPayment!$F83,"0000"),'FinalPayment 10'!$A$1:$A$330,0),2),0)</f>
        <v>11659</v>
      </c>
      <c r="X83" s="8">
        <f t="shared" si="14"/>
        <v>116635</v>
      </c>
      <c r="Y83" s="8">
        <f t="shared" si="15"/>
        <v>2174</v>
      </c>
    </row>
    <row r="84" spans="1:25" x14ac:dyDescent="0.55000000000000004">
      <c r="A84">
        <v>2021</v>
      </c>
      <c r="B84" t="s">
        <v>692</v>
      </c>
      <c r="C84" t="s">
        <v>593</v>
      </c>
      <c r="D84" t="s">
        <v>1207</v>
      </c>
      <c r="E84" t="s">
        <v>1207</v>
      </c>
      <c r="F84" t="s">
        <v>593</v>
      </c>
      <c r="G84" t="s">
        <v>95</v>
      </c>
      <c r="H84" s="5">
        <f>SUMPRODUCT(SUMIF(FinalPayment_NoReorg!$F$2:$F$331,FinalPayment!$D84:$F84,FinalPayment_NoReorg!$L$2:$L$331))+SUMPRODUCT(SUMIF(FinalPayment_NoReorg!$F$2:$F$331,FinalPayment!$D84:$F84,FinalPayment_NoReorg!$N$2:$N$331))</f>
        <v>104716</v>
      </c>
      <c r="I84" s="5">
        <f t="shared" si="11"/>
        <v>10472</v>
      </c>
      <c r="J84" s="5">
        <f t="shared" si="11"/>
        <v>10472</v>
      </c>
      <c r="K84" s="5">
        <f t="shared" si="11"/>
        <v>10472</v>
      </c>
      <c r="L84" s="5">
        <f t="shared" si="11"/>
        <v>10472</v>
      </c>
      <c r="M84" s="5">
        <f t="shared" si="12"/>
        <v>10472</v>
      </c>
      <c r="N84" s="5">
        <f t="shared" si="12"/>
        <v>10472</v>
      </c>
      <c r="O84" s="5">
        <f t="shared" si="12"/>
        <v>10472</v>
      </c>
      <c r="P84" s="5">
        <f t="shared" si="9"/>
        <v>10472</v>
      </c>
      <c r="Q84" s="5">
        <f t="shared" si="9"/>
        <v>10472</v>
      </c>
      <c r="R84" s="5">
        <f t="shared" si="13"/>
        <v>10468</v>
      </c>
      <c r="U84" s="8">
        <f t="shared" si="10"/>
        <v>0</v>
      </c>
      <c r="V84" s="8">
        <f>IFERROR(INDEX('Payment 1 through 9'!$A$1:$B$330,MATCH(CONCATENATE(FinalPayment!$F84,"0000"),'Payment 1 through 9'!$A$1:$A$330,0),2)*9,0)</f>
        <v>73575</v>
      </c>
      <c r="W84" s="8">
        <f>IFERROR(INDEX('FinalPayment 10'!$A$1:$B$330,MATCH(CONCATENATE(FinalPayment!$F84,"0000"),'FinalPayment 10'!$A$1:$A$330,0),2),0)</f>
        <v>8179</v>
      </c>
      <c r="X84" s="8">
        <f t="shared" si="14"/>
        <v>81754</v>
      </c>
      <c r="Y84" s="8">
        <f t="shared" si="15"/>
        <v>22962</v>
      </c>
    </row>
    <row r="85" spans="1:25" x14ac:dyDescent="0.55000000000000004">
      <c r="A85">
        <v>2021</v>
      </c>
      <c r="B85" t="s">
        <v>689</v>
      </c>
      <c r="C85" t="s">
        <v>592</v>
      </c>
      <c r="D85" t="s">
        <v>1207</v>
      </c>
      <c r="E85" t="s">
        <v>1207</v>
      </c>
      <c r="F85" t="s">
        <v>592</v>
      </c>
      <c r="G85" t="s">
        <v>96</v>
      </c>
      <c r="H85" s="5">
        <f>SUMPRODUCT(SUMIF(FinalPayment_NoReorg!$F$2:$F$331,FinalPayment!$D85:$F85,FinalPayment_NoReorg!$L$2:$L$331))+SUMPRODUCT(SUMIF(FinalPayment_NoReorg!$F$2:$F$331,FinalPayment!$D85:$F85,FinalPayment_NoReorg!$N$2:$N$331))</f>
        <v>637</v>
      </c>
      <c r="I85" s="5">
        <f t="shared" si="11"/>
        <v>64</v>
      </c>
      <c r="J85" s="5">
        <f t="shared" si="11"/>
        <v>64</v>
      </c>
      <c r="K85" s="5">
        <f t="shared" si="11"/>
        <v>64</v>
      </c>
      <c r="L85" s="5">
        <f t="shared" si="11"/>
        <v>64</v>
      </c>
      <c r="M85" s="5">
        <f t="shared" si="12"/>
        <v>64</v>
      </c>
      <c r="N85" s="5">
        <f t="shared" si="12"/>
        <v>64</v>
      </c>
      <c r="O85" s="5">
        <f t="shared" si="12"/>
        <v>64</v>
      </c>
      <c r="P85" s="5">
        <f t="shared" si="9"/>
        <v>64</v>
      </c>
      <c r="Q85" s="5">
        <f t="shared" si="9"/>
        <v>64</v>
      </c>
      <c r="R85" s="5">
        <f t="shared" si="13"/>
        <v>61</v>
      </c>
      <c r="U85" s="8">
        <f t="shared" si="10"/>
        <v>0</v>
      </c>
      <c r="V85" s="8">
        <f>IFERROR(INDEX('Payment 1 through 9'!$A$1:$B$330,MATCH(CONCATENATE(FinalPayment!$F85,"0000"),'Payment 1 through 9'!$A$1:$A$330,0),2)*9,0)</f>
        <v>0</v>
      </c>
      <c r="W85" s="8">
        <f>IFERROR(INDEX('FinalPayment 10'!$A$1:$B$330,MATCH(CONCATENATE(FinalPayment!$F85,"0000"),'FinalPayment 10'!$A$1:$A$330,0),2),0)</f>
        <v>0</v>
      </c>
      <c r="X85" s="8">
        <f t="shared" si="14"/>
        <v>0</v>
      </c>
      <c r="Y85" s="8">
        <f t="shared" si="15"/>
        <v>637</v>
      </c>
    </row>
    <row r="86" spans="1:25" x14ac:dyDescent="0.55000000000000004">
      <c r="A86">
        <v>2021</v>
      </c>
      <c r="B86" t="s">
        <v>686</v>
      </c>
      <c r="C86" t="s">
        <v>591</v>
      </c>
      <c r="D86" t="s">
        <v>1207</v>
      </c>
      <c r="E86" t="s">
        <v>1207</v>
      </c>
      <c r="F86" t="s">
        <v>591</v>
      </c>
      <c r="G86" t="s">
        <v>1217</v>
      </c>
      <c r="H86" s="5">
        <f>SUMPRODUCT(SUMIF(FinalPayment_NoReorg!$F$2:$F$331,FinalPayment!$D86:$F86,FinalPayment_NoReorg!$L$2:$L$331))+SUMPRODUCT(SUMIF(FinalPayment_NoReorg!$F$2:$F$331,FinalPayment!$D86:$F86,FinalPayment_NoReorg!$N$2:$N$331))</f>
        <v>26837</v>
      </c>
      <c r="I86" s="5">
        <f t="shared" si="11"/>
        <v>2684</v>
      </c>
      <c r="J86" s="5">
        <f t="shared" si="11"/>
        <v>2684</v>
      </c>
      <c r="K86" s="5">
        <f t="shared" si="11"/>
        <v>2684</v>
      </c>
      <c r="L86" s="5">
        <f t="shared" si="11"/>
        <v>2684</v>
      </c>
      <c r="M86" s="5">
        <f t="shared" si="12"/>
        <v>2684</v>
      </c>
      <c r="N86" s="5">
        <f t="shared" si="12"/>
        <v>2684</v>
      </c>
      <c r="O86" s="5">
        <f t="shared" si="12"/>
        <v>2684</v>
      </c>
      <c r="P86" s="5">
        <f t="shared" si="9"/>
        <v>2684</v>
      </c>
      <c r="Q86" s="5">
        <f t="shared" si="9"/>
        <v>2684</v>
      </c>
      <c r="R86" s="5">
        <f t="shared" si="13"/>
        <v>2681</v>
      </c>
      <c r="U86" s="8">
        <f t="shared" si="10"/>
        <v>0</v>
      </c>
      <c r="V86" s="8">
        <f>IFERROR(INDEX('Payment 1 through 9'!$A$1:$B$330,MATCH(CONCATENATE(FinalPayment!$F86,"0000"),'Payment 1 through 9'!$A$1:$A$330,0),2)*9,0)</f>
        <v>0</v>
      </c>
      <c r="W86" s="8">
        <f>IFERROR(INDEX('FinalPayment 10'!$A$1:$B$330,MATCH(CONCATENATE(FinalPayment!$F86,"0000"),'FinalPayment 10'!$A$1:$A$330,0),2),0)</f>
        <v>0</v>
      </c>
      <c r="X86" s="8">
        <f t="shared" si="14"/>
        <v>0</v>
      </c>
      <c r="Y86" s="8">
        <f t="shared" si="15"/>
        <v>26837</v>
      </c>
    </row>
    <row r="87" spans="1:25" x14ac:dyDescent="0.55000000000000004">
      <c r="A87">
        <v>2021</v>
      </c>
      <c r="B87" t="s">
        <v>690</v>
      </c>
      <c r="C87" t="s">
        <v>590</v>
      </c>
      <c r="D87" t="s">
        <v>1207</v>
      </c>
      <c r="E87" t="s">
        <v>1207</v>
      </c>
      <c r="F87" t="s">
        <v>590</v>
      </c>
      <c r="G87" t="s">
        <v>98</v>
      </c>
      <c r="H87" s="5">
        <f>SUMPRODUCT(SUMIF(FinalPayment_NoReorg!$F$2:$F$331,FinalPayment!$D87:$F87,FinalPayment_NoReorg!$L$2:$L$331))+SUMPRODUCT(SUMIF(FinalPayment_NoReorg!$F$2:$F$331,FinalPayment!$D87:$F87,FinalPayment_NoReorg!$N$2:$N$331))</f>
        <v>29258</v>
      </c>
      <c r="I87" s="5">
        <f t="shared" si="11"/>
        <v>2926</v>
      </c>
      <c r="J87" s="5">
        <f t="shared" si="11"/>
        <v>2926</v>
      </c>
      <c r="K87" s="5">
        <f t="shared" si="11"/>
        <v>2926</v>
      </c>
      <c r="L87" s="5">
        <f t="shared" si="11"/>
        <v>2926</v>
      </c>
      <c r="M87" s="5">
        <f t="shared" si="12"/>
        <v>2926</v>
      </c>
      <c r="N87" s="5">
        <f t="shared" si="12"/>
        <v>2926</v>
      </c>
      <c r="O87" s="5">
        <f t="shared" si="12"/>
        <v>2926</v>
      </c>
      <c r="P87" s="5">
        <f t="shared" si="9"/>
        <v>2926</v>
      </c>
      <c r="Q87" s="5">
        <f t="shared" si="9"/>
        <v>2926</v>
      </c>
      <c r="R87" s="5">
        <f t="shared" si="13"/>
        <v>2924</v>
      </c>
      <c r="U87" s="8">
        <f t="shared" si="10"/>
        <v>0</v>
      </c>
      <c r="V87" s="8">
        <f>IFERROR(INDEX('Payment 1 through 9'!$A$1:$B$330,MATCH(CONCATENATE(FinalPayment!$F87,"0000"),'Payment 1 through 9'!$A$1:$A$330,0),2)*9,0)</f>
        <v>25353</v>
      </c>
      <c r="W87" s="8">
        <f>IFERROR(INDEX('FinalPayment 10'!$A$1:$B$330,MATCH(CONCATENATE(FinalPayment!$F87,"0000"),'FinalPayment 10'!$A$1:$A$330,0),2),0)</f>
        <v>2815</v>
      </c>
      <c r="X87" s="8">
        <f t="shared" si="14"/>
        <v>28168</v>
      </c>
      <c r="Y87" s="8">
        <f t="shared" si="15"/>
        <v>1090</v>
      </c>
    </row>
    <row r="88" spans="1:25" x14ac:dyDescent="0.55000000000000004">
      <c r="A88">
        <v>2021</v>
      </c>
      <c r="B88" t="s">
        <v>689</v>
      </c>
      <c r="C88" t="s">
        <v>589</v>
      </c>
      <c r="D88" t="s">
        <v>1207</v>
      </c>
      <c r="E88" t="s">
        <v>1207</v>
      </c>
      <c r="F88" t="s">
        <v>589</v>
      </c>
      <c r="G88" t="s">
        <v>99</v>
      </c>
      <c r="H88" s="5">
        <f>SUMPRODUCT(SUMIF(FinalPayment_NoReorg!$F$2:$F$331,FinalPayment!$D88:$F88,FinalPayment_NoReorg!$L$2:$L$331))+SUMPRODUCT(SUMIF(FinalPayment_NoReorg!$F$2:$F$331,FinalPayment!$D88:$F88,FinalPayment_NoReorg!$N$2:$N$331))</f>
        <v>710</v>
      </c>
      <c r="I88" s="5">
        <f t="shared" si="11"/>
        <v>71</v>
      </c>
      <c r="J88" s="5">
        <f t="shared" si="11"/>
        <v>71</v>
      </c>
      <c r="K88" s="5">
        <f t="shared" si="11"/>
        <v>71</v>
      </c>
      <c r="L88" s="5">
        <f t="shared" si="11"/>
        <v>71</v>
      </c>
      <c r="M88" s="5">
        <f t="shared" si="12"/>
        <v>71</v>
      </c>
      <c r="N88" s="5">
        <f t="shared" si="12"/>
        <v>71</v>
      </c>
      <c r="O88" s="5">
        <f t="shared" si="12"/>
        <v>71</v>
      </c>
      <c r="P88" s="5">
        <f t="shared" si="9"/>
        <v>71</v>
      </c>
      <c r="Q88" s="5">
        <f t="shared" si="9"/>
        <v>71</v>
      </c>
      <c r="R88" s="5">
        <f t="shared" si="13"/>
        <v>71</v>
      </c>
      <c r="U88" s="8">
        <f t="shared" si="10"/>
        <v>0</v>
      </c>
      <c r="V88" s="8">
        <f>IFERROR(INDEX('Payment 1 through 9'!$A$1:$B$330,MATCH(CONCATENATE(FinalPayment!$F88,"0000"),'Payment 1 through 9'!$A$1:$A$330,0),2)*9,0)</f>
        <v>0</v>
      </c>
      <c r="W88" s="8">
        <f>IFERROR(INDEX('FinalPayment 10'!$A$1:$B$330,MATCH(CONCATENATE(FinalPayment!$F88,"0000"),'FinalPayment 10'!$A$1:$A$330,0),2),0)</f>
        <v>0</v>
      </c>
      <c r="X88" s="8">
        <f t="shared" si="14"/>
        <v>0</v>
      </c>
      <c r="Y88" s="8">
        <f t="shared" si="15"/>
        <v>710</v>
      </c>
    </row>
    <row r="89" spans="1:25" x14ac:dyDescent="0.55000000000000004">
      <c r="A89">
        <v>2021</v>
      </c>
      <c r="B89" t="s">
        <v>703</v>
      </c>
      <c r="C89" t="s">
        <v>588</v>
      </c>
      <c r="D89" t="s">
        <v>1207</v>
      </c>
      <c r="E89" t="s">
        <v>1207</v>
      </c>
      <c r="F89" t="s">
        <v>588</v>
      </c>
      <c r="G89" t="s">
        <v>100</v>
      </c>
      <c r="H89" s="5">
        <f>SUMPRODUCT(SUMIF(FinalPayment_NoReorg!$F$2:$F$331,FinalPayment!$D89:$F89,FinalPayment_NoReorg!$L$2:$L$331))+SUMPRODUCT(SUMIF(FinalPayment_NoReorg!$F$2:$F$331,FinalPayment!$D89:$F89,FinalPayment_NoReorg!$N$2:$N$331))</f>
        <v>8536</v>
      </c>
      <c r="I89" s="5">
        <f t="shared" si="11"/>
        <v>854</v>
      </c>
      <c r="J89" s="5">
        <f t="shared" si="11"/>
        <v>854</v>
      </c>
      <c r="K89" s="5">
        <f t="shared" si="11"/>
        <v>854</v>
      </c>
      <c r="L89" s="5">
        <f t="shared" si="11"/>
        <v>854</v>
      </c>
      <c r="M89" s="5">
        <f t="shared" si="12"/>
        <v>854</v>
      </c>
      <c r="N89" s="5">
        <f t="shared" si="12"/>
        <v>854</v>
      </c>
      <c r="O89" s="5">
        <f t="shared" si="12"/>
        <v>854</v>
      </c>
      <c r="P89" s="5">
        <f t="shared" si="9"/>
        <v>854</v>
      </c>
      <c r="Q89" s="5">
        <f t="shared" si="9"/>
        <v>854</v>
      </c>
      <c r="R89" s="5">
        <f t="shared" si="13"/>
        <v>850</v>
      </c>
      <c r="U89" s="8">
        <f t="shared" si="10"/>
        <v>0</v>
      </c>
      <c r="V89" s="8">
        <f>IFERROR(INDEX('Payment 1 through 9'!$A$1:$B$330,MATCH(CONCATENATE(FinalPayment!$F89,"0000"),'Payment 1 through 9'!$A$1:$A$330,0),2)*9,0)</f>
        <v>0</v>
      </c>
      <c r="W89" s="8">
        <f>IFERROR(INDEX('FinalPayment 10'!$A$1:$B$330,MATCH(CONCATENATE(FinalPayment!$F89,"0000"),'FinalPayment 10'!$A$1:$A$330,0),2),0)</f>
        <v>0</v>
      </c>
      <c r="X89" s="8">
        <f t="shared" si="14"/>
        <v>0</v>
      </c>
      <c r="Y89" s="8">
        <f t="shared" si="15"/>
        <v>8536</v>
      </c>
    </row>
    <row r="90" spans="1:25" x14ac:dyDescent="0.55000000000000004">
      <c r="A90">
        <v>2021</v>
      </c>
      <c r="B90" t="s">
        <v>689</v>
      </c>
      <c r="C90" t="s">
        <v>587</v>
      </c>
      <c r="D90" t="s">
        <v>1207</v>
      </c>
      <c r="E90" t="s">
        <v>1207</v>
      </c>
      <c r="F90" t="s">
        <v>587</v>
      </c>
      <c r="G90" t="s">
        <v>101</v>
      </c>
      <c r="H90" s="5">
        <f>SUMPRODUCT(SUMIF(FinalPayment_NoReorg!$F$2:$F$331,FinalPayment!$D90:$F90,FinalPayment_NoReorg!$L$2:$L$331))+SUMPRODUCT(SUMIF(FinalPayment_NoReorg!$F$2:$F$331,FinalPayment!$D90:$F90,FinalPayment_NoReorg!$N$2:$N$331))</f>
        <v>333</v>
      </c>
      <c r="I90" s="5">
        <f t="shared" si="11"/>
        <v>33</v>
      </c>
      <c r="J90" s="5">
        <f t="shared" si="11"/>
        <v>33</v>
      </c>
      <c r="K90" s="5">
        <f t="shared" si="11"/>
        <v>33</v>
      </c>
      <c r="L90" s="5">
        <f t="shared" si="11"/>
        <v>33</v>
      </c>
      <c r="M90" s="5">
        <f t="shared" si="12"/>
        <v>33</v>
      </c>
      <c r="N90" s="5">
        <f t="shared" si="12"/>
        <v>33</v>
      </c>
      <c r="O90" s="5">
        <f t="shared" si="12"/>
        <v>33</v>
      </c>
      <c r="P90" s="5">
        <f t="shared" si="9"/>
        <v>33</v>
      </c>
      <c r="Q90" s="5">
        <f t="shared" si="9"/>
        <v>33</v>
      </c>
      <c r="R90" s="5">
        <f t="shared" si="13"/>
        <v>36</v>
      </c>
      <c r="U90" s="8">
        <f t="shared" si="10"/>
        <v>0</v>
      </c>
      <c r="V90" s="8">
        <f>IFERROR(INDEX('Payment 1 through 9'!$A$1:$B$330,MATCH(CONCATENATE(FinalPayment!$F90,"0000"),'Payment 1 through 9'!$A$1:$A$330,0),2)*9,0)</f>
        <v>0</v>
      </c>
      <c r="W90" s="8">
        <f>IFERROR(INDEX('FinalPayment 10'!$A$1:$B$330,MATCH(CONCATENATE(FinalPayment!$F90,"0000"),'FinalPayment 10'!$A$1:$A$330,0),2),0)</f>
        <v>0</v>
      </c>
      <c r="X90" s="8">
        <f t="shared" si="14"/>
        <v>0</v>
      </c>
      <c r="Y90" s="8">
        <f t="shared" si="15"/>
        <v>333</v>
      </c>
    </row>
    <row r="91" spans="1:25" x14ac:dyDescent="0.55000000000000004">
      <c r="A91">
        <v>2021</v>
      </c>
      <c r="B91" t="s">
        <v>707</v>
      </c>
      <c r="C91" t="s">
        <v>585</v>
      </c>
      <c r="D91" t="s">
        <v>1207</v>
      </c>
      <c r="E91" t="s">
        <v>1207</v>
      </c>
      <c r="F91" t="s">
        <v>585</v>
      </c>
      <c r="G91" t="s">
        <v>103</v>
      </c>
      <c r="H91" s="5">
        <f>SUMPRODUCT(SUMIF(FinalPayment_NoReorg!$F$2:$F$331,FinalPayment!$D91:$F91,FinalPayment_NoReorg!$L$2:$L$331))+SUMPRODUCT(SUMIF(FinalPayment_NoReorg!$F$2:$F$331,FinalPayment!$D91:$F91,FinalPayment_NoReorg!$N$2:$N$331))</f>
        <v>17764</v>
      </c>
      <c r="I91" s="5">
        <f t="shared" si="11"/>
        <v>1776</v>
      </c>
      <c r="J91" s="5">
        <f t="shared" si="11"/>
        <v>1776</v>
      </c>
      <c r="K91" s="5">
        <f t="shared" si="11"/>
        <v>1776</v>
      </c>
      <c r="L91" s="5">
        <f t="shared" si="11"/>
        <v>1776</v>
      </c>
      <c r="M91" s="5">
        <f t="shared" si="12"/>
        <v>1776</v>
      </c>
      <c r="N91" s="5">
        <f t="shared" si="12"/>
        <v>1776</v>
      </c>
      <c r="O91" s="5">
        <f t="shared" si="12"/>
        <v>1776</v>
      </c>
      <c r="P91" s="5">
        <f t="shared" si="9"/>
        <v>1776</v>
      </c>
      <c r="Q91" s="5">
        <f t="shared" si="9"/>
        <v>1776</v>
      </c>
      <c r="R91" s="5">
        <f t="shared" si="13"/>
        <v>1780</v>
      </c>
      <c r="U91" s="8">
        <f t="shared" si="10"/>
        <v>0</v>
      </c>
      <c r="V91" s="8">
        <f>IFERROR(INDEX('Payment 1 through 9'!$A$1:$B$330,MATCH(CONCATENATE(FinalPayment!$F91,"0000"),'Payment 1 through 9'!$A$1:$A$330,0),2)*9,0)</f>
        <v>10701</v>
      </c>
      <c r="W91" s="8">
        <f>IFERROR(INDEX('FinalPayment 10'!$A$1:$B$330,MATCH(CONCATENATE(FinalPayment!$F91,"0000"),'FinalPayment 10'!$A$1:$A$330,0),2),0)</f>
        <v>1186</v>
      </c>
      <c r="X91" s="8">
        <f t="shared" si="14"/>
        <v>11887</v>
      </c>
      <c r="Y91" s="8">
        <f t="shared" si="15"/>
        <v>5877</v>
      </c>
    </row>
    <row r="92" spans="1:25" x14ac:dyDescent="0.55000000000000004">
      <c r="A92">
        <v>2021</v>
      </c>
      <c r="B92" t="s">
        <v>694</v>
      </c>
      <c r="C92" t="s">
        <v>584</v>
      </c>
      <c r="D92" t="s">
        <v>1207</v>
      </c>
      <c r="E92" t="s">
        <v>1207</v>
      </c>
      <c r="F92" t="s">
        <v>584</v>
      </c>
      <c r="G92" t="s">
        <v>104</v>
      </c>
      <c r="H92" s="5">
        <f>SUMPRODUCT(SUMIF(FinalPayment_NoReorg!$F$2:$F$331,FinalPayment!$D92:$F92,FinalPayment_NoReorg!$L$2:$L$331))+SUMPRODUCT(SUMIF(FinalPayment_NoReorg!$F$2:$F$331,FinalPayment!$D92:$F92,FinalPayment_NoReorg!$N$2:$N$331))</f>
        <v>732</v>
      </c>
      <c r="I92" s="5">
        <f t="shared" si="11"/>
        <v>73</v>
      </c>
      <c r="J92" s="5">
        <f t="shared" si="11"/>
        <v>73</v>
      </c>
      <c r="K92" s="5">
        <f t="shared" si="11"/>
        <v>73</v>
      </c>
      <c r="L92" s="5">
        <f t="shared" si="11"/>
        <v>73</v>
      </c>
      <c r="M92" s="5">
        <f t="shared" si="12"/>
        <v>73</v>
      </c>
      <c r="N92" s="5">
        <f t="shared" si="12"/>
        <v>73</v>
      </c>
      <c r="O92" s="5">
        <f t="shared" si="12"/>
        <v>73</v>
      </c>
      <c r="P92" s="5">
        <f t="shared" si="9"/>
        <v>73</v>
      </c>
      <c r="Q92" s="5">
        <f t="shared" si="9"/>
        <v>73</v>
      </c>
      <c r="R92" s="5">
        <f t="shared" si="13"/>
        <v>75</v>
      </c>
      <c r="U92" s="8">
        <f t="shared" si="10"/>
        <v>0</v>
      </c>
      <c r="V92" s="8">
        <f>IFERROR(INDEX('Payment 1 through 9'!$A$1:$B$330,MATCH(CONCATENATE(FinalPayment!$F92,"0000"),'Payment 1 through 9'!$A$1:$A$330,0),2)*9,0)</f>
        <v>0</v>
      </c>
      <c r="W92" s="8">
        <f>IFERROR(INDEX('FinalPayment 10'!$A$1:$B$330,MATCH(CONCATENATE(FinalPayment!$F92,"0000"),'FinalPayment 10'!$A$1:$A$330,0),2),0)</f>
        <v>0</v>
      </c>
      <c r="X92" s="8">
        <f t="shared" si="14"/>
        <v>0</v>
      </c>
      <c r="Y92" s="8">
        <f t="shared" si="15"/>
        <v>732</v>
      </c>
    </row>
    <row r="93" spans="1:25" x14ac:dyDescent="0.55000000000000004">
      <c r="A93">
        <v>2021</v>
      </c>
      <c r="B93" t="s">
        <v>686</v>
      </c>
      <c r="C93" t="s">
        <v>583</v>
      </c>
      <c r="D93" t="s">
        <v>1207</v>
      </c>
      <c r="E93" t="s">
        <v>1207</v>
      </c>
      <c r="F93" t="s">
        <v>583</v>
      </c>
      <c r="G93" t="s">
        <v>105</v>
      </c>
      <c r="H93" s="5">
        <f>SUMPRODUCT(SUMIF(FinalPayment_NoReorg!$F$2:$F$331,FinalPayment!$D93:$F93,FinalPayment_NoReorg!$L$2:$L$331))+SUMPRODUCT(SUMIF(FinalPayment_NoReorg!$F$2:$F$331,FinalPayment!$D93:$F93,FinalPayment_NoReorg!$N$2:$N$331))</f>
        <v>471</v>
      </c>
      <c r="I93" s="5">
        <f t="shared" si="11"/>
        <v>47</v>
      </c>
      <c r="J93" s="5">
        <f t="shared" si="11"/>
        <v>47</v>
      </c>
      <c r="K93" s="5">
        <f t="shared" si="11"/>
        <v>47</v>
      </c>
      <c r="L93" s="5">
        <f t="shared" si="11"/>
        <v>47</v>
      </c>
      <c r="M93" s="5">
        <f t="shared" si="12"/>
        <v>47</v>
      </c>
      <c r="N93" s="5">
        <f t="shared" si="12"/>
        <v>47</v>
      </c>
      <c r="O93" s="5">
        <f t="shared" si="12"/>
        <v>47</v>
      </c>
      <c r="P93" s="5">
        <f t="shared" si="9"/>
        <v>47</v>
      </c>
      <c r="Q93" s="5">
        <f t="shared" si="9"/>
        <v>47</v>
      </c>
      <c r="R93" s="5">
        <f t="shared" si="13"/>
        <v>48</v>
      </c>
      <c r="U93" s="8">
        <f t="shared" si="10"/>
        <v>0</v>
      </c>
      <c r="V93" s="8">
        <f>IFERROR(INDEX('Payment 1 through 9'!$A$1:$B$330,MATCH(CONCATENATE(FinalPayment!$F93,"0000"),'Payment 1 through 9'!$A$1:$A$330,0),2)*9,0)</f>
        <v>0</v>
      </c>
      <c r="W93" s="8">
        <f>IFERROR(INDEX('FinalPayment 10'!$A$1:$B$330,MATCH(CONCATENATE(FinalPayment!$F93,"0000"),'FinalPayment 10'!$A$1:$A$330,0),2),0)</f>
        <v>0</v>
      </c>
      <c r="X93" s="8">
        <f t="shared" si="14"/>
        <v>0</v>
      </c>
      <c r="Y93" s="8">
        <f t="shared" si="15"/>
        <v>471</v>
      </c>
    </row>
    <row r="94" spans="1:25" x14ac:dyDescent="0.55000000000000004">
      <c r="A94">
        <v>2021</v>
      </c>
      <c r="B94" t="s">
        <v>689</v>
      </c>
      <c r="C94" t="s">
        <v>582</v>
      </c>
      <c r="D94" t="s">
        <v>1207</v>
      </c>
      <c r="E94" t="s">
        <v>1207</v>
      </c>
      <c r="F94" t="s">
        <v>582</v>
      </c>
      <c r="G94" t="s">
        <v>106</v>
      </c>
      <c r="H94" s="5">
        <f>SUMPRODUCT(SUMIF(FinalPayment_NoReorg!$F$2:$F$331,FinalPayment!$D94:$F94,FinalPayment_NoReorg!$L$2:$L$331))+SUMPRODUCT(SUMIF(FinalPayment_NoReorg!$F$2:$F$331,FinalPayment!$D94:$F94,FinalPayment_NoReorg!$N$2:$N$331))</f>
        <v>67900</v>
      </c>
      <c r="I94" s="5">
        <f t="shared" si="11"/>
        <v>6790</v>
      </c>
      <c r="J94" s="5">
        <f t="shared" si="11"/>
        <v>6790</v>
      </c>
      <c r="K94" s="5">
        <f t="shared" si="11"/>
        <v>6790</v>
      </c>
      <c r="L94" s="5">
        <f t="shared" si="11"/>
        <v>6790</v>
      </c>
      <c r="M94" s="5">
        <f t="shared" si="12"/>
        <v>6790</v>
      </c>
      <c r="N94" s="5">
        <f t="shared" si="12"/>
        <v>6790</v>
      </c>
      <c r="O94" s="5">
        <f t="shared" si="12"/>
        <v>6790</v>
      </c>
      <c r="P94" s="5">
        <f t="shared" si="9"/>
        <v>6790</v>
      </c>
      <c r="Q94" s="5">
        <f t="shared" si="9"/>
        <v>6790</v>
      </c>
      <c r="R94" s="5">
        <f t="shared" si="13"/>
        <v>6790</v>
      </c>
      <c r="U94" s="8">
        <f t="shared" si="10"/>
        <v>0</v>
      </c>
      <c r="V94" s="8">
        <f>IFERROR(INDEX('Payment 1 through 9'!$A$1:$B$330,MATCH(CONCATENATE(FinalPayment!$F94,"0000"),'Payment 1 through 9'!$A$1:$A$330,0),2)*9,0)</f>
        <v>55791</v>
      </c>
      <c r="W94" s="8">
        <f>IFERROR(INDEX('FinalPayment 10'!$A$1:$B$330,MATCH(CONCATENATE(FinalPayment!$F94,"0000"),'FinalPayment 10'!$A$1:$A$330,0),2),0)</f>
        <v>6201</v>
      </c>
      <c r="X94" s="8">
        <f t="shared" si="14"/>
        <v>61992</v>
      </c>
      <c r="Y94" s="8">
        <f t="shared" si="15"/>
        <v>5908</v>
      </c>
    </row>
    <row r="95" spans="1:25" x14ac:dyDescent="0.55000000000000004">
      <c r="A95">
        <v>2021</v>
      </c>
      <c r="B95" t="s">
        <v>689</v>
      </c>
      <c r="C95" t="s">
        <v>783</v>
      </c>
      <c r="D95" t="s">
        <v>1207</v>
      </c>
      <c r="E95" t="s">
        <v>1207</v>
      </c>
      <c r="F95" t="s">
        <v>580</v>
      </c>
      <c r="G95" t="s">
        <v>107</v>
      </c>
      <c r="H95" s="5">
        <f>SUMPRODUCT(SUMIF(FinalPayment_NoReorg!$F$2:$F$331,FinalPayment!$D95:$F95,FinalPayment_NoReorg!$L$2:$L$331))+SUMPRODUCT(SUMIF(FinalPayment_NoReorg!$F$2:$F$331,FinalPayment!$D95:$F95,FinalPayment_NoReorg!$N$2:$N$331))</f>
        <v>225547</v>
      </c>
      <c r="I95" s="5">
        <f t="shared" si="11"/>
        <v>22555</v>
      </c>
      <c r="J95" s="5">
        <f t="shared" si="11"/>
        <v>22555</v>
      </c>
      <c r="K95" s="5">
        <f t="shared" si="11"/>
        <v>22555</v>
      </c>
      <c r="L95" s="5">
        <f t="shared" si="11"/>
        <v>22555</v>
      </c>
      <c r="M95" s="5">
        <f t="shared" si="12"/>
        <v>22555</v>
      </c>
      <c r="N95" s="5">
        <f t="shared" si="12"/>
        <v>22555</v>
      </c>
      <c r="O95" s="5">
        <f t="shared" si="12"/>
        <v>22555</v>
      </c>
      <c r="P95" s="5">
        <f t="shared" si="9"/>
        <v>22555</v>
      </c>
      <c r="Q95" s="5">
        <f t="shared" si="9"/>
        <v>22555</v>
      </c>
      <c r="R95" s="5">
        <f t="shared" si="13"/>
        <v>22552</v>
      </c>
      <c r="U95" s="8">
        <f t="shared" si="10"/>
        <v>0</v>
      </c>
      <c r="V95" s="8">
        <f>IFERROR(INDEX('Payment 1 through 9'!$A$1:$B$330,MATCH(CONCATENATE(FinalPayment!$F95,"0000"),'Payment 1 through 9'!$A$1:$A$330,0),2)*9,0)</f>
        <v>197685</v>
      </c>
      <c r="W95" s="8">
        <f>IFERROR(INDEX('FinalPayment 10'!$A$1:$B$330,MATCH(CONCATENATE(FinalPayment!$F95,"0000"),'FinalPayment 10'!$A$1:$A$330,0),2),0)</f>
        <v>21962</v>
      </c>
      <c r="X95" s="8">
        <f t="shared" si="14"/>
        <v>219647</v>
      </c>
      <c r="Y95" s="8">
        <f t="shared" si="15"/>
        <v>5900</v>
      </c>
    </row>
    <row r="96" spans="1:25" x14ac:dyDescent="0.55000000000000004">
      <c r="A96">
        <v>2021</v>
      </c>
      <c r="B96" t="s">
        <v>690</v>
      </c>
      <c r="C96" t="s">
        <v>502</v>
      </c>
      <c r="D96" t="s">
        <v>785</v>
      </c>
      <c r="E96" t="s">
        <v>1207</v>
      </c>
      <c r="F96" t="s">
        <v>502</v>
      </c>
      <c r="G96" t="s">
        <v>331</v>
      </c>
      <c r="H96" s="5">
        <f>SUMPRODUCT(SUMIF(FinalPayment_NoReorg!$F$2:$F$331,FinalPayment!$D96:$F96,FinalPayment_NoReorg!$L$2:$L$331))+SUMPRODUCT(SUMIF(FinalPayment_NoReorg!$F$2:$F$331,FinalPayment!$D96:$F96,FinalPayment_NoReorg!$N$2:$N$331))</f>
        <v>198504</v>
      </c>
      <c r="I96" s="5">
        <f t="shared" si="11"/>
        <v>19850</v>
      </c>
      <c r="J96" s="5">
        <f t="shared" si="11"/>
        <v>19850</v>
      </c>
      <c r="K96" s="5">
        <f t="shared" si="11"/>
        <v>19850</v>
      </c>
      <c r="L96" s="5">
        <f t="shared" si="11"/>
        <v>19850</v>
      </c>
      <c r="M96" s="5">
        <f t="shared" si="12"/>
        <v>19850</v>
      </c>
      <c r="N96" s="5">
        <f t="shared" si="12"/>
        <v>19850</v>
      </c>
      <c r="O96" s="5">
        <f t="shared" si="12"/>
        <v>19850</v>
      </c>
      <c r="P96" s="5">
        <f t="shared" si="9"/>
        <v>19850</v>
      </c>
      <c r="Q96" s="5">
        <f t="shared" si="9"/>
        <v>19850</v>
      </c>
      <c r="R96" s="5">
        <f t="shared" si="13"/>
        <v>19854</v>
      </c>
      <c r="U96" s="8">
        <f t="shared" si="10"/>
        <v>0</v>
      </c>
      <c r="V96" s="8">
        <f>IFERROR(INDEX('Payment 1 through 9'!$A$1:$B$330,MATCH(CONCATENATE(FinalPayment!$F96,"0000"),'Payment 1 through 9'!$A$1:$A$330,0),2)*9,0)</f>
        <v>173394</v>
      </c>
      <c r="W96" s="8">
        <f>IFERROR(INDEX('FinalPayment 10'!$A$1:$B$330,MATCH(CONCATENATE(FinalPayment!$F96,"0000"),'FinalPayment 10'!$A$1:$A$330,0),2),0)</f>
        <v>19269</v>
      </c>
      <c r="X96" s="8">
        <f t="shared" si="14"/>
        <v>192663</v>
      </c>
      <c r="Y96" s="8">
        <f t="shared" si="15"/>
        <v>5841</v>
      </c>
    </row>
    <row r="97" spans="1:25" x14ac:dyDescent="0.55000000000000004">
      <c r="A97">
        <v>2021</v>
      </c>
      <c r="B97" t="s">
        <v>694</v>
      </c>
      <c r="C97" t="s">
        <v>375</v>
      </c>
      <c r="D97" t="s">
        <v>1207</v>
      </c>
      <c r="E97" t="s">
        <v>1207</v>
      </c>
      <c r="F97" t="s">
        <v>375</v>
      </c>
      <c r="G97" t="s">
        <v>333</v>
      </c>
      <c r="H97" s="5">
        <f>SUMPRODUCT(SUMIF(FinalPayment_NoReorg!$F$2:$F$331,FinalPayment!$D97:$F97,FinalPayment_NoReorg!$L$2:$L$331))+SUMPRODUCT(SUMIF(FinalPayment_NoReorg!$F$2:$F$331,FinalPayment!$D97:$F97,FinalPayment_NoReorg!$N$2:$N$331))</f>
        <v>136548</v>
      </c>
      <c r="I97" s="5">
        <f t="shared" si="11"/>
        <v>13655</v>
      </c>
      <c r="J97" s="5">
        <f t="shared" si="11"/>
        <v>13655</v>
      </c>
      <c r="K97" s="5">
        <f t="shared" si="11"/>
        <v>13655</v>
      </c>
      <c r="L97" s="5">
        <f t="shared" si="11"/>
        <v>13655</v>
      </c>
      <c r="M97" s="5">
        <f t="shared" si="12"/>
        <v>13655</v>
      </c>
      <c r="N97" s="5">
        <f t="shared" si="12"/>
        <v>13655</v>
      </c>
      <c r="O97" s="5">
        <f t="shared" si="12"/>
        <v>13655</v>
      </c>
      <c r="P97" s="5">
        <f t="shared" si="9"/>
        <v>13655</v>
      </c>
      <c r="Q97" s="5">
        <f t="shared" si="9"/>
        <v>13655</v>
      </c>
      <c r="R97" s="5">
        <f t="shared" si="13"/>
        <v>13653</v>
      </c>
      <c r="U97" s="8">
        <f t="shared" si="10"/>
        <v>0</v>
      </c>
      <c r="V97" s="8">
        <f>IFERROR(INDEX('Payment 1 through 9'!$A$1:$B$330,MATCH(CONCATENATE(FinalPayment!$F97,"0000"),'Payment 1 through 9'!$A$1:$A$330,0),2)*9,0)</f>
        <v>114948</v>
      </c>
      <c r="W97" s="8">
        <f>IFERROR(INDEX('FinalPayment 10'!$A$1:$B$330,MATCH(CONCATENATE(FinalPayment!$F97,"0000"),'FinalPayment 10'!$A$1:$A$330,0),2),0)</f>
        <v>12769</v>
      </c>
      <c r="X97" s="8">
        <f t="shared" si="14"/>
        <v>127717</v>
      </c>
      <c r="Y97" s="8">
        <f t="shared" si="15"/>
        <v>8831</v>
      </c>
    </row>
    <row r="98" spans="1:25" x14ac:dyDescent="0.55000000000000004">
      <c r="A98">
        <v>2021</v>
      </c>
      <c r="B98" t="s">
        <v>690</v>
      </c>
      <c r="C98" t="s">
        <v>579</v>
      </c>
      <c r="D98" t="s">
        <v>1207</v>
      </c>
      <c r="E98" t="s">
        <v>1207</v>
      </c>
      <c r="F98" t="s">
        <v>579</v>
      </c>
      <c r="G98" t="s">
        <v>108</v>
      </c>
      <c r="H98" s="5">
        <f>SUMPRODUCT(SUMIF(FinalPayment_NoReorg!$F$2:$F$331,FinalPayment!$D98:$F98,FinalPayment_NoReorg!$L$2:$L$331))+SUMPRODUCT(SUMIF(FinalPayment_NoReorg!$F$2:$F$331,FinalPayment!$D98:$F98,FinalPayment_NoReorg!$N$2:$N$331))</f>
        <v>152880</v>
      </c>
      <c r="I98" s="5">
        <f t="shared" si="11"/>
        <v>15288</v>
      </c>
      <c r="J98" s="5">
        <f t="shared" si="11"/>
        <v>15288</v>
      </c>
      <c r="K98" s="5">
        <f t="shared" si="11"/>
        <v>15288</v>
      </c>
      <c r="L98" s="5">
        <f t="shared" si="11"/>
        <v>15288</v>
      </c>
      <c r="M98" s="5">
        <f t="shared" si="12"/>
        <v>15288</v>
      </c>
      <c r="N98" s="5">
        <f t="shared" si="12"/>
        <v>15288</v>
      </c>
      <c r="O98" s="5">
        <f t="shared" si="12"/>
        <v>15288</v>
      </c>
      <c r="P98" s="5">
        <f t="shared" si="9"/>
        <v>15288</v>
      </c>
      <c r="Q98" s="5">
        <f t="shared" si="9"/>
        <v>15288</v>
      </c>
      <c r="R98" s="5">
        <f t="shared" si="13"/>
        <v>15288</v>
      </c>
      <c r="U98" s="8">
        <f t="shared" si="10"/>
        <v>0</v>
      </c>
      <c r="V98" s="8">
        <f>IFERROR(INDEX('Payment 1 through 9'!$A$1:$B$330,MATCH(CONCATENATE(FinalPayment!$F98,"0000"),'Payment 1 through 9'!$A$1:$A$330,0),2)*9,0)</f>
        <v>132912</v>
      </c>
      <c r="W98" s="8">
        <f>IFERROR(INDEX('FinalPayment 10'!$A$1:$B$330,MATCH(CONCATENATE(FinalPayment!$F98,"0000"),'FinalPayment 10'!$A$1:$A$330,0),2),0)</f>
        <v>14767</v>
      </c>
      <c r="X98" s="8">
        <f t="shared" si="14"/>
        <v>147679</v>
      </c>
      <c r="Y98" s="8">
        <f t="shared" si="15"/>
        <v>5201</v>
      </c>
    </row>
    <row r="99" spans="1:25" x14ac:dyDescent="0.55000000000000004">
      <c r="A99">
        <v>2021</v>
      </c>
      <c r="B99" t="s">
        <v>703</v>
      </c>
      <c r="C99" t="s">
        <v>578</v>
      </c>
      <c r="D99" t="s">
        <v>1207</v>
      </c>
      <c r="E99" t="s">
        <v>1207</v>
      </c>
      <c r="F99" t="s">
        <v>578</v>
      </c>
      <c r="G99" t="s">
        <v>109</v>
      </c>
      <c r="H99" s="5">
        <f>SUMPRODUCT(SUMIF(FinalPayment_NoReorg!$F$2:$F$331,FinalPayment!$D99:$F99,FinalPayment_NoReorg!$L$2:$L$331))+SUMPRODUCT(SUMIF(FinalPayment_NoReorg!$F$2:$F$331,FinalPayment!$D99:$F99,FinalPayment_NoReorg!$N$2:$N$331))</f>
        <v>126918</v>
      </c>
      <c r="I99" s="5">
        <f t="shared" si="11"/>
        <v>12692</v>
      </c>
      <c r="J99" s="5">
        <f t="shared" si="11"/>
        <v>12692</v>
      </c>
      <c r="K99" s="5">
        <f t="shared" si="11"/>
        <v>12692</v>
      </c>
      <c r="L99" s="5">
        <f t="shared" si="11"/>
        <v>12692</v>
      </c>
      <c r="M99" s="5">
        <f t="shared" si="12"/>
        <v>12692</v>
      </c>
      <c r="N99" s="5">
        <f t="shared" si="12"/>
        <v>12692</v>
      </c>
      <c r="O99" s="5">
        <f t="shared" si="12"/>
        <v>12692</v>
      </c>
      <c r="P99" s="5">
        <f t="shared" si="9"/>
        <v>12692</v>
      </c>
      <c r="Q99" s="5">
        <f t="shared" si="9"/>
        <v>12692</v>
      </c>
      <c r="R99" s="5">
        <f t="shared" si="13"/>
        <v>12690</v>
      </c>
      <c r="U99" s="8">
        <f t="shared" si="10"/>
        <v>0</v>
      </c>
      <c r="V99" s="8">
        <f>IFERROR(INDEX('Payment 1 through 9'!$A$1:$B$330,MATCH(CONCATENATE(FinalPayment!$F99,"0000"),'Payment 1 through 9'!$A$1:$A$330,0),2)*9,0)</f>
        <v>111114</v>
      </c>
      <c r="W99" s="8">
        <f>IFERROR(INDEX('FinalPayment 10'!$A$1:$B$330,MATCH(CONCATENATE(FinalPayment!$F99,"0000"),'FinalPayment 10'!$A$1:$A$330,0),2),0)</f>
        <v>12342</v>
      </c>
      <c r="X99" s="8">
        <f t="shared" si="14"/>
        <v>123456</v>
      </c>
      <c r="Y99" s="8">
        <f t="shared" si="15"/>
        <v>3462</v>
      </c>
    </row>
    <row r="100" spans="1:25" x14ac:dyDescent="0.55000000000000004">
      <c r="A100">
        <v>2021</v>
      </c>
      <c r="B100" t="s">
        <v>707</v>
      </c>
      <c r="C100" t="s">
        <v>581</v>
      </c>
      <c r="D100" t="s">
        <v>1207</v>
      </c>
      <c r="E100" t="s">
        <v>1207</v>
      </c>
      <c r="F100" t="s">
        <v>581</v>
      </c>
      <c r="G100" t="s">
        <v>336</v>
      </c>
      <c r="H100" s="5">
        <f>SUMPRODUCT(SUMIF(FinalPayment_NoReorg!$F$2:$F$331,FinalPayment!$D100:$F100,FinalPayment_NoReorg!$L$2:$L$331))+SUMPRODUCT(SUMIF(FinalPayment_NoReorg!$F$2:$F$331,FinalPayment!$D100:$F100,FinalPayment_NoReorg!$N$2:$N$331))</f>
        <v>140949</v>
      </c>
      <c r="I100" s="5">
        <f t="shared" si="11"/>
        <v>14095</v>
      </c>
      <c r="J100" s="5">
        <f t="shared" si="11"/>
        <v>14095</v>
      </c>
      <c r="K100" s="5">
        <f t="shared" si="11"/>
        <v>14095</v>
      </c>
      <c r="L100" s="5">
        <f t="shared" si="11"/>
        <v>14095</v>
      </c>
      <c r="M100" s="5">
        <f t="shared" si="12"/>
        <v>14095</v>
      </c>
      <c r="N100" s="5">
        <f t="shared" si="12"/>
        <v>14095</v>
      </c>
      <c r="O100" s="5">
        <f t="shared" si="12"/>
        <v>14095</v>
      </c>
      <c r="P100" s="5">
        <f t="shared" si="9"/>
        <v>14095</v>
      </c>
      <c r="Q100" s="5">
        <f t="shared" si="9"/>
        <v>14095</v>
      </c>
      <c r="R100" s="5">
        <f t="shared" si="13"/>
        <v>14094</v>
      </c>
      <c r="U100" s="8">
        <f t="shared" si="10"/>
        <v>0</v>
      </c>
      <c r="V100" s="8">
        <f>IFERROR(INDEX('Payment 1 through 9'!$A$1:$B$330,MATCH(CONCATENATE(FinalPayment!$F100,"0000"),'Payment 1 through 9'!$A$1:$A$330,0),2)*9,0)</f>
        <v>121212</v>
      </c>
      <c r="W100" s="8">
        <f>IFERROR(INDEX('FinalPayment 10'!$A$1:$B$330,MATCH(CONCATENATE(FinalPayment!$F100,"0000"),'FinalPayment 10'!$A$1:$A$330,0),2),0)</f>
        <v>13463</v>
      </c>
      <c r="X100" s="8">
        <f t="shared" si="14"/>
        <v>134675</v>
      </c>
      <c r="Y100" s="8">
        <f t="shared" si="15"/>
        <v>6274</v>
      </c>
    </row>
    <row r="101" spans="1:25" x14ac:dyDescent="0.55000000000000004">
      <c r="A101">
        <v>2021</v>
      </c>
      <c r="B101" t="s">
        <v>696</v>
      </c>
      <c r="C101" t="s">
        <v>649</v>
      </c>
      <c r="D101" t="s">
        <v>1207</v>
      </c>
      <c r="E101" t="s">
        <v>1207</v>
      </c>
      <c r="F101" t="s">
        <v>649</v>
      </c>
      <c r="G101" t="s">
        <v>1218</v>
      </c>
      <c r="H101" s="5">
        <f>SUMPRODUCT(SUMIF(FinalPayment_NoReorg!$F$2:$F$331,FinalPayment!$D101:$F101,FinalPayment_NoReorg!$L$2:$L$331))+SUMPRODUCT(SUMIF(FinalPayment_NoReorg!$F$2:$F$331,FinalPayment!$D101:$F101,FinalPayment_NoReorg!$N$2:$N$331))</f>
        <v>389480</v>
      </c>
      <c r="I101" s="5">
        <f t="shared" si="11"/>
        <v>38948</v>
      </c>
      <c r="J101" s="5">
        <f t="shared" si="11"/>
        <v>38948</v>
      </c>
      <c r="K101" s="5">
        <f t="shared" si="11"/>
        <v>38948</v>
      </c>
      <c r="L101" s="5">
        <f t="shared" si="11"/>
        <v>38948</v>
      </c>
      <c r="M101" s="5">
        <f t="shared" si="12"/>
        <v>38948</v>
      </c>
      <c r="N101" s="5">
        <f t="shared" si="12"/>
        <v>38948</v>
      </c>
      <c r="O101" s="5">
        <f t="shared" si="12"/>
        <v>38948</v>
      </c>
      <c r="P101" s="5">
        <f t="shared" si="9"/>
        <v>38948</v>
      </c>
      <c r="Q101" s="5">
        <f t="shared" si="9"/>
        <v>38948</v>
      </c>
      <c r="R101" s="5">
        <f t="shared" si="13"/>
        <v>38948</v>
      </c>
      <c r="U101" s="8">
        <f t="shared" si="10"/>
        <v>0</v>
      </c>
      <c r="V101" s="8">
        <f>IFERROR(INDEX('Payment 1 through 9'!$A$1:$B$330,MATCH(CONCATENATE(FinalPayment!$F101,"0000"),'Payment 1 through 9'!$A$1:$A$330,0),2)*9,0)</f>
        <v>342045</v>
      </c>
      <c r="W101" s="8">
        <f>IFERROR(INDEX('FinalPayment 10'!$A$1:$B$330,MATCH(CONCATENATE(FinalPayment!$F101,"0000"),'FinalPayment 10'!$A$1:$A$330,0),2),0)</f>
        <v>38004</v>
      </c>
      <c r="X101" s="8">
        <f t="shared" si="14"/>
        <v>380049</v>
      </c>
      <c r="Y101" s="8">
        <f t="shared" si="15"/>
        <v>9431</v>
      </c>
    </row>
    <row r="102" spans="1:25" x14ac:dyDescent="0.55000000000000004">
      <c r="A102">
        <v>2021</v>
      </c>
      <c r="B102" t="s">
        <v>703</v>
      </c>
      <c r="C102" t="s">
        <v>576</v>
      </c>
      <c r="D102" t="s">
        <v>1207</v>
      </c>
      <c r="E102" t="s">
        <v>1207</v>
      </c>
      <c r="F102" t="s">
        <v>576</v>
      </c>
      <c r="G102" t="s">
        <v>111</v>
      </c>
      <c r="H102" s="5">
        <f>SUMPRODUCT(SUMIF(FinalPayment_NoReorg!$F$2:$F$331,FinalPayment!$D102:$F102,FinalPayment_NoReorg!$L$2:$L$331))+SUMPRODUCT(SUMIF(FinalPayment_NoReorg!$F$2:$F$331,FinalPayment!$D102:$F102,FinalPayment_NoReorg!$N$2:$N$331))</f>
        <v>151694</v>
      </c>
      <c r="I102" s="5">
        <f t="shared" si="11"/>
        <v>15169</v>
      </c>
      <c r="J102" s="5">
        <f t="shared" si="11"/>
        <v>15169</v>
      </c>
      <c r="K102" s="5">
        <f t="shared" si="11"/>
        <v>15169</v>
      </c>
      <c r="L102" s="5">
        <f t="shared" si="11"/>
        <v>15169</v>
      </c>
      <c r="M102" s="5">
        <f t="shared" si="12"/>
        <v>15169</v>
      </c>
      <c r="N102" s="5">
        <f t="shared" si="12"/>
        <v>15169</v>
      </c>
      <c r="O102" s="5">
        <f t="shared" si="12"/>
        <v>15169</v>
      </c>
      <c r="P102" s="5">
        <f t="shared" si="9"/>
        <v>15169</v>
      </c>
      <c r="Q102" s="5">
        <f t="shared" si="9"/>
        <v>15169</v>
      </c>
      <c r="R102" s="5">
        <f t="shared" si="13"/>
        <v>15173</v>
      </c>
      <c r="U102" s="8">
        <f t="shared" si="10"/>
        <v>0</v>
      </c>
      <c r="V102" s="8">
        <f>IFERROR(INDEX('Payment 1 through 9'!$A$1:$B$330,MATCH(CONCATENATE(FinalPayment!$F102,"0000"),'Payment 1 through 9'!$A$1:$A$330,0),2)*9,0)</f>
        <v>132534</v>
      </c>
      <c r="W102" s="8">
        <f>IFERROR(INDEX('FinalPayment 10'!$A$1:$B$330,MATCH(CONCATENATE(FinalPayment!$F102,"0000"),'FinalPayment 10'!$A$1:$A$330,0),2),0)</f>
        <v>14726</v>
      </c>
      <c r="X102" s="8">
        <f t="shared" si="14"/>
        <v>147260</v>
      </c>
      <c r="Y102" s="8">
        <f t="shared" si="15"/>
        <v>4434</v>
      </c>
    </row>
    <row r="103" spans="1:25" x14ac:dyDescent="0.55000000000000004">
      <c r="A103">
        <v>2021</v>
      </c>
      <c r="B103" t="s">
        <v>689</v>
      </c>
      <c r="C103" t="s">
        <v>575</v>
      </c>
      <c r="D103" t="s">
        <v>1207</v>
      </c>
      <c r="E103" t="s">
        <v>1207</v>
      </c>
      <c r="F103" t="s">
        <v>575</v>
      </c>
      <c r="G103" t="s">
        <v>112</v>
      </c>
      <c r="H103" s="5">
        <f>SUMPRODUCT(SUMIF(FinalPayment_NoReorg!$F$2:$F$331,FinalPayment!$D103:$F103,FinalPayment_NoReorg!$L$2:$L$331))+SUMPRODUCT(SUMIF(FinalPayment_NoReorg!$F$2:$F$331,FinalPayment!$D103:$F103,FinalPayment_NoReorg!$N$2:$N$331))</f>
        <v>33492</v>
      </c>
      <c r="I103" s="5">
        <f t="shared" si="11"/>
        <v>3349</v>
      </c>
      <c r="J103" s="5">
        <f t="shared" si="11"/>
        <v>3349</v>
      </c>
      <c r="K103" s="5">
        <f t="shared" si="11"/>
        <v>3349</v>
      </c>
      <c r="L103" s="5">
        <f t="shared" si="11"/>
        <v>3349</v>
      </c>
      <c r="M103" s="5">
        <f t="shared" si="12"/>
        <v>3349</v>
      </c>
      <c r="N103" s="5">
        <f t="shared" si="12"/>
        <v>3349</v>
      </c>
      <c r="O103" s="5">
        <f t="shared" si="12"/>
        <v>3349</v>
      </c>
      <c r="P103" s="5">
        <f t="shared" si="9"/>
        <v>3349</v>
      </c>
      <c r="Q103" s="5">
        <f t="shared" si="9"/>
        <v>3349</v>
      </c>
      <c r="R103" s="5">
        <f t="shared" si="13"/>
        <v>3351</v>
      </c>
      <c r="U103" s="8">
        <f t="shared" si="10"/>
        <v>0</v>
      </c>
      <c r="V103" s="8">
        <f>IFERROR(INDEX('Payment 1 through 9'!$A$1:$B$330,MATCH(CONCATENATE(FinalPayment!$F103,"0000"),'Payment 1 through 9'!$A$1:$A$330,0),2)*9,0)</f>
        <v>24129</v>
      </c>
      <c r="W103" s="8">
        <f>IFERROR(INDEX('FinalPayment 10'!$A$1:$B$330,MATCH(CONCATENATE(FinalPayment!$F103,"0000"),'FinalPayment 10'!$A$1:$A$330,0),2),0)</f>
        <v>2684</v>
      </c>
      <c r="X103" s="8">
        <f t="shared" si="14"/>
        <v>26813</v>
      </c>
      <c r="Y103" s="8">
        <f t="shared" si="15"/>
        <v>6679</v>
      </c>
    </row>
    <row r="104" spans="1:25" x14ac:dyDescent="0.55000000000000004">
      <c r="A104">
        <v>2021</v>
      </c>
      <c r="B104" t="s">
        <v>694</v>
      </c>
      <c r="C104" t="s">
        <v>574</v>
      </c>
      <c r="D104" t="s">
        <v>1207</v>
      </c>
      <c r="E104" t="s">
        <v>1207</v>
      </c>
      <c r="F104" t="s">
        <v>574</v>
      </c>
      <c r="G104" t="s">
        <v>113</v>
      </c>
      <c r="H104" s="5">
        <f>SUMPRODUCT(SUMIF(FinalPayment_NoReorg!$F$2:$F$331,FinalPayment!$D104:$F104,FinalPayment_NoReorg!$L$2:$L$331))+SUMPRODUCT(SUMIF(FinalPayment_NoReorg!$F$2:$F$331,FinalPayment!$D104:$F104,FinalPayment_NoReorg!$N$2:$N$331))</f>
        <v>29960</v>
      </c>
      <c r="I104" s="5">
        <f t="shared" si="11"/>
        <v>2996</v>
      </c>
      <c r="J104" s="5">
        <f t="shared" si="11"/>
        <v>2996</v>
      </c>
      <c r="K104" s="5">
        <f t="shared" si="11"/>
        <v>2996</v>
      </c>
      <c r="L104" s="5">
        <f t="shared" si="11"/>
        <v>2996</v>
      </c>
      <c r="M104" s="5">
        <f t="shared" si="12"/>
        <v>2996</v>
      </c>
      <c r="N104" s="5">
        <f t="shared" si="12"/>
        <v>2996</v>
      </c>
      <c r="O104" s="5">
        <f t="shared" si="12"/>
        <v>2996</v>
      </c>
      <c r="P104" s="5">
        <f t="shared" si="9"/>
        <v>2996</v>
      </c>
      <c r="Q104" s="5">
        <f t="shared" si="9"/>
        <v>2996</v>
      </c>
      <c r="R104" s="5">
        <f t="shared" si="13"/>
        <v>2996</v>
      </c>
      <c r="U104" s="8">
        <f t="shared" si="10"/>
        <v>0</v>
      </c>
      <c r="V104" s="8">
        <f>IFERROR(INDEX('Payment 1 through 9'!$A$1:$B$330,MATCH(CONCATENATE(FinalPayment!$F104,"0000"),'Payment 1 through 9'!$A$1:$A$330,0),2)*9,0)</f>
        <v>20295</v>
      </c>
      <c r="W104" s="8">
        <f>IFERROR(INDEX('FinalPayment 10'!$A$1:$B$330,MATCH(CONCATENATE(FinalPayment!$F104,"0000"),'FinalPayment 10'!$A$1:$A$330,0),2),0)</f>
        <v>2256</v>
      </c>
      <c r="X104" s="8">
        <f t="shared" si="14"/>
        <v>22551</v>
      </c>
      <c r="Y104" s="8">
        <f t="shared" si="15"/>
        <v>7409</v>
      </c>
    </row>
    <row r="105" spans="1:25" x14ac:dyDescent="0.55000000000000004">
      <c r="A105">
        <v>2021</v>
      </c>
      <c r="B105" t="s">
        <v>698</v>
      </c>
      <c r="C105" t="s">
        <v>573</v>
      </c>
      <c r="D105" t="s">
        <v>1207</v>
      </c>
      <c r="E105" t="s">
        <v>1207</v>
      </c>
      <c r="F105" t="s">
        <v>573</v>
      </c>
      <c r="G105" t="s">
        <v>114</v>
      </c>
      <c r="H105" s="5">
        <f>SUMPRODUCT(SUMIF(FinalPayment_NoReorg!$F$2:$F$331,FinalPayment!$D105:$F105,FinalPayment_NoReorg!$L$2:$L$331))+SUMPRODUCT(SUMIF(FinalPayment_NoReorg!$F$2:$F$331,FinalPayment!$D105:$F105,FinalPayment_NoReorg!$N$2:$N$331))</f>
        <v>59079</v>
      </c>
      <c r="I105" s="5">
        <f t="shared" si="11"/>
        <v>5908</v>
      </c>
      <c r="J105" s="5">
        <f t="shared" si="11"/>
        <v>5908</v>
      </c>
      <c r="K105" s="5">
        <f t="shared" si="11"/>
        <v>5908</v>
      </c>
      <c r="L105" s="5">
        <f t="shared" si="11"/>
        <v>5908</v>
      </c>
      <c r="M105" s="5">
        <f t="shared" si="12"/>
        <v>5908</v>
      </c>
      <c r="N105" s="5">
        <f t="shared" si="12"/>
        <v>5908</v>
      </c>
      <c r="O105" s="5">
        <f t="shared" si="12"/>
        <v>5908</v>
      </c>
      <c r="P105" s="5">
        <f t="shared" si="9"/>
        <v>5908</v>
      </c>
      <c r="Q105" s="5">
        <f t="shared" si="9"/>
        <v>5908</v>
      </c>
      <c r="R105" s="5">
        <f t="shared" si="13"/>
        <v>5907</v>
      </c>
      <c r="U105" s="8">
        <f t="shared" si="10"/>
        <v>0</v>
      </c>
      <c r="V105" s="8">
        <f>IFERROR(INDEX('Payment 1 through 9'!$A$1:$B$330,MATCH(CONCATENATE(FinalPayment!$F105,"0000"),'Payment 1 through 9'!$A$1:$A$330,0),2)*9,0)</f>
        <v>48717</v>
      </c>
      <c r="W105" s="8">
        <f>IFERROR(INDEX('FinalPayment 10'!$A$1:$B$330,MATCH(CONCATENATE(FinalPayment!$F105,"0000"),'FinalPayment 10'!$A$1:$A$330,0),2),0)</f>
        <v>5413</v>
      </c>
      <c r="X105" s="8">
        <f t="shared" si="14"/>
        <v>54130</v>
      </c>
      <c r="Y105" s="8">
        <f t="shared" si="15"/>
        <v>4949</v>
      </c>
    </row>
    <row r="106" spans="1:25" x14ac:dyDescent="0.55000000000000004">
      <c r="A106">
        <v>2021</v>
      </c>
      <c r="B106" t="s">
        <v>690</v>
      </c>
      <c r="C106" t="s">
        <v>572</v>
      </c>
      <c r="D106" t="s">
        <v>1207</v>
      </c>
      <c r="E106" t="s">
        <v>1207</v>
      </c>
      <c r="F106" t="s">
        <v>572</v>
      </c>
      <c r="G106" t="s">
        <v>115</v>
      </c>
      <c r="H106" s="5">
        <f>SUMPRODUCT(SUMIF(FinalPayment_NoReorg!$F$2:$F$331,FinalPayment!$D106:$F106,FinalPayment_NoReorg!$L$2:$L$331))+SUMPRODUCT(SUMIF(FinalPayment_NoReorg!$F$2:$F$331,FinalPayment!$D106:$F106,FinalPayment_NoReorg!$N$2:$N$331))</f>
        <v>156</v>
      </c>
      <c r="I106" s="5">
        <f t="shared" si="11"/>
        <v>16</v>
      </c>
      <c r="J106" s="5">
        <f t="shared" si="11"/>
        <v>16</v>
      </c>
      <c r="K106" s="5">
        <f t="shared" si="11"/>
        <v>16</v>
      </c>
      <c r="L106" s="5">
        <f t="shared" si="11"/>
        <v>16</v>
      </c>
      <c r="M106" s="5">
        <f t="shared" si="12"/>
        <v>16</v>
      </c>
      <c r="N106" s="5">
        <f t="shared" si="12"/>
        <v>16</v>
      </c>
      <c r="O106" s="5">
        <f t="shared" si="12"/>
        <v>16</v>
      </c>
      <c r="P106" s="5">
        <f t="shared" si="9"/>
        <v>16</v>
      </c>
      <c r="Q106" s="5">
        <f t="shared" si="9"/>
        <v>16</v>
      </c>
      <c r="R106" s="5">
        <f t="shared" si="13"/>
        <v>12</v>
      </c>
      <c r="U106" s="8">
        <f t="shared" si="10"/>
        <v>0</v>
      </c>
      <c r="V106" s="8">
        <f>IFERROR(INDEX('Payment 1 through 9'!$A$1:$B$330,MATCH(CONCATENATE(FinalPayment!$F106,"0000"),'Payment 1 through 9'!$A$1:$A$330,0),2)*9,0)</f>
        <v>0</v>
      </c>
      <c r="W106" s="8">
        <f>IFERROR(INDEX('FinalPayment 10'!$A$1:$B$330,MATCH(CONCATENATE(FinalPayment!$F106,"0000"),'FinalPayment 10'!$A$1:$A$330,0),2),0)</f>
        <v>0</v>
      </c>
      <c r="X106" s="8">
        <f t="shared" si="14"/>
        <v>0</v>
      </c>
      <c r="Y106" s="8">
        <f t="shared" si="15"/>
        <v>156</v>
      </c>
    </row>
    <row r="107" spans="1:25" x14ac:dyDescent="0.55000000000000004">
      <c r="A107">
        <v>2021</v>
      </c>
      <c r="B107" t="s">
        <v>694</v>
      </c>
      <c r="C107" t="s">
        <v>571</v>
      </c>
      <c r="D107" t="s">
        <v>1207</v>
      </c>
      <c r="E107" t="s">
        <v>1207</v>
      </c>
      <c r="F107" t="s">
        <v>571</v>
      </c>
      <c r="G107" t="s">
        <v>1219</v>
      </c>
      <c r="H107" s="5">
        <f>SUMPRODUCT(SUMIF(FinalPayment_NoReorg!$F$2:$F$331,FinalPayment!$D107:$F107,FinalPayment_NoReorg!$L$2:$L$331))+SUMPRODUCT(SUMIF(FinalPayment_NoReorg!$F$2:$F$331,FinalPayment!$D107:$F107,FinalPayment_NoReorg!$N$2:$N$331))</f>
        <v>1039</v>
      </c>
      <c r="I107" s="5">
        <f t="shared" si="11"/>
        <v>104</v>
      </c>
      <c r="J107" s="5">
        <f t="shared" si="11"/>
        <v>104</v>
      </c>
      <c r="K107" s="5">
        <f t="shared" si="11"/>
        <v>104</v>
      </c>
      <c r="L107" s="5">
        <f t="shared" si="11"/>
        <v>104</v>
      </c>
      <c r="M107" s="5">
        <f t="shared" si="12"/>
        <v>104</v>
      </c>
      <c r="N107" s="5">
        <f t="shared" si="12"/>
        <v>104</v>
      </c>
      <c r="O107" s="5">
        <f t="shared" si="12"/>
        <v>104</v>
      </c>
      <c r="P107" s="5">
        <f t="shared" si="9"/>
        <v>104</v>
      </c>
      <c r="Q107" s="5">
        <f t="shared" si="9"/>
        <v>104</v>
      </c>
      <c r="R107" s="5">
        <f t="shared" si="13"/>
        <v>103</v>
      </c>
      <c r="U107" s="8">
        <f t="shared" si="10"/>
        <v>0</v>
      </c>
      <c r="V107" s="8">
        <f>IFERROR(INDEX('Payment 1 through 9'!$A$1:$B$330,MATCH(CONCATENATE(FinalPayment!$F107,"0000"),'Payment 1 through 9'!$A$1:$A$330,0),2)*9,0)</f>
        <v>0</v>
      </c>
      <c r="W107" s="8">
        <f>IFERROR(INDEX('FinalPayment 10'!$A$1:$B$330,MATCH(CONCATENATE(FinalPayment!$F107,"0000"),'FinalPayment 10'!$A$1:$A$330,0),2),0)</f>
        <v>0</v>
      </c>
      <c r="X107" s="8">
        <f t="shared" si="14"/>
        <v>0</v>
      </c>
      <c r="Y107" s="8">
        <f t="shared" si="15"/>
        <v>1039</v>
      </c>
    </row>
    <row r="108" spans="1:25" x14ac:dyDescent="0.55000000000000004">
      <c r="A108">
        <v>2021</v>
      </c>
      <c r="B108" t="s">
        <v>686</v>
      </c>
      <c r="C108" t="s">
        <v>570</v>
      </c>
      <c r="D108" t="s">
        <v>1207</v>
      </c>
      <c r="E108" t="s">
        <v>1207</v>
      </c>
      <c r="F108" t="s">
        <v>570</v>
      </c>
      <c r="G108" t="s">
        <v>1220</v>
      </c>
      <c r="H108" s="5">
        <f>SUMPRODUCT(SUMIF(FinalPayment_NoReorg!$F$2:$F$331,FinalPayment!$D108:$F108,FinalPayment_NoReorg!$L$2:$L$331))+SUMPRODUCT(SUMIF(FinalPayment_NoReorg!$F$2:$F$331,FinalPayment!$D108:$F108,FinalPayment_NoReorg!$N$2:$N$331))</f>
        <v>102677</v>
      </c>
      <c r="I108" s="5">
        <f t="shared" si="11"/>
        <v>10268</v>
      </c>
      <c r="J108" s="5">
        <f t="shared" si="11"/>
        <v>10268</v>
      </c>
      <c r="K108" s="5">
        <f t="shared" si="11"/>
        <v>10268</v>
      </c>
      <c r="L108" s="5">
        <f t="shared" si="11"/>
        <v>10268</v>
      </c>
      <c r="M108" s="5">
        <f t="shared" si="12"/>
        <v>10268</v>
      </c>
      <c r="N108" s="5">
        <f t="shared" si="12"/>
        <v>10268</v>
      </c>
      <c r="O108" s="5">
        <f t="shared" si="12"/>
        <v>10268</v>
      </c>
      <c r="P108" s="5">
        <f t="shared" si="9"/>
        <v>10268</v>
      </c>
      <c r="Q108" s="5">
        <f t="shared" si="9"/>
        <v>10268</v>
      </c>
      <c r="R108" s="5">
        <f t="shared" si="13"/>
        <v>10265</v>
      </c>
      <c r="U108" s="8">
        <f t="shared" si="10"/>
        <v>0</v>
      </c>
      <c r="V108" s="8">
        <f>IFERROR(INDEX('Payment 1 through 9'!$A$1:$B$330,MATCH(CONCATENATE(FinalPayment!$F108,"0000"),'Payment 1 through 9'!$A$1:$A$330,0),2)*9,0)</f>
        <v>88344</v>
      </c>
      <c r="W108" s="8">
        <f>IFERROR(INDEX('FinalPayment 10'!$A$1:$B$330,MATCH(CONCATENATE(FinalPayment!$F108,"0000"),'FinalPayment 10'!$A$1:$A$330,0),2),0)</f>
        <v>9812</v>
      </c>
      <c r="X108" s="8">
        <f t="shared" si="14"/>
        <v>98156</v>
      </c>
      <c r="Y108" s="8">
        <f t="shared" si="15"/>
        <v>4521</v>
      </c>
    </row>
    <row r="109" spans="1:25" x14ac:dyDescent="0.55000000000000004">
      <c r="A109">
        <v>2021</v>
      </c>
      <c r="B109" t="s">
        <v>696</v>
      </c>
      <c r="C109" t="s">
        <v>568</v>
      </c>
      <c r="D109" t="s">
        <v>1207</v>
      </c>
      <c r="E109" t="s">
        <v>1207</v>
      </c>
      <c r="F109" t="s">
        <v>568</v>
      </c>
      <c r="G109" t="s">
        <v>117</v>
      </c>
      <c r="H109" s="5">
        <f>SUMPRODUCT(SUMIF(FinalPayment_NoReorg!$F$2:$F$331,FinalPayment!$D109:$F109,FinalPayment_NoReorg!$L$2:$L$331))+SUMPRODUCT(SUMIF(FinalPayment_NoReorg!$F$2:$F$331,FinalPayment!$D109:$F109,FinalPayment_NoReorg!$N$2:$N$331))</f>
        <v>42259</v>
      </c>
      <c r="I109" s="5">
        <f t="shared" si="11"/>
        <v>4226</v>
      </c>
      <c r="J109" s="5">
        <f t="shared" si="11"/>
        <v>4226</v>
      </c>
      <c r="K109" s="5">
        <f t="shared" si="11"/>
        <v>4226</v>
      </c>
      <c r="L109" s="5">
        <f t="shared" si="11"/>
        <v>4226</v>
      </c>
      <c r="M109" s="5">
        <f t="shared" si="12"/>
        <v>4226</v>
      </c>
      <c r="N109" s="5">
        <f t="shared" si="12"/>
        <v>4226</v>
      </c>
      <c r="O109" s="5">
        <f t="shared" si="12"/>
        <v>4226</v>
      </c>
      <c r="P109" s="5">
        <f t="shared" si="9"/>
        <v>4226</v>
      </c>
      <c r="Q109" s="5">
        <f t="shared" si="9"/>
        <v>4226</v>
      </c>
      <c r="R109" s="5">
        <f t="shared" si="13"/>
        <v>4225</v>
      </c>
      <c r="U109" s="8">
        <f t="shared" si="10"/>
        <v>0</v>
      </c>
      <c r="V109" s="8">
        <f>IFERROR(INDEX('Payment 1 through 9'!$A$1:$B$330,MATCH(CONCATENATE(FinalPayment!$F109,"0000"),'Payment 1 through 9'!$A$1:$A$330,0),2)*9,0)</f>
        <v>22590</v>
      </c>
      <c r="W109" s="8">
        <f>IFERROR(INDEX('FinalPayment 10'!$A$1:$B$330,MATCH(CONCATENATE(FinalPayment!$F109,"0000"),'FinalPayment 10'!$A$1:$A$330,0),2),0)</f>
        <v>2508</v>
      </c>
      <c r="X109" s="8">
        <f t="shared" si="14"/>
        <v>25098</v>
      </c>
      <c r="Y109" s="8">
        <f t="shared" si="15"/>
        <v>17161</v>
      </c>
    </row>
    <row r="110" spans="1:25" x14ac:dyDescent="0.55000000000000004">
      <c r="A110">
        <v>2021</v>
      </c>
      <c r="B110" t="s">
        <v>689</v>
      </c>
      <c r="C110" t="s">
        <v>567</v>
      </c>
      <c r="D110" t="s">
        <v>1207</v>
      </c>
      <c r="E110" t="s">
        <v>1207</v>
      </c>
      <c r="F110" t="s">
        <v>567</v>
      </c>
      <c r="G110" t="s">
        <v>118</v>
      </c>
      <c r="H110" s="5">
        <f>SUMPRODUCT(SUMIF(FinalPayment_NoReorg!$F$2:$F$331,FinalPayment!$D110:$F110,FinalPayment_NoReorg!$L$2:$L$331))+SUMPRODUCT(SUMIF(FinalPayment_NoReorg!$F$2:$F$331,FinalPayment!$D110:$F110,FinalPayment_NoReorg!$N$2:$N$331))</f>
        <v>39890</v>
      </c>
      <c r="I110" s="5">
        <f t="shared" si="11"/>
        <v>3989</v>
      </c>
      <c r="J110" s="5">
        <f t="shared" si="11"/>
        <v>3989</v>
      </c>
      <c r="K110" s="5">
        <f t="shared" si="11"/>
        <v>3989</v>
      </c>
      <c r="L110" s="5">
        <f t="shared" si="11"/>
        <v>3989</v>
      </c>
      <c r="M110" s="5">
        <f t="shared" si="12"/>
        <v>3989</v>
      </c>
      <c r="N110" s="5">
        <f t="shared" si="12"/>
        <v>3989</v>
      </c>
      <c r="O110" s="5">
        <f t="shared" si="12"/>
        <v>3989</v>
      </c>
      <c r="P110" s="5">
        <f t="shared" si="9"/>
        <v>3989</v>
      </c>
      <c r="Q110" s="5">
        <f t="shared" si="9"/>
        <v>3989</v>
      </c>
      <c r="R110" s="5">
        <f t="shared" si="13"/>
        <v>3989</v>
      </c>
      <c r="U110" s="8">
        <f t="shared" si="10"/>
        <v>0</v>
      </c>
      <c r="V110" s="8">
        <f>IFERROR(INDEX('Payment 1 through 9'!$A$1:$B$330,MATCH(CONCATENATE(FinalPayment!$F110,"0000"),'Payment 1 through 9'!$A$1:$A$330,0),2)*9,0)</f>
        <v>25677</v>
      </c>
      <c r="W110" s="8">
        <f>IFERROR(INDEX('FinalPayment 10'!$A$1:$B$330,MATCH(CONCATENATE(FinalPayment!$F110,"0000"),'FinalPayment 10'!$A$1:$A$330,0),2),0)</f>
        <v>2853</v>
      </c>
      <c r="X110" s="8">
        <f t="shared" si="14"/>
        <v>28530</v>
      </c>
      <c r="Y110" s="8">
        <f t="shared" si="15"/>
        <v>11360</v>
      </c>
    </row>
    <row r="111" spans="1:25" x14ac:dyDescent="0.55000000000000004">
      <c r="A111">
        <v>2021</v>
      </c>
      <c r="B111" t="s">
        <v>694</v>
      </c>
      <c r="C111" t="s">
        <v>566</v>
      </c>
      <c r="D111" t="s">
        <v>1207</v>
      </c>
      <c r="E111" t="s">
        <v>1207</v>
      </c>
      <c r="F111" t="s">
        <v>566</v>
      </c>
      <c r="G111" t="s">
        <v>119</v>
      </c>
      <c r="H111" s="5">
        <f>SUMPRODUCT(SUMIF(FinalPayment_NoReorg!$F$2:$F$331,FinalPayment!$D111:$F111,FinalPayment_NoReorg!$L$2:$L$331))+SUMPRODUCT(SUMIF(FinalPayment_NoReorg!$F$2:$F$331,FinalPayment!$D111:$F111,FinalPayment_NoReorg!$N$2:$N$331))</f>
        <v>2996</v>
      </c>
      <c r="I111" s="5">
        <f t="shared" si="11"/>
        <v>300</v>
      </c>
      <c r="J111" s="5">
        <f t="shared" si="11"/>
        <v>300</v>
      </c>
      <c r="K111" s="5">
        <f t="shared" si="11"/>
        <v>300</v>
      </c>
      <c r="L111" s="5">
        <f t="shared" si="11"/>
        <v>300</v>
      </c>
      <c r="M111" s="5">
        <f t="shared" si="12"/>
        <v>300</v>
      </c>
      <c r="N111" s="5">
        <f t="shared" si="12"/>
        <v>300</v>
      </c>
      <c r="O111" s="5">
        <f t="shared" si="12"/>
        <v>300</v>
      </c>
      <c r="P111" s="5">
        <f t="shared" si="9"/>
        <v>300</v>
      </c>
      <c r="Q111" s="5">
        <f t="shared" si="9"/>
        <v>300</v>
      </c>
      <c r="R111" s="5">
        <f t="shared" si="13"/>
        <v>296</v>
      </c>
      <c r="U111" s="8">
        <f t="shared" si="10"/>
        <v>0</v>
      </c>
      <c r="V111" s="8">
        <f>IFERROR(INDEX('Payment 1 through 9'!$A$1:$B$330,MATCH(CONCATENATE(FinalPayment!$F111,"0000"),'Payment 1 through 9'!$A$1:$A$330,0),2)*9,0)</f>
        <v>0</v>
      </c>
      <c r="W111" s="8">
        <f>IFERROR(INDEX('FinalPayment 10'!$A$1:$B$330,MATCH(CONCATENATE(FinalPayment!$F111,"0000"),'FinalPayment 10'!$A$1:$A$330,0),2),0)</f>
        <v>0</v>
      </c>
      <c r="X111" s="8">
        <f t="shared" si="14"/>
        <v>0</v>
      </c>
      <c r="Y111" s="8">
        <f t="shared" si="15"/>
        <v>2996</v>
      </c>
    </row>
    <row r="112" spans="1:25" x14ac:dyDescent="0.55000000000000004">
      <c r="A112">
        <v>2021</v>
      </c>
      <c r="B112" t="s">
        <v>696</v>
      </c>
      <c r="C112" t="s">
        <v>565</v>
      </c>
      <c r="D112" t="s">
        <v>1207</v>
      </c>
      <c r="E112" t="s">
        <v>1207</v>
      </c>
      <c r="F112" t="s">
        <v>565</v>
      </c>
      <c r="G112" t="s">
        <v>120</v>
      </c>
      <c r="H112" s="5">
        <f>SUMPRODUCT(SUMIF(FinalPayment_NoReorg!$F$2:$F$331,FinalPayment!$D112:$F112,FinalPayment_NoReorg!$L$2:$L$331))+SUMPRODUCT(SUMIF(FinalPayment_NoReorg!$F$2:$F$331,FinalPayment!$D112:$F112,FinalPayment_NoReorg!$N$2:$N$331))</f>
        <v>1723</v>
      </c>
      <c r="I112" s="5">
        <f t="shared" si="11"/>
        <v>172</v>
      </c>
      <c r="J112" s="5">
        <f t="shared" si="11"/>
        <v>172</v>
      </c>
      <c r="K112" s="5">
        <f t="shared" si="11"/>
        <v>172</v>
      </c>
      <c r="L112" s="5">
        <f t="shared" si="11"/>
        <v>172</v>
      </c>
      <c r="M112" s="5">
        <f t="shared" si="12"/>
        <v>172</v>
      </c>
      <c r="N112" s="5">
        <f t="shared" si="12"/>
        <v>172</v>
      </c>
      <c r="O112" s="5">
        <f t="shared" si="12"/>
        <v>172</v>
      </c>
      <c r="P112" s="5">
        <f t="shared" si="9"/>
        <v>172</v>
      </c>
      <c r="Q112" s="5">
        <f t="shared" si="9"/>
        <v>172</v>
      </c>
      <c r="R112" s="5">
        <f t="shared" si="13"/>
        <v>175</v>
      </c>
      <c r="U112" s="8">
        <f t="shared" si="10"/>
        <v>0</v>
      </c>
      <c r="V112" s="8">
        <f>IFERROR(INDEX('Payment 1 through 9'!$A$1:$B$330,MATCH(CONCATENATE(FinalPayment!$F112,"0000"),'Payment 1 through 9'!$A$1:$A$330,0),2)*9,0)</f>
        <v>0</v>
      </c>
      <c r="W112" s="8">
        <f>IFERROR(INDEX('FinalPayment 10'!$A$1:$B$330,MATCH(CONCATENATE(FinalPayment!$F112,"0000"),'FinalPayment 10'!$A$1:$A$330,0),2),0)</f>
        <v>0</v>
      </c>
      <c r="X112" s="8">
        <f t="shared" si="14"/>
        <v>0</v>
      </c>
      <c r="Y112" s="8">
        <f t="shared" si="15"/>
        <v>1723</v>
      </c>
    </row>
    <row r="113" spans="1:25" x14ac:dyDescent="0.55000000000000004">
      <c r="A113">
        <v>2021</v>
      </c>
      <c r="B113" t="s">
        <v>690</v>
      </c>
      <c r="C113" t="s">
        <v>564</v>
      </c>
      <c r="D113" t="s">
        <v>1207</v>
      </c>
      <c r="E113" t="s">
        <v>1207</v>
      </c>
      <c r="F113" t="s">
        <v>564</v>
      </c>
      <c r="G113" t="s">
        <v>121</v>
      </c>
      <c r="H113" s="5">
        <f>SUMPRODUCT(SUMIF(FinalPayment_NoReorg!$F$2:$F$331,FinalPayment!$D113:$F113,FinalPayment_NoReorg!$L$2:$L$331))+SUMPRODUCT(SUMIF(FinalPayment_NoReorg!$F$2:$F$331,FinalPayment!$D113:$F113,FinalPayment_NoReorg!$N$2:$N$331))</f>
        <v>25233</v>
      </c>
      <c r="I113" s="5">
        <f t="shared" si="11"/>
        <v>2523</v>
      </c>
      <c r="J113" s="5">
        <f t="shared" si="11"/>
        <v>2523</v>
      </c>
      <c r="K113" s="5">
        <f t="shared" si="11"/>
        <v>2523</v>
      </c>
      <c r="L113" s="5">
        <f t="shared" si="11"/>
        <v>2523</v>
      </c>
      <c r="M113" s="5">
        <f t="shared" si="12"/>
        <v>2523</v>
      </c>
      <c r="N113" s="5">
        <f t="shared" si="12"/>
        <v>2523</v>
      </c>
      <c r="O113" s="5">
        <f t="shared" si="12"/>
        <v>2523</v>
      </c>
      <c r="P113" s="5">
        <f t="shared" si="9"/>
        <v>2523</v>
      </c>
      <c r="Q113" s="5">
        <f t="shared" si="9"/>
        <v>2523</v>
      </c>
      <c r="R113" s="5">
        <f t="shared" si="13"/>
        <v>2526</v>
      </c>
      <c r="U113" s="8">
        <f t="shared" si="10"/>
        <v>0</v>
      </c>
      <c r="V113" s="8">
        <f>IFERROR(INDEX('Payment 1 through 9'!$A$1:$B$330,MATCH(CONCATENATE(FinalPayment!$F113,"0000"),'Payment 1 through 9'!$A$1:$A$330,0),2)*9,0)</f>
        <v>18225</v>
      </c>
      <c r="W113" s="8">
        <f>IFERROR(INDEX('FinalPayment 10'!$A$1:$B$330,MATCH(CONCATENATE(FinalPayment!$F113,"0000"),'FinalPayment 10'!$A$1:$A$330,0),2),0)</f>
        <v>2020</v>
      </c>
      <c r="X113" s="8">
        <f t="shared" si="14"/>
        <v>20245</v>
      </c>
      <c r="Y113" s="8">
        <f t="shared" si="15"/>
        <v>4988</v>
      </c>
    </row>
    <row r="114" spans="1:25" x14ac:dyDescent="0.55000000000000004">
      <c r="A114">
        <v>2021</v>
      </c>
      <c r="B114" t="s">
        <v>692</v>
      </c>
      <c r="C114" t="s">
        <v>563</v>
      </c>
      <c r="D114" t="s">
        <v>1207</v>
      </c>
      <c r="E114" t="s">
        <v>1207</v>
      </c>
      <c r="F114" t="s">
        <v>563</v>
      </c>
      <c r="G114" t="s">
        <v>122</v>
      </c>
      <c r="H114" s="5">
        <f>SUMPRODUCT(SUMIF(FinalPayment_NoReorg!$F$2:$F$331,FinalPayment!$D114:$F114,FinalPayment_NoReorg!$L$2:$L$331))+SUMPRODUCT(SUMIF(FinalPayment_NoReorg!$F$2:$F$331,FinalPayment!$D114:$F114,FinalPayment_NoReorg!$N$2:$N$331))</f>
        <v>120253</v>
      </c>
      <c r="I114" s="5">
        <f t="shared" si="11"/>
        <v>12025</v>
      </c>
      <c r="J114" s="5">
        <f t="shared" si="11"/>
        <v>12025</v>
      </c>
      <c r="K114" s="5">
        <f t="shared" si="11"/>
        <v>12025</v>
      </c>
      <c r="L114" s="5">
        <f t="shared" si="11"/>
        <v>12025</v>
      </c>
      <c r="M114" s="5">
        <f t="shared" si="12"/>
        <v>12025</v>
      </c>
      <c r="N114" s="5">
        <f t="shared" si="12"/>
        <v>12025</v>
      </c>
      <c r="O114" s="5">
        <f t="shared" si="12"/>
        <v>12025</v>
      </c>
      <c r="P114" s="5">
        <f t="shared" si="9"/>
        <v>12025</v>
      </c>
      <c r="Q114" s="5">
        <f t="shared" si="9"/>
        <v>12025</v>
      </c>
      <c r="R114" s="5">
        <f t="shared" si="13"/>
        <v>12028</v>
      </c>
      <c r="U114" s="8">
        <f t="shared" si="10"/>
        <v>0</v>
      </c>
      <c r="V114" s="8">
        <f>IFERROR(INDEX('Payment 1 through 9'!$A$1:$B$330,MATCH(CONCATENATE(FinalPayment!$F114,"0000"),'Payment 1 through 9'!$A$1:$A$330,0),2)*9,0)</f>
        <v>103860</v>
      </c>
      <c r="W114" s="8">
        <f>IFERROR(INDEX('FinalPayment 10'!$A$1:$B$330,MATCH(CONCATENATE(FinalPayment!$F114,"0000"),'FinalPayment 10'!$A$1:$A$330,0),2),0)</f>
        <v>11536</v>
      </c>
      <c r="X114" s="8">
        <f t="shared" si="14"/>
        <v>115396</v>
      </c>
      <c r="Y114" s="8">
        <f t="shared" si="15"/>
        <v>4857</v>
      </c>
    </row>
    <row r="115" spans="1:25" x14ac:dyDescent="0.55000000000000004">
      <c r="A115">
        <v>2021</v>
      </c>
      <c r="B115" t="s">
        <v>689</v>
      </c>
      <c r="C115" t="s">
        <v>562</v>
      </c>
      <c r="D115" t="s">
        <v>1207</v>
      </c>
      <c r="E115" t="s">
        <v>1207</v>
      </c>
      <c r="F115" t="s">
        <v>562</v>
      </c>
      <c r="G115" t="s">
        <v>561</v>
      </c>
      <c r="H115" s="5">
        <f>SUMPRODUCT(SUMIF(FinalPayment_NoReorg!$F$2:$F$331,FinalPayment!$D115:$F115,FinalPayment_NoReorg!$L$2:$L$331))+SUMPRODUCT(SUMIF(FinalPayment_NoReorg!$F$2:$F$331,FinalPayment!$D115:$F115,FinalPayment_NoReorg!$N$2:$N$331))</f>
        <v>119321</v>
      </c>
      <c r="I115" s="5">
        <f t="shared" si="11"/>
        <v>11932</v>
      </c>
      <c r="J115" s="5">
        <f t="shared" si="11"/>
        <v>11932</v>
      </c>
      <c r="K115" s="5">
        <f t="shared" si="11"/>
        <v>11932</v>
      </c>
      <c r="L115" s="5">
        <f t="shared" si="11"/>
        <v>11932</v>
      </c>
      <c r="M115" s="5">
        <f t="shared" si="12"/>
        <v>11932</v>
      </c>
      <c r="N115" s="5">
        <f t="shared" si="12"/>
        <v>11932</v>
      </c>
      <c r="O115" s="5">
        <f t="shared" si="12"/>
        <v>11932</v>
      </c>
      <c r="P115" s="5">
        <f t="shared" si="9"/>
        <v>11932</v>
      </c>
      <c r="Q115" s="5">
        <f t="shared" si="9"/>
        <v>11932</v>
      </c>
      <c r="R115" s="5">
        <f t="shared" si="13"/>
        <v>11933</v>
      </c>
      <c r="U115" s="8">
        <f t="shared" si="10"/>
        <v>0</v>
      </c>
      <c r="V115" s="8">
        <f>IFERROR(INDEX('Payment 1 through 9'!$A$1:$B$330,MATCH(CONCATENATE(FinalPayment!$F115,"0000"),'Payment 1 through 9'!$A$1:$A$330,0),2)*9,0)</f>
        <v>98820</v>
      </c>
      <c r="W115" s="8">
        <f>IFERROR(INDEX('FinalPayment 10'!$A$1:$B$330,MATCH(CONCATENATE(FinalPayment!$F115,"0000"),'FinalPayment 10'!$A$1:$A$330,0),2),0)</f>
        <v>10982</v>
      </c>
      <c r="X115" s="8">
        <f t="shared" si="14"/>
        <v>109802</v>
      </c>
      <c r="Y115" s="8">
        <f t="shared" si="15"/>
        <v>9519</v>
      </c>
    </row>
    <row r="116" spans="1:25" x14ac:dyDescent="0.55000000000000004">
      <c r="A116">
        <v>2021</v>
      </c>
      <c r="B116" t="s">
        <v>692</v>
      </c>
      <c r="C116" t="s">
        <v>560</v>
      </c>
      <c r="D116" t="s">
        <v>1207</v>
      </c>
      <c r="E116" t="s">
        <v>1207</v>
      </c>
      <c r="F116" t="s">
        <v>560</v>
      </c>
      <c r="G116" t="s">
        <v>123</v>
      </c>
      <c r="H116" s="5">
        <f>SUMPRODUCT(SUMIF(FinalPayment_NoReorg!$F$2:$F$331,FinalPayment!$D116:$F116,FinalPayment_NoReorg!$L$2:$L$331))+SUMPRODUCT(SUMIF(FinalPayment_NoReorg!$F$2:$F$331,FinalPayment!$D116:$F116,FinalPayment_NoReorg!$N$2:$N$331))</f>
        <v>106646</v>
      </c>
      <c r="I116" s="5">
        <f t="shared" si="11"/>
        <v>10665</v>
      </c>
      <c r="J116" s="5">
        <f t="shared" si="11"/>
        <v>10665</v>
      </c>
      <c r="K116" s="5">
        <f t="shared" si="11"/>
        <v>10665</v>
      </c>
      <c r="L116" s="5">
        <f t="shared" si="11"/>
        <v>10665</v>
      </c>
      <c r="M116" s="5">
        <f t="shared" si="12"/>
        <v>10665</v>
      </c>
      <c r="N116" s="5">
        <f t="shared" si="12"/>
        <v>10665</v>
      </c>
      <c r="O116" s="5">
        <f t="shared" si="12"/>
        <v>10665</v>
      </c>
      <c r="P116" s="5">
        <f t="shared" si="9"/>
        <v>10665</v>
      </c>
      <c r="Q116" s="5">
        <f t="shared" si="9"/>
        <v>10665</v>
      </c>
      <c r="R116" s="5">
        <f t="shared" si="13"/>
        <v>10661</v>
      </c>
      <c r="U116" s="8">
        <f t="shared" si="10"/>
        <v>0</v>
      </c>
      <c r="V116" s="8">
        <f>IFERROR(INDEX('Payment 1 through 9'!$A$1:$B$330,MATCH(CONCATENATE(FinalPayment!$F116,"0000"),'Payment 1 through 9'!$A$1:$A$330,0),2)*9,0)</f>
        <v>91863</v>
      </c>
      <c r="W116" s="8">
        <f>IFERROR(INDEX('FinalPayment 10'!$A$1:$B$330,MATCH(CONCATENATE(FinalPayment!$F116,"0000"),'FinalPayment 10'!$A$1:$A$330,0),2),0)</f>
        <v>10210</v>
      </c>
      <c r="X116" s="8">
        <f t="shared" si="14"/>
        <v>102073</v>
      </c>
      <c r="Y116" s="8">
        <f t="shared" si="15"/>
        <v>4573</v>
      </c>
    </row>
    <row r="117" spans="1:25" x14ac:dyDescent="0.55000000000000004">
      <c r="A117">
        <v>2021</v>
      </c>
      <c r="B117" t="s">
        <v>686</v>
      </c>
      <c r="C117" t="s">
        <v>559</v>
      </c>
      <c r="D117" t="s">
        <v>1207</v>
      </c>
      <c r="E117" t="s">
        <v>1207</v>
      </c>
      <c r="F117" t="s">
        <v>559</v>
      </c>
      <c r="G117" t="s">
        <v>124</v>
      </c>
      <c r="H117" s="5">
        <f>SUMPRODUCT(SUMIF(FinalPayment_NoReorg!$F$2:$F$331,FinalPayment!$D117:$F117,FinalPayment_NoReorg!$L$2:$L$331))+SUMPRODUCT(SUMIF(FinalPayment_NoReorg!$F$2:$F$331,FinalPayment!$D117:$F117,FinalPayment_NoReorg!$N$2:$N$331))</f>
        <v>1254</v>
      </c>
      <c r="I117" s="5">
        <f t="shared" si="11"/>
        <v>125</v>
      </c>
      <c r="J117" s="5">
        <f t="shared" si="11"/>
        <v>125</v>
      </c>
      <c r="K117" s="5">
        <f t="shared" si="11"/>
        <v>125</v>
      </c>
      <c r="L117" s="5">
        <f t="shared" si="11"/>
        <v>125</v>
      </c>
      <c r="M117" s="5">
        <f t="shared" si="12"/>
        <v>125</v>
      </c>
      <c r="N117" s="5">
        <f t="shared" si="12"/>
        <v>125</v>
      </c>
      <c r="O117" s="5">
        <f t="shared" si="12"/>
        <v>125</v>
      </c>
      <c r="P117" s="5">
        <f t="shared" si="9"/>
        <v>125</v>
      </c>
      <c r="Q117" s="5">
        <f t="shared" si="9"/>
        <v>125</v>
      </c>
      <c r="R117" s="5">
        <f t="shared" si="13"/>
        <v>129</v>
      </c>
      <c r="U117" s="8">
        <f t="shared" si="10"/>
        <v>0</v>
      </c>
      <c r="V117" s="8">
        <f>IFERROR(INDEX('Payment 1 through 9'!$A$1:$B$330,MATCH(CONCATENATE(FinalPayment!$F117,"0000"),'Payment 1 through 9'!$A$1:$A$330,0),2)*9,0)</f>
        <v>0</v>
      </c>
      <c r="W117" s="8">
        <f>IFERROR(INDEX('FinalPayment 10'!$A$1:$B$330,MATCH(CONCATENATE(FinalPayment!$F117,"0000"),'FinalPayment 10'!$A$1:$A$330,0),2),0)</f>
        <v>0</v>
      </c>
      <c r="X117" s="8">
        <f t="shared" si="14"/>
        <v>0</v>
      </c>
      <c r="Y117" s="8">
        <f t="shared" si="15"/>
        <v>1254</v>
      </c>
    </row>
    <row r="118" spans="1:25" x14ac:dyDescent="0.55000000000000004">
      <c r="A118">
        <v>2021</v>
      </c>
      <c r="B118" t="s">
        <v>694</v>
      </c>
      <c r="C118" t="s">
        <v>558</v>
      </c>
      <c r="D118" t="s">
        <v>1207</v>
      </c>
      <c r="E118" t="s">
        <v>1207</v>
      </c>
      <c r="F118" t="s">
        <v>558</v>
      </c>
      <c r="G118" t="s">
        <v>125</v>
      </c>
      <c r="H118" s="5">
        <f>SUMPRODUCT(SUMIF(FinalPayment_NoReorg!$F$2:$F$331,FinalPayment!$D118:$F118,FinalPayment_NoReorg!$L$2:$L$331))+SUMPRODUCT(SUMIF(FinalPayment_NoReorg!$F$2:$F$331,FinalPayment!$D118:$F118,FinalPayment_NoReorg!$N$2:$N$331))</f>
        <v>23063</v>
      </c>
      <c r="I118" s="5">
        <f t="shared" si="11"/>
        <v>2306</v>
      </c>
      <c r="J118" s="5">
        <f t="shared" si="11"/>
        <v>2306</v>
      </c>
      <c r="K118" s="5">
        <f t="shared" si="11"/>
        <v>2306</v>
      </c>
      <c r="L118" s="5">
        <f t="shared" si="11"/>
        <v>2306</v>
      </c>
      <c r="M118" s="5">
        <f t="shared" si="12"/>
        <v>2306</v>
      </c>
      <c r="N118" s="5">
        <f t="shared" si="12"/>
        <v>2306</v>
      </c>
      <c r="O118" s="5">
        <f t="shared" si="12"/>
        <v>2306</v>
      </c>
      <c r="P118" s="5">
        <f t="shared" si="9"/>
        <v>2306</v>
      </c>
      <c r="Q118" s="5">
        <f t="shared" si="9"/>
        <v>2306</v>
      </c>
      <c r="R118" s="5">
        <f t="shared" si="13"/>
        <v>2309</v>
      </c>
      <c r="U118" s="8">
        <f t="shared" si="10"/>
        <v>0</v>
      </c>
      <c r="V118" s="8">
        <f>IFERROR(INDEX('Payment 1 through 9'!$A$1:$B$330,MATCH(CONCATENATE(FinalPayment!$F118,"0000"),'Payment 1 through 9'!$A$1:$A$330,0),2)*9,0)</f>
        <v>19224</v>
      </c>
      <c r="W118" s="8">
        <f>IFERROR(INDEX('FinalPayment 10'!$A$1:$B$330,MATCH(CONCATENATE(FinalPayment!$F118,"0000"),'FinalPayment 10'!$A$1:$A$330,0),2),0)</f>
        <v>2135</v>
      </c>
      <c r="X118" s="8">
        <f t="shared" si="14"/>
        <v>21359</v>
      </c>
      <c r="Y118" s="8">
        <f t="shared" si="15"/>
        <v>1704</v>
      </c>
    </row>
    <row r="119" spans="1:25" x14ac:dyDescent="0.55000000000000004">
      <c r="A119">
        <v>2021</v>
      </c>
      <c r="B119" t="s">
        <v>689</v>
      </c>
      <c r="C119" t="s">
        <v>557</v>
      </c>
      <c r="D119" t="s">
        <v>1207</v>
      </c>
      <c r="E119" t="s">
        <v>1207</v>
      </c>
      <c r="F119" t="s">
        <v>557</v>
      </c>
      <c r="G119" t="s">
        <v>126</v>
      </c>
      <c r="H119" s="5">
        <f>SUMPRODUCT(SUMIF(FinalPayment_NoReorg!$F$2:$F$331,FinalPayment!$D119:$F119,FinalPayment_NoReorg!$L$2:$L$331))+SUMPRODUCT(SUMIF(FinalPayment_NoReorg!$F$2:$F$331,FinalPayment!$D119:$F119,FinalPayment_NoReorg!$N$2:$N$331))</f>
        <v>42431</v>
      </c>
      <c r="I119" s="5">
        <f t="shared" si="11"/>
        <v>4243</v>
      </c>
      <c r="J119" s="5">
        <f t="shared" si="11"/>
        <v>4243</v>
      </c>
      <c r="K119" s="5">
        <f t="shared" si="11"/>
        <v>4243</v>
      </c>
      <c r="L119" s="5">
        <f t="shared" si="11"/>
        <v>4243</v>
      </c>
      <c r="M119" s="5">
        <f t="shared" si="12"/>
        <v>4243</v>
      </c>
      <c r="N119" s="5">
        <f t="shared" si="12"/>
        <v>4243</v>
      </c>
      <c r="O119" s="5">
        <f t="shared" si="12"/>
        <v>4243</v>
      </c>
      <c r="P119" s="5">
        <f t="shared" si="9"/>
        <v>4243</v>
      </c>
      <c r="Q119" s="5">
        <f t="shared" si="9"/>
        <v>4243</v>
      </c>
      <c r="R119" s="5">
        <f t="shared" si="13"/>
        <v>4244</v>
      </c>
      <c r="U119" s="8">
        <f t="shared" si="10"/>
        <v>0</v>
      </c>
      <c r="V119" s="8">
        <f>IFERROR(INDEX('Payment 1 through 9'!$A$1:$B$330,MATCH(CONCATENATE(FinalPayment!$F119,"0000"),'Payment 1 through 9'!$A$1:$A$330,0),2)*9,0)</f>
        <v>32562</v>
      </c>
      <c r="W119" s="8">
        <f>IFERROR(INDEX('FinalPayment 10'!$A$1:$B$330,MATCH(CONCATENATE(FinalPayment!$F119,"0000"),'FinalPayment 10'!$A$1:$A$330,0),2),0)</f>
        <v>3622</v>
      </c>
      <c r="X119" s="8">
        <f t="shared" si="14"/>
        <v>36184</v>
      </c>
      <c r="Y119" s="8">
        <f t="shared" si="15"/>
        <v>6247</v>
      </c>
    </row>
    <row r="120" spans="1:25" x14ac:dyDescent="0.55000000000000004">
      <c r="A120">
        <v>2021</v>
      </c>
      <c r="B120" t="s">
        <v>690</v>
      </c>
      <c r="C120" t="s">
        <v>556</v>
      </c>
      <c r="D120" t="s">
        <v>1207</v>
      </c>
      <c r="E120" t="s">
        <v>1207</v>
      </c>
      <c r="F120" t="s">
        <v>556</v>
      </c>
      <c r="G120" t="s">
        <v>127</v>
      </c>
      <c r="H120" s="5">
        <f>SUMPRODUCT(SUMIF(FinalPayment_NoReorg!$F$2:$F$331,FinalPayment!$D120:$F120,FinalPayment_NoReorg!$L$2:$L$331))+SUMPRODUCT(SUMIF(FinalPayment_NoReorg!$F$2:$F$331,FinalPayment!$D120:$F120,FinalPayment_NoReorg!$N$2:$N$331))</f>
        <v>1643</v>
      </c>
      <c r="I120" s="5">
        <f t="shared" si="11"/>
        <v>164</v>
      </c>
      <c r="J120" s="5">
        <f t="shared" si="11"/>
        <v>164</v>
      </c>
      <c r="K120" s="5">
        <f t="shared" si="11"/>
        <v>164</v>
      </c>
      <c r="L120" s="5">
        <f t="shared" si="11"/>
        <v>164</v>
      </c>
      <c r="M120" s="5">
        <f t="shared" si="12"/>
        <v>164</v>
      </c>
      <c r="N120" s="5">
        <f t="shared" si="12"/>
        <v>164</v>
      </c>
      <c r="O120" s="5">
        <f t="shared" si="12"/>
        <v>164</v>
      </c>
      <c r="P120" s="5">
        <f t="shared" si="9"/>
        <v>164</v>
      </c>
      <c r="Q120" s="5">
        <f t="shared" si="9"/>
        <v>164</v>
      </c>
      <c r="R120" s="5">
        <f t="shared" si="13"/>
        <v>167</v>
      </c>
      <c r="U120" s="8">
        <f t="shared" si="10"/>
        <v>0</v>
      </c>
      <c r="V120" s="8">
        <f>IFERROR(INDEX('Payment 1 through 9'!$A$1:$B$330,MATCH(CONCATENATE(FinalPayment!$F120,"0000"),'Payment 1 through 9'!$A$1:$A$330,0),2)*9,0)</f>
        <v>0</v>
      </c>
      <c r="W120" s="8">
        <f>IFERROR(INDEX('FinalPayment 10'!$A$1:$B$330,MATCH(CONCATENATE(FinalPayment!$F120,"0000"),'FinalPayment 10'!$A$1:$A$330,0),2),0)</f>
        <v>0</v>
      </c>
      <c r="X120" s="8">
        <f t="shared" si="14"/>
        <v>0</v>
      </c>
      <c r="Y120" s="8">
        <f t="shared" si="15"/>
        <v>1643</v>
      </c>
    </row>
    <row r="121" spans="1:25" x14ac:dyDescent="0.55000000000000004">
      <c r="A121">
        <v>2021</v>
      </c>
      <c r="B121" t="s">
        <v>686</v>
      </c>
      <c r="C121" t="s">
        <v>555</v>
      </c>
      <c r="D121" t="s">
        <v>1207</v>
      </c>
      <c r="E121" t="s">
        <v>1207</v>
      </c>
      <c r="F121" t="s">
        <v>555</v>
      </c>
      <c r="G121" t="s">
        <v>128</v>
      </c>
      <c r="H121" s="5">
        <f>SUMPRODUCT(SUMIF(FinalPayment_NoReorg!$F$2:$F$331,FinalPayment!$D121:$F121,FinalPayment_NoReorg!$L$2:$L$331))+SUMPRODUCT(SUMIF(FinalPayment_NoReorg!$F$2:$F$331,FinalPayment!$D121:$F121,FinalPayment_NoReorg!$N$2:$N$331))</f>
        <v>225</v>
      </c>
      <c r="I121" s="5">
        <f t="shared" si="11"/>
        <v>23</v>
      </c>
      <c r="J121" s="5">
        <f t="shared" si="11"/>
        <v>23</v>
      </c>
      <c r="K121" s="5">
        <f t="shared" si="11"/>
        <v>23</v>
      </c>
      <c r="L121" s="5">
        <f t="shared" si="11"/>
        <v>23</v>
      </c>
      <c r="M121" s="5">
        <f t="shared" si="12"/>
        <v>23</v>
      </c>
      <c r="N121" s="5">
        <f t="shared" si="12"/>
        <v>23</v>
      </c>
      <c r="O121" s="5">
        <f t="shared" si="12"/>
        <v>23</v>
      </c>
      <c r="P121" s="5">
        <f t="shared" si="9"/>
        <v>23</v>
      </c>
      <c r="Q121" s="5">
        <f t="shared" si="9"/>
        <v>23</v>
      </c>
      <c r="R121" s="5">
        <f t="shared" si="13"/>
        <v>18</v>
      </c>
      <c r="U121" s="8">
        <f t="shared" si="10"/>
        <v>0</v>
      </c>
      <c r="V121" s="8">
        <f>IFERROR(INDEX('Payment 1 through 9'!$A$1:$B$330,MATCH(CONCATENATE(FinalPayment!$F121,"0000"),'Payment 1 through 9'!$A$1:$A$330,0),2)*9,0)</f>
        <v>0</v>
      </c>
      <c r="W121" s="8">
        <f>IFERROR(INDEX('FinalPayment 10'!$A$1:$B$330,MATCH(CONCATENATE(FinalPayment!$F121,"0000"),'FinalPayment 10'!$A$1:$A$330,0),2),0)</f>
        <v>0</v>
      </c>
      <c r="X121" s="8">
        <f t="shared" si="14"/>
        <v>0</v>
      </c>
      <c r="Y121" s="8">
        <f t="shared" si="15"/>
        <v>225</v>
      </c>
    </row>
    <row r="122" spans="1:25" x14ac:dyDescent="0.55000000000000004">
      <c r="A122">
        <v>2021</v>
      </c>
      <c r="B122" t="s">
        <v>689</v>
      </c>
      <c r="C122" t="s">
        <v>552</v>
      </c>
      <c r="D122" t="s">
        <v>1207</v>
      </c>
      <c r="E122" t="s">
        <v>1207</v>
      </c>
      <c r="F122" t="s">
        <v>552</v>
      </c>
      <c r="G122" t="s">
        <v>131</v>
      </c>
      <c r="H122" s="5">
        <f>SUMPRODUCT(SUMIF(FinalPayment_NoReorg!$F$2:$F$331,FinalPayment!$D122:$F122,FinalPayment_NoReorg!$L$2:$L$331))+SUMPRODUCT(SUMIF(FinalPayment_NoReorg!$F$2:$F$331,FinalPayment!$D122:$F122,FinalPayment_NoReorg!$N$2:$N$331))</f>
        <v>113346</v>
      </c>
      <c r="I122" s="5">
        <f t="shared" si="11"/>
        <v>11335</v>
      </c>
      <c r="J122" s="5">
        <f t="shared" si="11"/>
        <v>11335</v>
      </c>
      <c r="K122" s="5">
        <f t="shared" si="11"/>
        <v>11335</v>
      </c>
      <c r="L122" s="5">
        <f t="shared" si="11"/>
        <v>11335</v>
      </c>
      <c r="M122" s="5">
        <f t="shared" si="12"/>
        <v>11335</v>
      </c>
      <c r="N122" s="5">
        <f t="shared" si="12"/>
        <v>11335</v>
      </c>
      <c r="O122" s="5">
        <f t="shared" si="12"/>
        <v>11335</v>
      </c>
      <c r="P122" s="5">
        <f t="shared" si="9"/>
        <v>11335</v>
      </c>
      <c r="Q122" s="5">
        <f t="shared" si="9"/>
        <v>11335</v>
      </c>
      <c r="R122" s="5">
        <f t="shared" si="13"/>
        <v>11331</v>
      </c>
      <c r="U122" s="8">
        <f t="shared" si="10"/>
        <v>0</v>
      </c>
      <c r="V122" s="8">
        <f>IFERROR(INDEX('Payment 1 through 9'!$A$1:$B$330,MATCH(CONCATENATE(FinalPayment!$F122,"0000"),'Payment 1 through 9'!$A$1:$A$330,0),2)*9,0)</f>
        <v>99387</v>
      </c>
      <c r="W122" s="8">
        <f>IFERROR(INDEX('FinalPayment 10'!$A$1:$B$330,MATCH(CONCATENATE(FinalPayment!$F122,"0000"),'FinalPayment 10'!$A$1:$A$330,0),2),0)</f>
        <v>11042</v>
      </c>
      <c r="X122" s="8">
        <f t="shared" si="14"/>
        <v>110429</v>
      </c>
      <c r="Y122" s="8">
        <f t="shared" si="15"/>
        <v>2917</v>
      </c>
    </row>
    <row r="123" spans="1:25" x14ac:dyDescent="0.55000000000000004">
      <c r="A123">
        <v>2021</v>
      </c>
      <c r="B123" t="s">
        <v>694</v>
      </c>
      <c r="C123" t="s">
        <v>554</v>
      </c>
      <c r="D123" t="s">
        <v>1207</v>
      </c>
      <c r="E123" t="s">
        <v>1207</v>
      </c>
      <c r="F123" t="s">
        <v>554</v>
      </c>
      <c r="G123" t="s">
        <v>129</v>
      </c>
      <c r="H123" s="5">
        <f>SUMPRODUCT(SUMIF(FinalPayment_NoReorg!$F$2:$F$331,FinalPayment!$D123:$F123,FinalPayment_NoReorg!$L$2:$L$331))+SUMPRODUCT(SUMIF(FinalPayment_NoReorg!$F$2:$F$331,FinalPayment!$D123:$F123,FinalPayment_NoReorg!$N$2:$N$331))</f>
        <v>55145</v>
      </c>
      <c r="I123" s="5">
        <f t="shared" si="11"/>
        <v>5515</v>
      </c>
      <c r="J123" s="5">
        <f t="shared" si="11"/>
        <v>5515</v>
      </c>
      <c r="K123" s="5">
        <f t="shared" si="11"/>
        <v>5515</v>
      </c>
      <c r="L123" s="5">
        <f t="shared" si="11"/>
        <v>5515</v>
      </c>
      <c r="M123" s="5">
        <f t="shared" si="12"/>
        <v>5515</v>
      </c>
      <c r="N123" s="5">
        <f t="shared" si="12"/>
        <v>5515</v>
      </c>
      <c r="O123" s="5">
        <f t="shared" si="12"/>
        <v>5515</v>
      </c>
      <c r="P123" s="5">
        <f t="shared" si="9"/>
        <v>5515</v>
      </c>
      <c r="Q123" s="5">
        <f t="shared" si="9"/>
        <v>5515</v>
      </c>
      <c r="R123" s="5">
        <f t="shared" si="13"/>
        <v>5510</v>
      </c>
      <c r="U123" s="8">
        <f t="shared" si="10"/>
        <v>0</v>
      </c>
      <c r="V123" s="8">
        <f>IFERROR(INDEX('Payment 1 through 9'!$A$1:$B$330,MATCH(CONCATENATE(FinalPayment!$F123,"0000"),'Payment 1 through 9'!$A$1:$A$330,0),2)*9,0)</f>
        <v>45990</v>
      </c>
      <c r="W123" s="8">
        <f>IFERROR(INDEX('FinalPayment 10'!$A$1:$B$330,MATCH(CONCATENATE(FinalPayment!$F123,"0000"),'FinalPayment 10'!$A$1:$A$330,0),2),0)</f>
        <v>5113</v>
      </c>
      <c r="X123" s="8">
        <f t="shared" si="14"/>
        <v>51103</v>
      </c>
      <c r="Y123" s="8">
        <f t="shared" si="15"/>
        <v>4042</v>
      </c>
    </row>
    <row r="124" spans="1:25" x14ac:dyDescent="0.55000000000000004">
      <c r="A124">
        <v>2021</v>
      </c>
      <c r="B124" t="s">
        <v>694</v>
      </c>
      <c r="C124" t="s">
        <v>525</v>
      </c>
      <c r="D124" t="s">
        <v>1207</v>
      </c>
      <c r="E124" t="s">
        <v>1207</v>
      </c>
      <c r="F124" t="s">
        <v>525</v>
      </c>
      <c r="G124" t="s">
        <v>342</v>
      </c>
      <c r="H124" s="5">
        <f>SUMPRODUCT(SUMIF(FinalPayment_NoReorg!$F$2:$F$331,FinalPayment!$D124:$F124,FinalPayment_NoReorg!$L$2:$L$331))+SUMPRODUCT(SUMIF(FinalPayment_NoReorg!$F$2:$F$331,FinalPayment!$D124:$F124,FinalPayment_NoReorg!$N$2:$N$331))</f>
        <v>262232</v>
      </c>
      <c r="I124" s="5">
        <f t="shared" si="11"/>
        <v>26223</v>
      </c>
      <c r="J124" s="5">
        <f t="shared" si="11"/>
        <v>26223</v>
      </c>
      <c r="K124" s="5">
        <f t="shared" si="11"/>
        <v>26223</v>
      </c>
      <c r="L124" s="5">
        <f t="shared" si="11"/>
        <v>26223</v>
      </c>
      <c r="M124" s="5">
        <f t="shared" si="12"/>
        <v>26223</v>
      </c>
      <c r="N124" s="5">
        <f t="shared" si="12"/>
        <v>26223</v>
      </c>
      <c r="O124" s="5">
        <f t="shared" si="12"/>
        <v>26223</v>
      </c>
      <c r="P124" s="5">
        <f t="shared" si="9"/>
        <v>26223</v>
      </c>
      <c r="Q124" s="5">
        <f t="shared" si="9"/>
        <v>26223</v>
      </c>
      <c r="R124" s="5">
        <f t="shared" si="13"/>
        <v>26225</v>
      </c>
      <c r="U124" s="8">
        <f t="shared" si="10"/>
        <v>0</v>
      </c>
      <c r="V124" s="8">
        <f>IFERROR(INDEX('Payment 1 through 9'!$A$1:$B$330,MATCH(CONCATENATE(FinalPayment!$F124,"0000"),'Payment 1 through 9'!$A$1:$A$330,0),2)*9,0)</f>
        <v>224478</v>
      </c>
      <c r="W124" s="8">
        <f>IFERROR(INDEX('FinalPayment 10'!$A$1:$B$330,MATCH(CONCATENATE(FinalPayment!$F124,"0000"),'FinalPayment 10'!$A$1:$A$330,0),2),0)</f>
        <v>24945</v>
      </c>
      <c r="X124" s="8">
        <f t="shared" si="14"/>
        <v>249423</v>
      </c>
      <c r="Y124" s="8">
        <f t="shared" si="15"/>
        <v>12809</v>
      </c>
    </row>
    <row r="125" spans="1:25" x14ac:dyDescent="0.55000000000000004">
      <c r="A125">
        <v>2021</v>
      </c>
      <c r="B125" t="s">
        <v>689</v>
      </c>
      <c r="C125" t="s">
        <v>551</v>
      </c>
      <c r="D125" t="s">
        <v>1207</v>
      </c>
      <c r="E125" t="s">
        <v>1207</v>
      </c>
      <c r="F125" t="s">
        <v>551</v>
      </c>
      <c r="G125" t="s">
        <v>132</v>
      </c>
      <c r="H125" s="5">
        <f>SUMPRODUCT(SUMIF(FinalPayment_NoReorg!$F$2:$F$331,FinalPayment!$D125:$F125,FinalPayment_NoReorg!$L$2:$L$331))+SUMPRODUCT(SUMIF(FinalPayment_NoReorg!$F$2:$F$331,FinalPayment!$D125:$F125,FinalPayment_NoReorg!$N$2:$N$331))</f>
        <v>1320</v>
      </c>
      <c r="I125" s="5">
        <f t="shared" si="11"/>
        <v>132</v>
      </c>
      <c r="J125" s="5">
        <f t="shared" si="11"/>
        <v>132</v>
      </c>
      <c r="K125" s="5">
        <f t="shared" si="11"/>
        <v>132</v>
      </c>
      <c r="L125" s="5">
        <f t="shared" si="11"/>
        <v>132</v>
      </c>
      <c r="M125" s="5">
        <f t="shared" si="12"/>
        <v>132</v>
      </c>
      <c r="N125" s="5">
        <f t="shared" si="12"/>
        <v>132</v>
      </c>
      <c r="O125" s="5">
        <f t="shared" si="12"/>
        <v>132</v>
      </c>
      <c r="P125" s="5">
        <f t="shared" si="9"/>
        <v>132</v>
      </c>
      <c r="Q125" s="5">
        <f t="shared" si="9"/>
        <v>132</v>
      </c>
      <c r="R125" s="5">
        <f t="shared" si="13"/>
        <v>132</v>
      </c>
      <c r="U125" s="8">
        <f t="shared" si="10"/>
        <v>0</v>
      </c>
      <c r="V125" s="8">
        <f>IFERROR(INDEX('Payment 1 through 9'!$A$1:$B$330,MATCH(CONCATENATE(FinalPayment!$F125,"0000"),'Payment 1 through 9'!$A$1:$A$330,0),2)*9,0)</f>
        <v>0</v>
      </c>
      <c r="W125" s="8">
        <f>IFERROR(INDEX('FinalPayment 10'!$A$1:$B$330,MATCH(CONCATENATE(FinalPayment!$F125,"0000"),'FinalPayment 10'!$A$1:$A$330,0),2),0)</f>
        <v>0</v>
      </c>
      <c r="X125" s="8">
        <f t="shared" si="14"/>
        <v>0</v>
      </c>
      <c r="Y125" s="8">
        <f t="shared" si="15"/>
        <v>1320</v>
      </c>
    </row>
    <row r="126" spans="1:25" x14ac:dyDescent="0.55000000000000004">
      <c r="A126">
        <v>2021</v>
      </c>
      <c r="B126" t="s">
        <v>690</v>
      </c>
      <c r="C126" t="s">
        <v>550</v>
      </c>
      <c r="D126" t="s">
        <v>1207</v>
      </c>
      <c r="E126" t="s">
        <v>1207</v>
      </c>
      <c r="F126" t="s">
        <v>550</v>
      </c>
      <c r="G126" t="s">
        <v>133</v>
      </c>
      <c r="H126" s="5">
        <f>SUMPRODUCT(SUMIF(FinalPayment_NoReorg!$F$2:$F$331,FinalPayment!$D126:$F126,FinalPayment_NoReorg!$L$2:$L$331))+SUMPRODUCT(SUMIF(FinalPayment_NoReorg!$F$2:$F$331,FinalPayment!$D126:$F126,FinalPayment_NoReorg!$N$2:$N$331))</f>
        <v>244070</v>
      </c>
      <c r="I126" s="5">
        <f t="shared" si="11"/>
        <v>24407</v>
      </c>
      <c r="J126" s="5">
        <f t="shared" si="11"/>
        <v>24407</v>
      </c>
      <c r="K126" s="5">
        <f t="shared" si="11"/>
        <v>24407</v>
      </c>
      <c r="L126" s="5">
        <f t="shared" si="11"/>
        <v>24407</v>
      </c>
      <c r="M126" s="5">
        <f t="shared" si="12"/>
        <v>24407</v>
      </c>
      <c r="N126" s="5">
        <f t="shared" si="12"/>
        <v>24407</v>
      </c>
      <c r="O126" s="5">
        <f t="shared" si="12"/>
        <v>24407</v>
      </c>
      <c r="P126" s="5">
        <f t="shared" si="9"/>
        <v>24407</v>
      </c>
      <c r="Q126" s="5">
        <f t="shared" si="9"/>
        <v>24407</v>
      </c>
      <c r="R126" s="5">
        <f t="shared" si="13"/>
        <v>24407</v>
      </c>
      <c r="U126" s="8">
        <f t="shared" si="10"/>
        <v>0</v>
      </c>
      <c r="V126" s="8">
        <f>IFERROR(INDEX('Payment 1 through 9'!$A$1:$B$330,MATCH(CONCATENATE(FinalPayment!$F126,"0000"),'Payment 1 through 9'!$A$1:$A$330,0),2)*9,0)</f>
        <v>215136</v>
      </c>
      <c r="W126" s="8">
        <f>IFERROR(INDEX('FinalPayment 10'!$A$1:$B$330,MATCH(CONCATENATE(FinalPayment!$F126,"0000"),'FinalPayment 10'!$A$1:$A$330,0),2),0)</f>
        <v>23900</v>
      </c>
      <c r="X126" s="8">
        <f t="shared" si="14"/>
        <v>239036</v>
      </c>
      <c r="Y126" s="8">
        <f t="shared" si="15"/>
        <v>5034</v>
      </c>
    </row>
    <row r="127" spans="1:25" x14ac:dyDescent="0.55000000000000004">
      <c r="A127">
        <v>2021</v>
      </c>
      <c r="B127" t="s">
        <v>689</v>
      </c>
      <c r="C127" t="s">
        <v>549</v>
      </c>
      <c r="D127" t="s">
        <v>1207</v>
      </c>
      <c r="E127" t="s">
        <v>1207</v>
      </c>
      <c r="F127" t="s">
        <v>549</v>
      </c>
      <c r="G127" t="s">
        <v>134</v>
      </c>
      <c r="H127" s="5">
        <f>SUMPRODUCT(SUMIF(FinalPayment_NoReorg!$F$2:$F$331,FinalPayment!$D127:$F127,FinalPayment_NoReorg!$L$2:$L$331))+SUMPRODUCT(SUMIF(FinalPayment_NoReorg!$F$2:$F$331,FinalPayment!$D127:$F127,FinalPayment_NoReorg!$N$2:$N$331))</f>
        <v>535</v>
      </c>
      <c r="I127" s="5">
        <f t="shared" si="11"/>
        <v>54</v>
      </c>
      <c r="J127" s="5">
        <f t="shared" si="11"/>
        <v>54</v>
      </c>
      <c r="K127" s="5">
        <f t="shared" si="11"/>
        <v>54</v>
      </c>
      <c r="L127" s="5">
        <f t="shared" si="11"/>
        <v>54</v>
      </c>
      <c r="M127" s="5">
        <f t="shared" si="12"/>
        <v>54</v>
      </c>
      <c r="N127" s="5">
        <f t="shared" si="12"/>
        <v>54</v>
      </c>
      <c r="O127" s="5">
        <f t="shared" si="12"/>
        <v>54</v>
      </c>
      <c r="P127" s="5">
        <f t="shared" si="9"/>
        <v>54</v>
      </c>
      <c r="Q127" s="5">
        <f t="shared" si="9"/>
        <v>54</v>
      </c>
      <c r="R127" s="5">
        <f t="shared" si="13"/>
        <v>49</v>
      </c>
      <c r="U127" s="8">
        <f t="shared" si="10"/>
        <v>0</v>
      </c>
      <c r="V127" s="8">
        <f>IFERROR(INDEX('Payment 1 through 9'!$A$1:$B$330,MATCH(CONCATENATE(FinalPayment!$F127,"0000"),'Payment 1 through 9'!$A$1:$A$330,0),2)*9,0)</f>
        <v>0</v>
      </c>
      <c r="W127" s="8">
        <f>IFERROR(INDEX('FinalPayment 10'!$A$1:$B$330,MATCH(CONCATENATE(FinalPayment!$F127,"0000"),'FinalPayment 10'!$A$1:$A$330,0),2),0)</f>
        <v>0</v>
      </c>
      <c r="X127" s="8">
        <f t="shared" si="14"/>
        <v>0</v>
      </c>
      <c r="Y127" s="8">
        <f t="shared" si="15"/>
        <v>535</v>
      </c>
    </row>
    <row r="128" spans="1:25" x14ac:dyDescent="0.55000000000000004">
      <c r="A128">
        <v>2021</v>
      </c>
      <c r="B128" t="s">
        <v>686</v>
      </c>
      <c r="C128" t="s">
        <v>548</v>
      </c>
      <c r="D128" t="s">
        <v>1207</v>
      </c>
      <c r="E128" t="s">
        <v>1207</v>
      </c>
      <c r="F128" t="s">
        <v>548</v>
      </c>
      <c r="G128" t="s">
        <v>135</v>
      </c>
      <c r="H128" s="5">
        <f>SUMPRODUCT(SUMIF(FinalPayment_NoReorg!$F$2:$F$331,FinalPayment!$D128:$F128,FinalPayment_NoReorg!$L$2:$L$331))+SUMPRODUCT(SUMIF(FinalPayment_NoReorg!$F$2:$F$331,FinalPayment!$D128:$F128,FinalPayment_NoReorg!$N$2:$N$331))</f>
        <v>86640</v>
      </c>
      <c r="I128" s="5">
        <f t="shared" si="11"/>
        <v>8664</v>
      </c>
      <c r="J128" s="5">
        <f t="shared" si="11"/>
        <v>8664</v>
      </c>
      <c r="K128" s="5">
        <f t="shared" si="11"/>
        <v>8664</v>
      </c>
      <c r="L128" s="5">
        <f t="shared" si="11"/>
        <v>8664</v>
      </c>
      <c r="M128" s="5">
        <f t="shared" si="12"/>
        <v>8664</v>
      </c>
      <c r="N128" s="5">
        <f t="shared" si="12"/>
        <v>8664</v>
      </c>
      <c r="O128" s="5">
        <f t="shared" si="12"/>
        <v>8664</v>
      </c>
      <c r="P128" s="5">
        <f t="shared" si="9"/>
        <v>8664</v>
      </c>
      <c r="Q128" s="5">
        <f t="shared" si="9"/>
        <v>8664</v>
      </c>
      <c r="R128" s="5">
        <f t="shared" si="13"/>
        <v>8664</v>
      </c>
      <c r="U128" s="8">
        <f t="shared" si="10"/>
        <v>0</v>
      </c>
      <c r="V128" s="8">
        <f>IFERROR(INDEX('Payment 1 through 9'!$A$1:$B$330,MATCH(CONCATENATE(FinalPayment!$F128,"0000"),'Payment 1 through 9'!$A$1:$A$330,0),2)*9,0)</f>
        <v>73863</v>
      </c>
      <c r="W128" s="8">
        <f>IFERROR(INDEX('FinalPayment 10'!$A$1:$B$330,MATCH(CONCATENATE(FinalPayment!$F128,"0000"),'FinalPayment 10'!$A$1:$A$330,0),2),0)</f>
        <v>8208</v>
      </c>
      <c r="X128" s="8">
        <f t="shared" si="14"/>
        <v>82071</v>
      </c>
      <c r="Y128" s="8">
        <f t="shared" si="15"/>
        <v>4569</v>
      </c>
    </row>
    <row r="129" spans="1:25" x14ac:dyDescent="0.55000000000000004">
      <c r="A129">
        <v>2021</v>
      </c>
      <c r="B129" t="s">
        <v>690</v>
      </c>
      <c r="C129" t="s">
        <v>545</v>
      </c>
      <c r="D129" t="s">
        <v>1207</v>
      </c>
      <c r="E129" t="s">
        <v>1207</v>
      </c>
      <c r="F129" t="s">
        <v>545</v>
      </c>
      <c r="G129" t="s">
        <v>138</v>
      </c>
      <c r="H129" s="5">
        <f>SUMPRODUCT(SUMIF(FinalPayment_NoReorg!$F$2:$F$331,FinalPayment!$D129:$F129,FinalPayment_NoReorg!$L$2:$L$331))+SUMPRODUCT(SUMIF(FinalPayment_NoReorg!$F$2:$F$331,FinalPayment!$D129:$F129,FinalPayment_NoReorg!$N$2:$N$331))</f>
        <v>186</v>
      </c>
      <c r="I129" s="5">
        <f t="shared" si="11"/>
        <v>19</v>
      </c>
      <c r="J129" s="5">
        <f t="shared" si="11"/>
        <v>19</v>
      </c>
      <c r="K129" s="5">
        <f t="shared" si="11"/>
        <v>19</v>
      </c>
      <c r="L129" s="5">
        <f t="shared" si="11"/>
        <v>19</v>
      </c>
      <c r="M129" s="5">
        <f t="shared" si="12"/>
        <v>19</v>
      </c>
      <c r="N129" s="5">
        <f t="shared" si="12"/>
        <v>19</v>
      </c>
      <c r="O129" s="5">
        <f t="shared" si="12"/>
        <v>19</v>
      </c>
      <c r="P129" s="5">
        <f t="shared" si="9"/>
        <v>19</v>
      </c>
      <c r="Q129" s="5">
        <f t="shared" si="9"/>
        <v>19</v>
      </c>
      <c r="R129" s="5">
        <f t="shared" si="13"/>
        <v>15</v>
      </c>
      <c r="U129" s="8">
        <f t="shared" si="10"/>
        <v>0</v>
      </c>
      <c r="V129" s="8">
        <f>IFERROR(INDEX('Payment 1 through 9'!$A$1:$B$330,MATCH(CONCATENATE(FinalPayment!$F129,"0000"),'Payment 1 through 9'!$A$1:$A$330,0),2)*9,0)</f>
        <v>0</v>
      </c>
      <c r="W129" s="8">
        <f>IFERROR(INDEX('FinalPayment 10'!$A$1:$B$330,MATCH(CONCATENATE(FinalPayment!$F129,"0000"),'FinalPayment 10'!$A$1:$A$330,0),2),0)</f>
        <v>0</v>
      </c>
      <c r="X129" s="8">
        <f t="shared" si="14"/>
        <v>0</v>
      </c>
      <c r="Y129" s="8">
        <f t="shared" si="15"/>
        <v>186</v>
      </c>
    </row>
    <row r="130" spans="1:25" x14ac:dyDescent="0.55000000000000004">
      <c r="A130">
        <v>2021</v>
      </c>
      <c r="B130" t="s">
        <v>689</v>
      </c>
      <c r="C130" t="s">
        <v>544</v>
      </c>
      <c r="D130" t="s">
        <v>1207</v>
      </c>
      <c r="E130" t="s">
        <v>1207</v>
      </c>
      <c r="F130" t="s">
        <v>544</v>
      </c>
      <c r="G130" t="s">
        <v>139</v>
      </c>
      <c r="H130" s="5">
        <f>SUMPRODUCT(SUMIF(FinalPayment_NoReorg!$F$2:$F$331,FinalPayment!$D130:$F130,FinalPayment_NoReorg!$L$2:$L$331))+SUMPRODUCT(SUMIF(FinalPayment_NoReorg!$F$2:$F$331,FinalPayment!$D130:$F130,FinalPayment_NoReorg!$N$2:$N$331))</f>
        <v>975</v>
      </c>
      <c r="I130" s="5">
        <f t="shared" si="11"/>
        <v>98</v>
      </c>
      <c r="J130" s="5">
        <f t="shared" si="11"/>
        <v>98</v>
      </c>
      <c r="K130" s="5">
        <f t="shared" si="11"/>
        <v>98</v>
      </c>
      <c r="L130" s="5">
        <f t="shared" ref="L130" si="16">ROUND($H130/10,0)</f>
        <v>98</v>
      </c>
      <c r="M130" s="5">
        <f t="shared" si="12"/>
        <v>98</v>
      </c>
      <c r="N130" s="5">
        <f t="shared" si="12"/>
        <v>98</v>
      </c>
      <c r="O130" s="5">
        <f t="shared" si="12"/>
        <v>98</v>
      </c>
      <c r="P130" s="5">
        <f t="shared" si="12"/>
        <v>98</v>
      </c>
      <c r="Q130" s="5">
        <f t="shared" si="12"/>
        <v>98</v>
      </c>
      <c r="R130" s="5">
        <f t="shared" si="13"/>
        <v>93</v>
      </c>
      <c r="U130" s="8">
        <f t="shared" ref="U130:U193" si="17">SUM(I130:R130)-H130</f>
        <v>0</v>
      </c>
      <c r="V130" s="8">
        <f>IFERROR(INDEX('Payment 1 through 9'!$A$1:$B$330,MATCH(CONCATENATE(FinalPayment!$F130,"0000"),'Payment 1 through 9'!$A$1:$A$330,0),2)*9,0)</f>
        <v>0</v>
      </c>
      <c r="W130" s="8">
        <f>IFERROR(INDEX('FinalPayment 10'!$A$1:$B$330,MATCH(CONCATENATE(FinalPayment!$F130,"0000"),'FinalPayment 10'!$A$1:$A$330,0),2),0)</f>
        <v>0</v>
      </c>
      <c r="X130" s="8">
        <f t="shared" si="14"/>
        <v>0</v>
      </c>
      <c r="Y130" s="8">
        <f t="shared" si="15"/>
        <v>975</v>
      </c>
    </row>
    <row r="131" spans="1:25" x14ac:dyDescent="0.55000000000000004">
      <c r="A131">
        <v>2021</v>
      </c>
      <c r="B131" t="s">
        <v>690</v>
      </c>
      <c r="C131" t="s">
        <v>543</v>
      </c>
      <c r="D131" t="s">
        <v>1207</v>
      </c>
      <c r="E131" t="s">
        <v>1207</v>
      </c>
      <c r="F131" t="s">
        <v>543</v>
      </c>
      <c r="G131" t="s">
        <v>140</v>
      </c>
      <c r="H131" s="5">
        <f>SUMPRODUCT(SUMIF(FinalPayment_NoReorg!$F$2:$F$331,FinalPayment!$D131:$F131,FinalPayment_NoReorg!$L$2:$L$331))+SUMPRODUCT(SUMIF(FinalPayment_NoReorg!$F$2:$F$331,FinalPayment!$D131:$F131,FinalPayment_NoReorg!$N$2:$N$331))</f>
        <v>1162</v>
      </c>
      <c r="I131" s="5">
        <f t="shared" ref="I131:L194" si="18">ROUND($H131/10,0)</f>
        <v>116</v>
      </c>
      <c r="J131" s="5">
        <f t="shared" si="18"/>
        <v>116</v>
      </c>
      <c r="K131" s="5">
        <f t="shared" si="18"/>
        <v>116</v>
      </c>
      <c r="L131" s="5">
        <f t="shared" si="18"/>
        <v>116</v>
      </c>
      <c r="M131" s="5">
        <f t="shared" ref="M131:P194" si="19">ROUND($H131/10,0)</f>
        <v>116</v>
      </c>
      <c r="N131" s="5">
        <f t="shared" si="19"/>
        <v>116</v>
      </c>
      <c r="O131" s="5">
        <f t="shared" si="19"/>
        <v>116</v>
      </c>
      <c r="P131" s="5">
        <f t="shared" si="19"/>
        <v>116</v>
      </c>
      <c r="Q131" s="5">
        <f t="shared" ref="Q131:Q194" si="20">ROUND($H131/10,0)</f>
        <v>116</v>
      </c>
      <c r="R131" s="5">
        <f t="shared" ref="R131:R194" si="21">$H131-SUM(I131:Q131)</f>
        <v>118</v>
      </c>
      <c r="U131" s="8">
        <f t="shared" si="17"/>
        <v>0</v>
      </c>
      <c r="V131" s="8">
        <f>IFERROR(INDEX('Payment 1 through 9'!$A$1:$B$330,MATCH(CONCATENATE(FinalPayment!$F131,"0000"),'Payment 1 through 9'!$A$1:$A$330,0),2)*9,0)</f>
        <v>0</v>
      </c>
      <c r="W131" s="8">
        <f>IFERROR(INDEX('FinalPayment 10'!$A$1:$B$330,MATCH(CONCATENATE(FinalPayment!$F131,"0000"),'FinalPayment 10'!$A$1:$A$330,0),2),0)</f>
        <v>0</v>
      </c>
      <c r="X131" s="8">
        <f t="shared" ref="X131:X194" si="22">SUM(V131:W131)</f>
        <v>0</v>
      </c>
      <c r="Y131" s="8">
        <f t="shared" ref="Y131:Y194" si="23">H131-X131</f>
        <v>1162</v>
      </c>
    </row>
    <row r="132" spans="1:25" x14ac:dyDescent="0.55000000000000004">
      <c r="A132">
        <v>2021</v>
      </c>
      <c r="B132" t="s">
        <v>694</v>
      </c>
      <c r="C132" t="s">
        <v>541</v>
      </c>
      <c r="D132" t="s">
        <v>1207</v>
      </c>
      <c r="E132" t="s">
        <v>1207</v>
      </c>
      <c r="F132" t="s">
        <v>541</v>
      </c>
      <c r="G132" t="s">
        <v>142</v>
      </c>
      <c r="H132" s="5">
        <f>SUMPRODUCT(SUMIF(FinalPayment_NoReorg!$F$2:$F$331,FinalPayment!$D132:$F132,FinalPayment_NoReorg!$L$2:$L$331))+SUMPRODUCT(SUMIF(FinalPayment_NoReorg!$F$2:$F$331,FinalPayment!$D132:$F132,FinalPayment_NoReorg!$N$2:$N$331))</f>
        <v>45684</v>
      </c>
      <c r="I132" s="5">
        <f t="shared" si="18"/>
        <v>4568</v>
      </c>
      <c r="J132" s="5">
        <f t="shared" si="18"/>
        <v>4568</v>
      </c>
      <c r="K132" s="5">
        <f t="shared" si="18"/>
        <v>4568</v>
      </c>
      <c r="L132" s="5">
        <f t="shared" si="18"/>
        <v>4568</v>
      </c>
      <c r="M132" s="5">
        <f t="shared" si="19"/>
        <v>4568</v>
      </c>
      <c r="N132" s="5">
        <f t="shared" si="19"/>
        <v>4568</v>
      </c>
      <c r="O132" s="5">
        <f t="shared" si="19"/>
        <v>4568</v>
      </c>
      <c r="P132" s="5">
        <f t="shared" si="19"/>
        <v>4568</v>
      </c>
      <c r="Q132" s="5">
        <f t="shared" si="20"/>
        <v>4568</v>
      </c>
      <c r="R132" s="5">
        <f t="shared" si="21"/>
        <v>4572</v>
      </c>
      <c r="U132" s="8">
        <f t="shared" si="17"/>
        <v>0</v>
      </c>
      <c r="V132" s="8">
        <f>IFERROR(INDEX('Payment 1 through 9'!$A$1:$B$330,MATCH(CONCATENATE(FinalPayment!$F132,"0000"),'Payment 1 through 9'!$A$1:$A$330,0),2)*9,0)</f>
        <v>38277</v>
      </c>
      <c r="W132" s="8">
        <f>IFERROR(INDEX('FinalPayment 10'!$A$1:$B$330,MATCH(CONCATENATE(FinalPayment!$F132,"0000"),'FinalPayment 10'!$A$1:$A$330,0),2),0)</f>
        <v>4250</v>
      </c>
      <c r="X132" s="8">
        <f t="shared" si="22"/>
        <v>42527</v>
      </c>
      <c r="Y132" s="8">
        <f t="shared" si="23"/>
        <v>3157</v>
      </c>
    </row>
    <row r="133" spans="1:25" x14ac:dyDescent="0.55000000000000004">
      <c r="A133">
        <v>2021</v>
      </c>
      <c r="B133" t="s">
        <v>692</v>
      </c>
      <c r="C133" t="s">
        <v>540</v>
      </c>
      <c r="D133" t="s">
        <v>1207</v>
      </c>
      <c r="E133" t="s">
        <v>1207</v>
      </c>
      <c r="F133" t="s">
        <v>540</v>
      </c>
      <c r="G133" t="s">
        <v>143</v>
      </c>
      <c r="H133" s="5">
        <f>SUMPRODUCT(SUMIF(FinalPayment_NoReorg!$F$2:$F$331,FinalPayment!$D133:$F133,FinalPayment_NoReorg!$L$2:$L$331))+SUMPRODUCT(SUMIF(FinalPayment_NoReorg!$F$2:$F$331,FinalPayment!$D133:$F133,FinalPayment_NoReorg!$N$2:$N$331))</f>
        <v>512</v>
      </c>
      <c r="I133" s="5">
        <f t="shared" si="18"/>
        <v>51</v>
      </c>
      <c r="J133" s="5">
        <f t="shared" si="18"/>
        <v>51</v>
      </c>
      <c r="K133" s="5">
        <f t="shared" si="18"/>
        <v>51</v>
      </c>
      <c r="L133" s="5">
        <f t="shared" si="18"/>
        <v>51</v>
      </c>
      <c r="M133" s="5">
        <f t="shared" si="19"/>
        <v>51</v>
      </c>
      <c r="N133" s="5">
        <f t="shared" si="19"/>
        <v>51</v>
      </c>
      <c r="O133" s="5">
        <f t="shared" si="19"/>
        <v>51</v>
      </c>
      <c r="P133" s="5">
        <f t="shared" si="19"/>
        <v>51</v>
      </c>
      <c r="Q133" s="5">
        <f t="shared" si="20"/>
        <v>51</v>
      </c>
      <c r="R133" s="5">
        <f t="shared" si="21"/>
        <v>53</v>
      </c>
      <c r="U133" s="8">
        <f t="shared" si="17"/>
        <v>0</v>
      </c>
      <c r="V133" s="8">
        <f>IFERROR(INDEX('Payment 1 through 9'!$A$1:$B$330,MATCH(CONCATENATE(FinalPayment!$F133,"0000"),'Payment 1 through 9'!$A$1:$A$330,0),2)*9,0)</f>
        <v>0</v>
      </c>
      <c r="W133" s="8">
        <f>IFERROR(INDEX('FinalPayment 10'!$A$1:$B$330,MATCH(CONCATENATE(FinalPayment!$F133,"0000"),'FinalPayment 10'!$A$1:$A$330,0),2),0)</f>
        <v>0</v>
      </c>
      <c r="X133" s="8">
        <f t="shared" si="22"/>
        <v>0</v>
      </c>
      <c r="Y133" s="8">
        <f t="shared" si="23"/>
        <v>512</v>
      </c>
    </row>
    <row r="134" spans="1:25" x14ac:dyDescent="0.55000000000000004">
      <c r="A134">
        <v>2021</v>
      </c>
      <c r="B134" t="s">
        <v>698</v>
      </c>
      <c r="C134" t="s">
        <v>539</v>
      </c>
      <c r="D134" t="s">
        <v>1207</v>
      </c>
      <c r="E134" t="s">
        <v>1207</v>
      </c>
      <c r="F134" t="s">
        <v>539</v>
      </c>
      <c r="G134" t="s">
        <v>144</v>
      </c>
      <c r="H134" s="5">
        <f>SUMPRODUCT(SUMIF(FinalPayment_NoReorg!$F$2:$F$331,FinalPayment!$D134:$F134,FinalPayment_NoReorg!$L$2:$L$331))+SUMPRODUCT(SUMIF(FinalPayment_NoReorg!$F$2:$F$331,FinalPayment!$D134:$F134,FinalPayment_NoReorg!$N$2:$N$331))</f>
        <v>61719</v>
      </c>
      <c r="I134" s="5">
        <f t="shared" si="18"/>
        <v>6172</v>
      </c>
      <c r="J134" s="5">
        <f t="shared" si="18"/>
        <v>6172</v>
      </c>
      <c r="K134" s="5">
        <f t="shared" si="18"/>
        <v>6172</v>
      </c>
      <c r="L134" s="5">
        <f t="shared" si="18"/>
        <v>6172</v>
      </c>
      <c r="M134" s="5">
        <f t="shared" si="19"/>
        <v>6172</v>
      </c>
      <c r="N134" s="5">
        <f t="shared" si="19"/>
        <v>6172</v>
      </c>
      <c r="O134" s="5">
        <f t="shared" si="19"/>
        <v>6172</v>
      </c>
      <c r="P134" s="5">
        <f t="shared" si="19"/>
        <v>6172</v>
      </c>
      <c r="Q134" s="5">
        <f t="shared" si="20"/>
        <v>6172</v>
      </c>
      <c r="R134" s="5">
        <f t="shared" si="21"/>
        <v>6171</v>
      </c>
      <c r="U134" s="8">
        <f t="shared" si="17"/>
        <v>0</v>
      </c>
      <c r="V134" s="8">
        <f>IFERROR(INDEX('Payment 1 through 9'!$A$1:$B$330,MATCH(CONCATENATE(FinalPayment!$F134,"0000"),'Payment 1 through 9'!$A$1:$A$330,0),2)*9,0)</f>
        <v>49527</v>
      </c>
      <c r="W134" s="8">
        <f>IFERROR(INDEX('FinalPayment 10'!$A$1:$B$330,MATCH(CONCATENATE(FinalPayment!$F134,"0000"),'FinalPayment 10'!$A$1:$A$330,0),2),0)</f>
        <v>5507</v>
      </c>
      <c r="X134" s="8">
        <f t="shared" si="22"/>
        <v>55034</v>
      </c>
      <c r="Y134" s="8">
        <f t="shared" si="23"/>
        <v>6685</v>
      </c>
    </row>
    <row r="135" spans="1:25" x14ac:dyDescent="0.55000000000000004">
      <c r="A135">
        <v>2021</v>
      </c>
      <c r="B135" t="s">
        <v>692</v>
      </c>
      <c r="C135" t="s">
        <v>538</v>
      </c>
      <c r="D135" t="s">
        <v>1207</v>
      </c>
      <c r="E135" t="s">
        <v>1207</v>
      </c>
      <c r="F135" t="s">
        <v>538</v>
      </c>
      <c r="G135" t="s">
        <v>145</v>
      </c>
      <c r="H135" s="5">
        <f>SUMPRODUCT(SUMIF(FinalPayment_NoReorg!$F$2:$F$331,FinalPayment!$D135:$F135,FinalPayment_NoReorg!$L$2:$L$331))+SUMPRODUCT(SUMIF(FinalPayment_NoReorg!$F$2:$F$331,FinalPayment!$D135:$F135,FinalPayment_NoReorg!$N$2:$N$331))</f>
        <v>171869</v>
      </c>
      <c r="I135" s="5">
        <f t="shared" si="18"/>
        <v>17187</v>
      </c>
      <c r="J135" s="5">
        <f t="shared" si="18"/>
        <v>17187</v>
      </c>
      <c r="K135" s="5">
        <f t="shared" si="18"/>
        <v>17187</v>
      </c>
      <c r="L135" s="5">
        <f t="shared" si="18"/>
        <v>17187</v>
      </c>
      <c r="M135" s="5">
        <f t="shared" si="19"/>
        <v>17187</v>
      </c>
      <c r="N135" s="5">
        <f t="shared" si="19"/>
        <v>17187</v>
      </c>
      <c r="O135" s="5">
        <f t="shared" si="19"/>
        <v>17187</v>
      </c>
      <c r="P135" s="5">
        <f t="shared" si="19"/>
        <v>17187</v>
      </c>
      <c r="Q135" s="5">
        <f t="shared" si="20"/>
        <v>17187</v>
      </c>
      <c r="R135" s="5">
        <f t="shared" si="21"/>
        <v>17186</v>
      </c>
      <c r="U135" s="8">
        <f t="shared" si="17"/>
        <v>0</v>
      </c>
      <c r="V135" s="8">
        <f>IFERROR(INDEX('Payment 1 through 9'!$A$1:$B$330,MATCH(CONCATENATE(FinalPayment!$F135,"0000"),'Payment 1 through 9'!$A$1:$A$330,0),2)*9,0)</f>
        <v>149715</v>
      </c>
      <c r="W135" s="8">
        <f>IFERROR(INDEX('FinalPayment 10'!$A$1:$B$330,MATCH(CONCATENATE(FinalPayment!$F135,"0000"),'FinalPayment 10'!$A$1:$A$330,0),2),0)</f>
        <v>16639</v>
      </c>
      <c r="X135" s="8">
        <f t="shared" si="22"/>
        <v>166354</v>
      </c>
      <c r="Y135" s="8">
        <f t="shared" si="23"/>
        <v>5515</v>
      </c>
    </row>
    <row r="136" spans="1:25" x14ac:dyDescent="0.55000000000000004">
      <c r="A136">
        <v>2021</v>
      </c>
      <c r="B136" t="s">
        <v>698</v>
      </c>
      <c r="C136" t="s">
        <v>546</v>
      </c>
      <c r="D136" t="s">
        <v>1207</v>
      </c>
      <c r="E136" t="s">
        <v>1207</v>
      </c>
      <c r="F136" t="s">
        <v>546</v>
      </c>
      <c r="G136" t="s">
        <v>825</v>
      </c>
      <c r="H136" s="5">
        <f>SUMPRODUCT(SUMIF(FinalPayment_NoReorg!$F$2:$F$331,FinalPayment!$D136:$F136,FinalPayment_NoReorg!$L$2:$L$331))+SUMPRODUCT(SUMIF(FinalPayment_NoReorg!$F$2:$F$331,FinalPayment!$D136:$F136,FinalPayment_NoReorg!$N$2:$N$331))</f>
        <v>288</v>
      </c>
      <c r="I136" s="5">
        <f t="shared" si="18"/>
        <v>29</v>
      </c>
      <c r="J136" s="5">
        <f t="shared" si="18"/>
        <v>29</v>
      </c>
      <c r="K136" s="5">
        <f t="shared" si="18"/>
        <v>29</v>
      </c>
      <c r="L136" s="5">
        <f t="shared" si="18"/>
        <v>29</v>
      </c>
      <c r="M136" s="5">
        <f t="shared" si="19"/>
        <v>29</v>
      </c>
      <c r="N136" s="5">
        <f t="shared" si="19"/>
        <v>29</v>
      </c>
      <c r="O136" s="5">
        <f t="shared" si="19"/>
        <v>29</v>
      </c>
      <c r="P136" s="5">
        <f t="shared" si="19"/>
        <v>29</v>
      </c>
      <c r="Q136" s="5">
        <f t="shared" si="20"/>
        <v>29</v>
      </c>
      <c r="R136" s="5">
        <f t="shared" si="21"/>
        <v>27</v>
      </c>
      <c r="U136" s="8">
        <f t="shared" si="17"/>
        <v>0</v>
      </c>
      <c r="V136" s="8">
        <f>IFERROR(INDEX('Payment 1 through 9'!$A$1:$B$330,MATCH(CONCATENATE(FinalPayment!$F136,"0000"),'Payment 1 through 9'!$A$1:$A$330,0),2)*9,0)</f>
        <v>0</v>
      </c>
      <c r="W136" s="8">
        <f>IFERROR(INDEX('FinalPayment 10'!$A$1:$B$330,MATCH(CONCATENATE(FinalPayment!$F136,"0000"),'FinalPayment 10'!$A$1:$A$330,0),2),0)</f>
        <v>0</v>
      </c>
      <c r="X136" s="8">
        <f t="shared" si="22"/>
        <v>0</v>
      </c>
      <c r="Y136" s="8">
        <f t="shared" si="23"/>
        <v>288</v>
      </c>
    </row>
    <row r="137" spans="1:25" x14ac:dyDescent="0.55000000000000004">
      <c r="A137">
        <v>2021</v>
      </c>
      <c r="B137" t="s">
        <v>703</v>
      </c>
      <c r="C137" t="s">
        <v>537</v>
      </c>
      <c r="D137" t="s">
        <v>1207</v>
      </c>
      <c r="E137" t="s">
        <v>1207</v>
      </c>
      <c r="F137" t="s">
        <v>537</v>
      </c>
      <c r="G137" t="s">
        <v>146</v>
      </c>
      <c r="H137" s="5">
        <f>SUMPRODUCT(SUMIF(FinalPayment_NoReorg!$F$2:$F$331,FinalPayment!$D137:$F137,FinalPayment_NoReorg!$L$2:$L$331))+SUMPRODUCT(SUMIF(FinalPayment_NoReorg!$F$2:$F$331,FinalPayment!$D137:$F137,FinalPayment_NoReorg!$N$2:$N$331))</f>
        <v>287524</v>
      </c>
      <c r="I137" s="5">
        <f t="shared" si="18"/>
        <v>28752</v>
      </c>
      <c r="J137" s="5">
        <f t="shared" si="18"/>
        <v>28752</v>
      </c>
      <c r="K137" s="5">
        <f t="shared" si="18"/>
        <v>28752</v>
      </c>
      <c r="L137" s="5">
        <f t="shared" si="18"/>
        <v>28752</v>
      </c>
      <c r="M137" s="5">
        <f t="shared" si="19"/>
        <v>28752</v>
      </c>
      <c r="N137" s="5">
        <f t="shared" si="19"/>
        <v>28752</v>
      </c>
      <c r="O137" s="5">
        <f t="shared" si="19"/>
        <v>28752</v>
      </c>
      <c r="P137" s="5">
        <f t="shared" si="19"/>
        <v>28752</v>
      </c>
      <c r="Q137" s="5">
        <f t="shared" si="20"/>
        <v>28752</v>
      </c>
      <c r="R137" s="5">
        <f t="shared" si="21"/>
        <v>28756</v>
      </c>
      <c r="U137" s="8">
        <f t="shared" si="17"/>
        <v>0</v>
      </c>
      <c r="V137" s="8">
        <f>IFERROR(INDEX('Payment 1 through 9'!$A$1:$B$330,MATCH(CONCATENATE(FinalPayment!$F137,"0000"),'Payment 1 through 9'!$A$1:$A$330,0),2)*9,0)</f>
        <v>247635</v>
      </c>
      <c r="W137" s="8">
        <f>IFERROR(INDEX('FinalPayment 10'!$A$1:$B$330,MATCH(CONCATENATE(FinalPayment!$F137,"0000"),'FinalPayment 10'!$A$1:$A$330,0),2),0)</f>
        <v>27510</v>
      </c>
      <c r="X137" s="8">
        <f t="shared" si="22"/>
        <v>275145</v>
      </c>
      <c r="Y137" s="8">
        <f t="shared" si="23"/>
        <v>12379</v>
      </c>
    </row>
    <row r="138" spans="1:25" x14ac:dyDescent="0.55000000000000004">
      <c r="A138">
        <v>2021</v>
      </c>
      <c r="B138" t="s">
        <v>689</v>
      </c>
      <c r="C138" t="s">
        <v>536</v>
      </c>
      <c r="D138" t="s">
        <v>1207</v>
      </c>
      <c r="E138" t="s">
        <v>1207</v>
      </c>
      <c r="F138" t="s">
        <v>536</v>
      </c>
      <c r="G138" t="s">
        <v>147</v>
      </c>
      <c r="H138" s="5">
        <f>SUMPRODUCT(SUMIF(FinalPayment_NoReorg!$F$2:$F$331,FinalPayment!$D138:$F138,FinalPayment_NoReorg!$L$2:$L$331))+SUMPRODUCT(SUMIF(FinalPayment_NoReorg!$F$2:$F$331,FinalPayment!$D138:$F138,FinalPayment_NoReorg!$N$2:$N$331))</f>
        <v>64453</v>
      </c>
      <c r="I138" s="5">
        <f t="shared" si="18"/>
        <v>6445</v>
      </c>
      <c r="J138" s="5">
        <f t="shared" si="18"/>
        <v>6445</v>
      </c>
      <c r="K138" s="5">
        <f t="shared" si="18"/>
        <v>6445</v>
      </c>
      <c r="L138" s="5">
        <f t="shared" si="18"/>
        <v>6445</v>
      </c>
      <c r="M138" s="5">
        <f t="shared" si="19"/>
        <v>6445</v>
      </c>
      <c r="N138" s="5">
        <f t="shared" si="19"/>
        <v>6445</v>
      </c>
      <c r="O138" s="5">
        <f t="shared" si="19"/>
        <v>6445</v>
      </c>
      <c r="P138" s="5">
        <f t="shared" si="19"/>
        <v>6445</v>
      </c>
      <c r="Q138" s="5">
        <f t="shared" si="20"/>
        <v>6445</v>
      </c>
      <c r="R138" s="5">
        <f t="shared" si="21"/>
        <v>6448</v>
      </c>
      <c r="U138" s="8">
        <f t="shared" si="17"/>
        <v>0</v>
      </c>
      <c r="V138" s="8">
        <f>IFERROR(INDEX('Payment 1 through 9'!$A$1:$B$330,MATCH(CONCATENATE(FinalPayment!$F138,"0000"),'Payment 1 through 9'!$A$1:$A$330,0),2)*9,0)</f>
        <v>53829</v>
      </c>
      <c r="W138" s="8">
        <f>IFERROR(INDEX('FinalPayment 10'!$A$1:$B$330,MATCH(CONCATENATE(FinalPayment!$F138,"0000"),'FinalPayment 10'!$A$1:$A$330,0),2),0)</f>
        <v>5985</v>
      </c>
      <c r="X138" s="8">
        <f t="shared" si="22"/>
        <v>59814</v>
      </c>
      <c r="Y138" s="8">
        <f t="shared" si="23"/>
        <v>4639</v>
      </c>
    </row>
    <row r="139" spans="1:25" x14ac:dyDescent="0.55000000000000004">
      <c r="A139">
        <v>2021</v>
      </c>
      <c r="B139" t="s">
        <v>689</v>
      </c>
      <c r="C139" t="s">
        <v>535</v>
      </c>
      <c r="D139" t="s">
        <v>1207</v>
      </c>
      <c r="E139" t="s">
        <v>1207</v>
      </c>
      <c r="F139" t="s">
        <v>535</v>
      </c>
      <c r="G139" t="s">
        <v>148</v>
      </c>
      <c r="H139" s="5">
        <f>SUMPRODUCT(SUMIF(FinalPayment_NoReorg!$F$2:$F$331,FinalPayment!$D139:$F139,FinalPayment_NoReorg!$L$2:$L$331))+SUMPRODUCT(SUMIF(FinalPayment_NoReorg!$F$2:$F$331,FinalPayment!$D139:$F139,FinalPayment_NoReorg!$N$2:$N$331))</f>
        <v>565</v>
      </c>
      <c r="I139" s="5">
        <f t="shared" si="18"/>
        <v>57</v>
      </c>
      <c r="J139" s="5">
        <f t="shared" si="18"/>
        <v>57</v>
      </c>
      <c r="K139" s="5">
        <f t="shared" si="18"/>
        <v>57</v>
      </c>
      <c r="L139" s="5">
        <f t="shared" si="18"/>
        <v>57</v>
      </c>
      <c r="M139" s="5">
        <f t="shared" si="19"/>
        <v>57</v>
      </c>
      <c r="N139" s="5">
        <f t="shared" si="19"/>
        <v>57</v>
      </c>
      <c r="O139" s="5">
        <f t="shared" si="19"/>
        <v>57</v>
      </c>
      <c r="P139" s="5">
        <f t="shared" si="19"/>
        <v>57</v>
      </c>
      <c r="Q139" s="5">
        <f t="shared" si="20"/>
        <v>57</v>
      </c>
      <c r="R139" s="5">
        <f t="shared" si="21"/>
        <v>52</v>
      </c>
      <c r="U139" s="8">
        <f t="shared" si="17"/>
        <v>0</v>
      </c>
      <c r="V139" s="8">
        <f>IFERROR(INDEX('Payment 1 through 9'!$A$1:$B$330,MATCH(CONCATENATE(FinalPayment!$F139,"0000"),'Payment 1 through 9'!$A$1:$A$330,0),2)*9,0)</f>
        <v>0</v>
      </c>
      <c r="W139" s="8">
        <f>IFERROR(INDEX('FinalPayment 10'!$A$1:$B$330,MATCH(CONCATENATE(FinalPayment!$F139,"0000"),'FinalPayment 10'!$A$1:$A$330,0),2),0)</f>
        <v>0</v>
      </c>
      <c r="X139" s="8">
        <f t="shared" si="22"/>
        <v>0</v>
      </c>
      <c r="Y139" s="8">
        <f t="shared" si="23"/>
        <v>565</v>
      </c>
    </row>
    <row r="140" spans="1:25" x14ac:dyDescent="0.55000000000000004">
      <c r="A140">
        <v>2021</v>
      </c>
      <c r="B140" t="s">
        <v>694</v>
      </c>
      <c r="C140" t="s">
        <v>534</v>
      </c>
      <c r="D140" t="s">
        <v>1207</v>
      </c>
      <c r="E140" t="s">
        <v>1207</v>
      </c>
      <c r="F140" t="s">
        <v>534</v>
      </c>
      <c r="G140" t="s">
        <v>149</v>
      </c>
      <c r="H140" s="5">
        <f>SUMPRODUCT(SUMIF(FinalPayment_NoReorg!$F$2:$F$331,FinalPayment!$D140:$F140,FinalPayment_NoReorg!$L$2:$L$331))+SUMPRODUCT(SUMIF(FinalPayment_NoReorg!$F$2:$F$331,FinalPayment!$D140:$F140,FinalPayment_NoReorg!$N$2:$N$331))</f>
        <v>992</v>
      </c>
      <c r="I140" s="5">
        <f t="shared" si="18"/>
        <v>99</v>
      </c>
      <c r="J140" s="5">
        <f t="shared" si="18"/>
        <v>99</v>
      </c>
      <c r="K140" s="5">
        <f t="shared" si="18"/>
        <v>99</v>
      </c>
      <c r="L140" s="5">
        <f t="shared" si="18"/>
        <v>99</v>
      </c>
      <c r="M140" s="5">
        <f t="shared" si="19"/>
        <v>99</v>
      </c>
      <c r="N140" s="5">
        <f t="shared" si="19"/>
        <v>99</v>
      </c>
      <c r="O140" s="5">
        <f t="shared" si="19"/>
        <v>99</v>
      </c>
      <c r="P140" s="5">
        <f t="shared" si="19"/>
        <v>99</v>
      </c>
      <c r="Q140" s="5">
        <f t="shared" si="20"/>
        <v>99</v>
      </c>
      <c r="R140" s="5">
        <f t="shared" si="21"/>
        <v>101</v>
      </c>
      <c r="U140" s="8">
        <f t="shared" si="17"/>
        <v>0</v>
      </c>
      <c r="V140" s="8">
        <f>IFERROR(INDEX('Payment 1 through 9'!$A$1:$B$330,MATCH(CONCATENATE(FinalPayment!$F140,"0000"),'Payment 1 through 9'!$A$1:$A$330,0),2)*9,0)</f>
        <v>0</v>
      </c>
      <c r="W140" s="8">
        <f>IFERROR(INDEX('FinalPayment 10'!$A$1:$B$330,MATCH(CONCATENATE(FinalPayment!$F140,"0000"),'FinalPayment 10'!$A$1:$A$330,0),2),0)</f>
        <v>0</v>
      </c>
      <c r="X140" s="8">
        <f t="shared" si="22"/>
        <v>0</v>
      </c>
      <c r="Y140" s="8">
        <f t="shared" si="23"/>
        <v>992</v>
      </c>
    </row>
    <row r="141" spans="1:25" x14ac:dyDescent="0.55000000000000004">
      <c r="A141">
        <v>2021</v>
      </c>
      <c r="B141" t="s">
        <v>690</v>
      </c>
      <c r="C141" t="s">
        <v>527</v>
      </c>
      <c r="D141" t="s">
        <v>1207</v>
      </c>
      <c r="E141" t="s">
        <v>1207</v>
      </c>
      <c r="F141" t="s">
        <v>527</v>
      </c>
      <c r="G141" t="s">
        <v>330</v>
      </c>
      <c r="H141" s="5">
        <f>SUMPRODUCT(SUMIF(FinalPayment_NoReorg!$F$2:$F$331,FinalPayment!$D141:$F141,FinalPayment_NoReorg!$L$2:$L$331))+SUMPRODUCT(SUMIF(FinalPayment_NoReorg!$F$2:$F$331,FinalPayment!$D141:$F141,FinalPayment_NoReorg!$N$2:$N$331))</f>
        <v>181976</v>
      </c>
      <c r="I141" s="5">
        <f t="shared" si="18"/>
        <v>18198</v>
      </c>
      <c r="J141" s="5">
        <f t="shared" si="18"/>
        <v>18198</v>
      </c>
      <c r="K141" s="5">
        <f t="shared" si="18"/>
        <v>18198</v>
      </c>
      <c r="L141" s="5">
        <f t="shared" si="18"/>
        <v>18198</v>
      </c>
      <c r="M141" s="5">
        <f t="shared" si="19"/>
        <v>18198</v>
      </c>
      <c r="N141" s="5">
        <f t="shared" si="19"/>
        <v>18198</v>
      </c>
      <c r="O141" s="5">
        <f t="shared" si="19"/>
        <v>18198</v>
      </c>
      <c r="P141" s="5">
        <f t="shared" si="19"/>
        <v>18198</v>
      </c>
      <c r="Q141" s="5">
        <f t="shared" si="20"/>
        <v>18198</v>
      </c>
      <c r="R141" s="5">
        <f t="shared" si="21"/>
        <v>18194</v>
      </c>
      <c r="U141" s="8">
        <f t="shared" si="17"/>
        <v>0</v>
      </c>
      <c r="V141" s="8">
        <f>IFERROR(INDEX('Payment 1 through 9'!$A$1:$B$330,MATCH(CONCATENATE(FinalPayment!$F141,"0000"),'Payment 1 through 9'!$A$1:$A$330,0),2)*9,0)</f>
        <v>157275</v>
      </c>
      <c r="W141" s="8">
        <f>IFERROR(INDEX('FinalPayment 10'!$A$1:$B$330,MATCH(CONCATENATE(FinalPayment!$F141,"0000"),'FinalPayment 10'!$A$1:$A$330,0),2),0)</f>
        <v>17472</v>
      </c>
      <c r="X141" s="8">
        <f t="shared" si="22"/>
        <v>174747</v>
      </c>
      <c r="Y141" s="8">
        <f t="shared" si="23"/>
        <v>7229</v>
      </c>
    </row>
    <row r="142" spans="1:25" x14ac:dyDescent="0.55000000000000004">
      <c r="A142">
        <v>2021</v>
      </c>
      <c r="B142" t="s">
        <v>689</v>
      </c>
      <c r="C142" t="s">
        <v>533</v>
      </c>
      <c r="D142" t="s">
        <v>1207</v>
      </c>
      <c r="E142" t="s">
        <v>1207</v>
      </c>
      <c r="F142" t="s">
        <v>533</v>
      </c>
      <c r="G142" t="s">
        <v>150</v>
      </c>
      <c r="H142" s="5">
        <f>SUMPRODUCT(SUMIF(FinalPayment_NoReorg!$F$2:$F$331,FinalPayment!$D142:$F142,FinalPayment_NoReorg!$L$2:$L$331))+SUMPRODUCT(SUMIF(FinalPayment_NoReorg!$F$2:$F$331,FinalPayment!$D142:$F142,FinalPayment_NoReorg!$N$2:$N$331))</f>
        <v>1174</v>
      </c>
      <c r="I142" s="5">
        <f t="shared" si="18"/>
        <v>117</v>
      </c>
      <c r="J142" s="5">
        <f t="shared" si="18"/>
        <v>117</v>
      </c>
      <c r="K142" s="5">
        <f t="shared" si="18"/>
        <v>117</v>
      </c>
      <c r="L142" s="5">
        <f t="shared" si="18"/>
        <v>117</v>
      </c>
      <c r="M142" s="5">
        <f t="shared" si="19"/>
        <v>117</v>
      </c>
      <c r="N142" s="5">
        <f t="shared" si="19"/>
        <v>117</v>
      </c>
      <c r="O142" s="5">
        <f t="shared" si="19"/>
        <v>117</v>
      </c>
      <c r="P142" s="5">
        <f t="shared" si="19"/>
        <v>117</v>
      </c>
      <c r="Q142" s="5">
        <f t="shared" si="20"/>
        <v>117</v>
      </c>
      <c r="R142" s="5">
        <f t="shared" si="21"/>
        <v>121</v>
      </c>
      <c r="U142" s="8">
        <f t="shared" si="17"/>
        <v>0</v>
      </c>
      <c r="V142" s="8">
        <f>IFERROR(INDEX('Payment 1 through 9'!$A$1:$B$330,MATCH(CONCATENATE(FinalPayment!$F142,"0000"),'Payment 1 through 9'!$A$1:$A$330,0),2)*9,0)</f>
        <v>0</v>
      </c>
      <c r="W142" s="8">
        <f>IFERROR(INDEX('FinalPayment 10'!$A$1:$B$330,MATCH(CONCATENATE(FinalPayment!$F142,"0000"),'FinalPayment 10'!$A$1:$A$330,0),2),0)</f>
        <v>0</v>
      </c>
      <c r="X142" s="8">
        <f t="shared" si="22"/>
        <v>0</v>
      </c>
      <c r="Y142" s="8">
        <f t="shared" si="23"/>
        <v>1174</v>
      </c>
    </row>
    <row r="143" spans="1:25" x14ac:dyDescent="0.55000000000000004">
      <c r="A143">
        <v>2021</v>
      </c>
      <c r="B143" t="s">
        <v>686</v>
      </c>
      <c r="C143" t="s">
        <v>532</v>
      </c>
      <c r="D143" t="s">
        <v>1207</v>
      </c>
      <c r="E143" t="s">
        <v>1207</v>
      </c>
      <c r="F143" t="s">
        <v>532</v>
      </c>
      <c r="G143" t="s">
        <v>151</v>
      </c>
      <c r="H143" s="5">
        <f>SUMPRODUCT(SUMIF(FinalPayment_NoReorg!$F$2:$F$331,FinalPayment!$D143:$F143,FinalPayment_NoReorg!$L$2:$L$331))+SUMPRODUCT(SUMIF(FinalPayment_NoReorg!$F$2:$F$331,FinalPayment!$D143:$F143,FinalPayment_NoReorg!$N$2:$N$331))</f>
        <v>2862</v>
      </c>
      <c r="I143" s="5">
        <f t="shared" si="18"/>
        <v>286</v>
      </c>
      <c r="J143" s="5">
        <f t="shared" si="18"/>
        <v>286</v>
      </c>
      <c r="K143" s="5">
        <f t="shared" si="18"/>
        <v>286</v>
      </c>
      <c r="L143" s="5">
        <f t="shared" si="18"/>
        <v>286</v>
      </c>
      <c r="M143" s="5">
        <f t="shared" si="19"/>
        <v>286</v>
      </c>
      <c r="N143" s="5">
        <f t="shared" si="19"/>
        <v>286</v>
      </c>
      <c r="O143" s="5">
        <f t="shared" si="19"/>
        <v>286</v>
      </c>
      <c r="P143" s="5">
        <f t="shared" si="19"/>
        <v>286</v>
      </c>
      <c r="Q143" s="5">
        <f t="shared" si="20"/>
        <v>286</v>
      </c>
      <c r="R143" s="5">
        <f t="shared" si="21"/>
        <v>288</v>
      </c>
      <c r="U143" s="8">
        <f t="shared" si="17"/>
        <v>0</v>
      </c>
      <c r="V143" s="8">
        <f>IFERROR(INDEX('Payment 1 through 9'!$A$1:$B$330,MATCH(CONCATENATE(FinalPayment!$F143,"0000"),'Payment 1 through 9'!$A$1:$A$330,0),2)*9,0)</f>
        <v>0</v>
      </c>
      <c r="W143" s="8">
        <f>IFERROR(INDEX('FinalPayment 10'!$A$1:$B$330,MATCH(CONCATENATE(FinalPayment!$F143,"0000"),'FinalPayment 10'!$A$1:$A$330,0),2),0)</f>
        <v>0</v>
      </c>
      <c r="X143" s="8">
        <f t="shared" si="22"/>
        <v>0</v>
      </c>
      <c r="Y143" s="8">
        <f t="shared" si="23"/>
        <v>2862</v>
      </c>
    </row>
    <row r="144" spans="1:25" x14ac:dyDescent="0.55000000000000004">
      <c r="A144">
        <v>2021</v>
      </c>
      <c r="B144" t="s">
        <v>686</v>
      </c>
      <c r="C144" t="s">
        <v>531</v>
      </c>
      <c r="D144" t="s">
        <v>1207</v>
      </c>
      <c r="E144" t="s">
        <v>1207</v>
      </c>
      <c r="F144" t="s">
        <v>531</v>
      </c>
      <c r="G144" t="s">
        <v>152</v>
      </c>
      <c r="H144" s="5">
        <f>SUMPRODUCT(SUMIF(FinalPayment_NoReorg!$F$2:$F$331,FinalPayment!$D144:$F144,FinalPayment_NoReorg!$L$2:$L$331))+SUMPRODUCT(SUMIF(FinalPayment_NoReorg!$F$2:$F$331,FinalPayment!$D144:$F144,FinalPayment_NoReorg!$N$2:$N$331))</f>
        <v>264592</v>
      </c>
      <c r="I144" s="5">
        <f t="shared" si="18"/>
        <v>26459</v>
      </c>
      <c r="J144" s="5">
        <f t="shared" si="18"/>
        <v>26459</v>
      </c>
      <c r="K144" s="5">
        <f t="shared" si="18"/>
        <v>26459</v>
      </c>
      <c r="L144" s="5">
        <f t="shared" si="18"/>
        <v>26459</v>
      </c>
      <c r="M144" s="5">
        <f t="shared" si="19"/>
        <v>26459</v>
      </c>
      <c r="N144" s="5">
        <f t="shared" si="19"/>
        <v>26459</v>
      </c>
      <c r="O144" s="5">
        <f t="shared" si="19"/>
        <v>26459</v>
      </c>
      <c r="P144" s="5">
        <f t="shared" si="19"/>
        <v>26459</v>
      </c>
      <c r="Q144" s="5">
        <f t="shared" si="20"/>
        <v>26459</v>
      </c>
      <c r="R144" s="5">
        <f t="shared" si="21"/>
        <v>26461</v>
      </c>
      <c r="U144" s="8">
        <f t="shared" si="17"/>
        <v>0</v>
      </c>
      <c r="V144" s="8">
        <f>IFERROR(INDEX('Payment 1 through 9'!$A$1:$B$330,MATCH(CONCATENATE(FinalPayment!$F144,"0000"),'Payment 1 through 9'!$A$1:$A$330,0),2)*9,0)</f>
        <v>229932</v>
      </c>
      <c r="W144" s="8">
        <f>IFERROR(INDEX('FinalPayment 10'!$A$1:$B$330,MATCH(CONCATENATE(FinalPayment!$F144,"0000"),'FinalPayment 10'!$A$1:$A$330,0),2),0)</f>
        <v>25550</v>
      </c>
      <c r="X144" s="8">
        <f t="shared" si="22"/>
        <v>255482</v>
      </c>
      <c r="Y144" s="8">
        <f t="shared" si="23"/>
        <v>9110</v>
      </c>
    </row>
    <row r="145" spans="1:25" x14ac:dyDescent="0.55000000000000004">
      <c r="A145">
        <v>2021</v>
      </c>
      <c r="B145" t="s">
        <v>698</v>
      </c>
      <c r="C145" t="s">
        <v>530</v>
      </c>
      <c r="D145" t="s">
        <v>1207</v>
      </c>
      <c r="E145" t="s">
        <v>1207</v>
      </c>
      <c r="F145" t="s">
        <v>530</v>
      </c>
      <c r="G145" t="s">
        <v>153</v>
      </c>
      <c r="H145" s="5">
        <f>SUMPRODUCT(SUMIF(FinalPayment_NoReorg!$F$2:$F$331,FinalPayment!$D145:$F145,FinalPayment_NoReorg!$L$2:$L$331))+SUMPRODUCT(SUMIF(FinalPayment_NoReorg!$F$2:$F$331,FinalPayment!$D145:$F145,FinalPayment_NoReorg!$N$2:$N$331))</f>
        <v>11689</v>
      </c>
      <c r="I145" s="5">
        <f t="shared" si="18"/>
        <v>1169</v>
      </c>
      <c r="J145" s="5">
        <f t="shared" si="18"/>
        <v>1169</v>
      </c>
      <c r="K145" s="5">
        <f t="shared" si="18"/>
        <v>1169</v>
      </c>
      <c r="L145" s="5">
        <f t="shared" si="18"/>
        <v>1169</v>
      </c>
      <c r="M145" s="5">
        <f t="shared" si="19"/>
        <v>1169</v>
      </c>
      <c r="N145" s="5">
        <f t="shared" si="19"/>
        <v>1169</v>
      </c>
      <c r="O145" s="5">
        <f t="shared" si="19"/>
        <v>1169</v>
      </c>
      <c r="P145" s="5">
        <f t="shared" si="19"/>
        <v>1169</v>
      </c>
      <c r="Q145" s="5">
        <f t="shared" si="20"/>
        <v>1169</v>
      </c>
      <c r="R145" s="5">
        <f t="shared" si="21"/>
        <v>1168</v>
      </c>
      <c r="U145" s="8">
        <f t="shared" si="17"/>
        <v>0</v>
      </c>
      <c r="V145" s="8">
        <f>IFERROR(INDEX('Payment 1 through 9'!$A$1:$B$330,MATCH(CONCATENATE(FinalPayment!$F145,"0000"),'Payment 1 through 9'!$A$1:$A$330,0),2)*9,0)</f>
        <v>0</v>
      </c>
      <c r="W145" s="8">
        <f>IFERROR(INDEX('FinalPayment 10'!$A$1:$B$330,MATCH(CONCATENATE(FinalPayment!$F145,"0000"),'FinalPayment 10'!$A$1:$A$330,0),2),0)</f>
        <v>0</v>
      </c>
      <c r="X145" s="8">
        <f t="shared" si="22"/>
        <v>0</v>
      </c>
      <c r="Y145" s="8">
        <f t="shared" si="23"/>
        <v>11689</v>
      </c>
    </row>
    <row r="146" spans="1:25" x14ac:dyDescent="0.55000000000000004">
      <c r="A146">
        <v>2021</v>
      </c>
      <c r="B146" t="s">
        <v>689</v>
      </c>
      <c r="C146" t="s">
        <v>529</v>
      </c>
      <c r="D146" t="s">
        <v>1207</v>
      </c>
      <c r="E146" t="s">
        <v>1207</v>
      </c>
      <c r="F146" t="s">
        <v>529</v>
      </c>
      <c r="G146" t="s">
        <v>154</v>
      </c>
      <c r="H146" s="5">
        <f>SUMPRODUCT(SUMIF(FinalPayment_NoReorg!$F$2:$F$331,FinalPayment!$D146:$F146,FinalPayment_NoReorg!$L$2:$L$331))+SUMPRODUCT(SUMIF(FinalPayment_NoReorg!$F$2:$F$331,FinalPayment!$D146:$F146,FinalPayment_NoReorg!$N$2:$N$331))</f>
        <v>862</v>
      </c>
      <c r="I146" s="5">
        <f t="shared" si="18"/>
        <v>86</v>
      </c>
      <c r="J146" s="5">
        <f t="shared" si="18"/>
        <v>86</v>
      </c>
      <c r="K146" s="5">
        <f t="shared" si="18"/>
        <v>86</v>
      </c>
      <c r="L146" s="5">
        <f t="shared" si="18"/>
        <v>86</v>
      </c>
      <c r="M146" s="5">
        <f t="shared" si="19"/>
        <v>86</v>
      </c>
      <c r="N146" s="5">
        <f t="shared" si="19"/>
        <v>86</v>
      </c>
      <c r="O146" s="5">
        <f t="shared" si="19"/>
        <v>86</v>
      </c>
      <c r="P146" s="5">
        <f t="shared" si="19"/>
        <v>86</v>
      </c>
      <c r="Q146" s="5">
        <f t="shared" si="20"/>
        <v>86</v>
      </c>
      <c r="R146" s="5">
        <f t="shared" si="21"/>
        <v>88</v>
      </c>
      <c r="U146" s="8">
        <f t="shared" si="17"/>
        <v>0</v>
      </c>
      <c r="V146" s="8">
        <f>IFERROR(INDEX('Payment 1 through 9'!$A$1:$B$330,MATCH(CONCATENATE(FinalPayment!$F146,"0000"),'Payment 1 through 9'!$A$1:$A$330,0),2)*9,0)</f>
        <v>0</v>
      </c>
      <c r="W146" s="8">
        <f>IFERROR(INDEX('FinalPayment 10'!$A$1:$B$330,MATCH(CONCATENATE(FinalPayment!$F146,"0000"),'FinalPayment 10'!$A$1:$A$330,0),2),0)</f>
        <v>0</v>
      </c>
      <c r="X146" s="8">
        <f t="shared" si="22"/>
        <v>0</v>
      </c>
      <c r="Y146" s="8">
        <f t="shared" si="23"/>
        <v>862</v>
      </c>
    </row>
    <row r="147" spans="1:25" x14ac:dyDescent="0.55000000000000004">
      <c r="A147">
        <v>2021</v>
      </c>
      <c r="B147" t="s">
        <v>698</v>
      </c>
      <c r="C147" t="s">
        <v>528</v>
      </c>
      <c r="D147" t="s">
        <v>1207</v>
      </c>
      <c r="E147" t="s">
        <v>1207</v>
      </c>
      <c r="F147" t="s">
        <v>528</v>
      </c>
      <c r="G147" t="s">
        <v>155</v>
      </c>
      <c r="H147" s="5">
        <f>SUMPRODUCT(SUMIF(FinalPayment_NoReorg!$F$2:$F$331,FinalPayment!$D147:$F147,FinalPayment_NoReorg!$L$2:$L$331))+SUMPRODUCT(SUMIF(FinalPayment_NoReorg!$F$2:$F$331,FinalPayment!$D147:$F147,FinalPayment_NoReorg!$N$2:$N$331))</f>
        <v>450</v>
      </c>
      <c r="I147" s="5">
        <f t="shared" si="18"/>
        <v>45</v>
      </c>
      <c r="J147" s="5">
        <f t="shared" si="18"/>
        <v>45</v>
      </c>
      <c r="K147" s="5">
        <f t="shared" si="18"/>
        <v>45</v>
      </c>
      <c r="L147" s="5">
        <f t="shared" si="18"/>
        <v>45</v>
      </c>
      <c r="M147" s="5">
        <f t="shared" si="19"/>
        <v>45</v>
      </c>
      <c r="N147" s="5">
        <f t="shared" si="19"/>
        <v>45</v>
      </c>
      <c r="O147" s="5">
        <f t="shared" si="19"/>
        <v>45</v>
      </c>
      <c r="P147" s="5">
        <f t="shared" si="19"/>
        <v>45</v>
      </c>
      <c r="Q147" s="5">
        <f t="shared" si="20"/>
        <v>45</v>
      </c>
      <c r="R147" s="5">
        <f t="shared" si="21"/>
        <v>45</v>
      </c>
      <c r="U147" s="8">
        <f t="shared" si="17"/>
        <v>0</v>
      </c>
      <c r="V147" s="8">
        <f>IFERROR(INDEX('Payment 1 through 9'!$A$1:$B$330,MATCH(CONCATENATE(FinalPayment!$F147,"0000"),'Payment 1 through 9'!$A$1:$A$330,0),2)*9,0)</f>
        <v>0</v>
      </c>
      <c r="W147" s="8">
        <f>IFERROR(INDEX('FinalPayment 10'!$A$1:$B$330,MATCH(CONCATENATE(FinalPayment!$F147,"0000"),'FinalPayment 10'!$A$1:$A$330,0),2),0)</f>
        <v>0</v>
      </c>
      <c r="X147" s="8">
        <f t="shared" si="22"/>
        <v>0</v>
      </c>
      <c r="Y147" s="8">
        <f t="shared" si="23"/>
        <v>450</v>
      </c>
    </row>
    <row r="148" spans="1:25" x14ac:dyDescent="0.55000000000000004">
      <c r="A148">
        <v>2021</v>
      </c>
      <c r="B148" t="s">
        <v>689</v>
      </c>
      <c r="C148" t="s">
        <v>526</v>
      </c>
      <c r="D148" t="s">
        <v>1207</v>
      </c>
      <c r="E148" t="s">
        <v>1207</v>
      </c>
      <c r="F148" t="s">
        <v>526</v>
      </c>
      <c r="G148" t="s">
        <v>1221</v>
      </c>
      <c r="H148" s="5">
        <f>SUMPRODUCT(SUMIF(FinalPayment_NoReorg!$F$2:$F$331,FinalPayment!$D148:$F148,FinalPayment_NoReorg!$L$2:$L$331))+SUMPRODUCT(SUMIF(FinalPayment_NoReorg!$F$2:$F$331,FinalPayment!$D148:$F148,FinalPayment_NoReorg!$N$2:$N$331))</f>
        <v>354</v>
      </c>
      <c r="I148" s="5">
        <f t="shared" si="18"/>
        <v>35</v>
      </c>
      <c r="J148" s="5">
        <f t="shared" si="18"/>
        <v>35</v>
      </c>
      <c r="K148" s="5">
        <f t="shared" si="18"/>
        <v>35</v>
      </c>
      <c r="L148" s="5">
        <f t="shared" si="18"/>
        <v>35</v>
      </c>
      <c r="M148" s="5">
        <f t="shared" si="19"/>
        <v>35</v>
      </c>
      <c r="N148" s="5">
        <f t="shared" si="19"/>
        <v>35</v>
      </c>
      <c r="O148" s="5">
        <f t="shared" si="19"/>
        <v>35</v>
      </c>
      <c r="P148" s="5">
        <f t="shared" si="19"/>
        <v>35</v>
      </c>
      <c r="Q148" s="5">
        <f t="shared" si="20"/>
        <v>35</v>
      </c>
      <c r="R148" s="5">
        <f t="shared" si="21"/>
        <v>39</v>
      </c>
      <c r="U148" s="8">
        <f t="shared" si="17"/>
        <v>0</v>
      </c>
      <c r="V148" s="8">
        <f>IFERROR(INDEX('Payment 1 through 9'!$A$1:$B$330,MATCH(CONCATENATE(FinalPayment!$F148,"0000"),'Payment 1 through 9'!$A$1:$A$330,0),2)*9,0)</f>
        <v>0</v>
      </c>
      <c r="W148" s="8">
        <f>IFERROR(INDEX('FinalPayment 10'!$A$1:$B$330,MATCH(CONCATENATE(FinalPayment!$F148,"0000"),'FinalPayment 10'!$A$1:$A$330,0),2),0)</f>
        <v>0</v>
      </c>
      <c r="X148" s="8">
        <f t="shared" si="22"/>
        <v>0</v>
      </c>
      <c r="Y148" s="8">
        <f t="shared" si="23"/>
        <v>354</v>
      </c>
    </row>
    <row r="149" spans="1:25" x14ac:dyDescent="0.55000000000000004">
      <c r="A149">
        <v>2021</v>
      </c>
      <c r="B149" t="s">
        <v>689</v>
      </c>
      <c r="C149" t="s">
        <v>524</v>
      </c>
      <c r="D149" t="s">
        <v>1207</v>
      </c>
      <c r="E149" t="s">
        <v>1207</v>
      </c>
      <c r="F149" t="s">
        <v>524</v>
      </c>
      <c r="G149" t="s">
        <v>157</v>
      </c>
      <c r="H149" s="5">
        <f>SUMPRODUCT(SUMIF(FinalPayment_NoReorg!$F$2:$F$331,FinalPayment!$D149:$F149,FinalPayment_NoReorg!$L$2:$L$331))+SUMPRODUCT(SUMIF(FinalPayment_NoReorg!$F$2:$F$331,FinalPayment!$D149:$F149,FinalPayment_NoReorg!$N$2:$N$331))</f>
        <v>752</v>
      </c>
      <c r="I149" s="5">
        <f t="shared" si="18"/>
        <v>75</v>
      </c>
      <c r="J149" s="5">
        <f t="shared" si="18"/>
        <v>75</v>
      </c>
      <c r="K149" s="5">
        <f t="shared" si="18"/>
        <v>75</v>
      </c>
      <c r="L149" s="5">
        <f t="shared" si="18"/>
        <v>75</v>
      </c>
      <c r="M149" s="5">
        <f t="shared" si="19"/>
        <v>75</v>
      </c>
      <c r="N149" s="5">
        <f t="shared" si="19"/>
        <v>75</v>
      </c>
      <c r="O149" s="5">
        <f t="shared" si="19"/>
        <v>75</v>
      </c>
      <c r="P149" s="5">
        <f t="shared" si="19"/>
        <v>75</v>
      </c>
      <c r="Q149" s="5">
        <f t="shared" si="20"/>
        <v>75</v>
      </c>
      <c r="R149" s="5">
        <f t="shared" si="21"/>
        <v>77</v>
      </c>
      <c r="U149" s="8">
        <f t="shared" si="17"/>
        <v>0</v>
      </c>
      <c r="V149" s="8">
        <f>IFERROR(INDEX('Payment 1 through 9'!$A$1:$B$330,MATCH(CONCATENATE(FinalPayment!$F149,"0000"),'Payment 1 through 9'!$A$1:$A$330,0),2)*9,0)</f>
        <v>0</v>
      </c>
      <c r="W149" s="8">
        <f>IFERROR(INDEX('FinalPayment 10'!$A$1:$B$330,MATCH(CONCATENATE(FinalPayment!$F149,"0000"),'FinalPayment 10'!$A$1:$A$330,0),2),0)</f>
        <v>0</v>
      </c>
      <c r="X149" s="8">
        <f t="shared" si="22"/>
        <v>0</v>
      </c>
      <c r="Y149" s="8">
        <f t="shared" si="23"/>
        <v>752</v>
      </c>
    </row>
    <row r="150" spans="1:25" x14ac:dyDescent="0.55000000000000004">
      <c r="A150">
        <v>2021</v>
      </c>
      <c r="B150" t="s">
        <v>686</v>
      </c>
      <c r="C150" t="s">
        <v>523</v>
      </c>
      <c r="D150" t="s">
        <v>1207</v>
      </c>
      <c r="E150" t="s">
        <v>1207</v>
      </c>
      <c r="F150" t="s">
        <v>523</v>
      </c>
      <c r="G150" t="s">
        <v>158</v>
      </c>
      <c r="H150" s="5">
        <f>SUMPRODUCT(SUMIF(FinalPayment_NoReorg!$F$2:$F$331,FinalPayment!$D150:$F150,FinalPayment_NoReorg!$L$2:$L$331))+SUMPRODUCT(SUMIF(FinalPayment_NoReorg!$F$2:$F$331,FinalPayment!$D150:$F150,FinalPayment_NoReorg!$N$2:$N$331))</f>
        <v>369596</v>
      </c>
      <c r="I150" s="5">
        <f t="shared" si="18"/>
        <v>36960</v>
      </c>
      <c r="J150" s="5">
        <f t="shared" si="18"/>
        <v>36960</v>
      </c>
      <c r="K150" s="5">
        <f t="shared" si="18"/>
        <v>36960</v>
      </c>
      <c r="L150" s="5">
        <f t="shared" si="18"/>
        <v>36960</v>
      </c>
      <c r="M150" s="5">
        <f t="shared" si="19"/>
        <v>36960</v>
      </c>
      <c r="N150" s="5">
        <f t="shared" si="19"/>
        <v>36960</v>
      </c>
      <c r="O150" s="5">
        <f t="shared" si="19"/>
        <v>36960</v>
      </c>
      <c r="P150" s="5">
        <f t="shared" si="19"/>
        <v>36960</v>
      </c>
      <c r="Q150" s="5">
        <f t="shared" si="20"/>
        <v>36960</v>
      </c>
      <c r="R150" s="5">
        <f t="shared" si="21"/>
        <v>36956</v>
      </c>
      <c r="U150" s="8">
        <f t="shared" si="17"/>
        <v>0</v>
      </c>
      <c r="V150" s="8">
        <f>IFERROR(INDEX('Payment 1 through 9'!$A$1:$B$330,MATCH(CONCATENATE(FinalPayment!$F150,"0000"),'Payment 1 through 9'!$A$1:$A$330,0),2)*9,0)</f>
        <v>265419</v>
      </c>
      <c r="W150" s="8">
        <f>IFERROR(INDEX('FinalPayment 10'!$A$1:$B$330,MATCH(CONCATENATE(FinalPayment!$F150,"0000"),'FinalPayment 10'!$A$1:$A$330,0),2),0)</f>
        <v>29494</v>
      </c>
      <c r="X150" s="8">
        <f t="shared" si="22"/>
        <v>294913</v>
      </c>
      <c r="Y150" s="8">
        <f t="shared" si="23"/>
        <v>74683</v>
      </c>
    </row>
    <row r="151" spans="1:25" x14ac:dyDescent="0.55000000000000004">
      <c r="A151">
        <v>2021</v>
      </c>
      <c r="B151" t="s">
        <v>696</v>
      </c>
      <c r="C151" t="s">
        <v>522</v>
      </c>
      <c r="D151" t="s">
        <v>1207</v>
      </c>
      <c r="E151" t="s">
        <v>1207</v>
      </c>
      <c r="F151" t="s">
        <v>522</v>
      </c>
      <c r="G151" t="s">
        <v>159</v>
      </c>
      <c r="H151" s="5">
        <f>SUMPRODUCT(SUMIF(FinalPayment_NoReorg!$F$2:$F$331,FinalPayment!$D151:$F151,FinalPayment_NoReorg!$L$2:$L$331))+SUMPRODUCT(SUMIF(FinalPayment_NoReorg!$F$2:$F$331,FinalPayment!$D151:$F151,FinalPayment_NoReorg!$N$2:$N$331))</f>
        <v>1534</v>
      </c>
      <c r="I151" s="5">
        <f t="shared" si="18"/>
        <v>153</v>
      </c>
      <c r="J151" s="5">
        <f t="shared" si="18"/>
        <v>153</v>
      </c>
      <c r="K151" s="5">
        <f t="shared" si="18"/>
        <v>153</v>
      </c>
      <c r="L151" s="5">
        <f t="shared" si="18"/>
        <v>153</v>
      </c>
      <c r="M151" s="5">
        <f t="shared" si="19"/>
        <v>153</v>
      </c>
      <c r="N151" s="5">
        <f t="shared" si="19"/>
        <v>153</v>
      </c>
      <c r="O151" s="5">
        <f t="shared" si="19"/>
        <v>153</v>
      </c>
      <c r="P151" s="5">
        <f t="shared" si="19"/>
        <v>153</v>
      </c>
      <c r="Q151" s="5">
        <f t="shared" si="20"/>
        <v>153</v>
      </c>
      <c r="R151" s="5">
        <f t="shared" si="21"/>
        <v>157</v>
      </c>
      <c r="U151" s="8">
        <f t="shared" si="17"/>
        <v>0</v>
      </c>
      <c r="V151" s="8">
        <f>IFERROR(INDEX('Payment 1 through 9'!$A$1:$B$330,MATCH(CONCATENATE(FinalPayment!$F151,"0000"),'Payment 1 through 9'!$A$1:$A$330,0),2)*9,0)</f>
        <v>0</v>
      </c>
      <c r="W151" s="8">
        <f>IFERROR(INDEX('FinalPayment 10'!$A$1:$B$330,MATCH(CONCATENATE(FinalPayment!$F151,"0000"),'FinalPayment 10'!$A$1:$A$330,0),2),0)</f>
        <v>0</v>
      </c>
      <c r="X151" s="8">
        <f t="shared" si="22"/>
        <v>0</v>
      </c>
      <c r="Y151" s="8">
        <f t="shared" si="23"/>
        <v>1534</v>
      </c>
    </row>
    <row r="152" spans="1:25" x14ac:dyDescent="0.55000000000000004">
      <c r="A152">
        <v>2021</v>
      </c>
      <c r="B152" t="s">
        <v>696</v>
      </c>
      <c r="C152" t="s">
        <v>521</v>
      </c>
      <c r="D152" t="s">
        <v>1207</v>
      </c>
      <c r="E152" t="s">
        <v>1207</v>
      </c>
      <c r="F152" t="s">
        <v>521</v>
      </c>
      <c r="G152" t="s">
        <v>160</v>
      </c>
      <c r="H152" s="5">
        <f>SUMPRODUCT(SUMIF(FinalPayment_NoReorg!$F$2:$F$331,FinalPayment!$D152:$F152,FinalPayment_NoReorg!$L$2:$L$331))+SUMPRODUCT(SUMIF(FinalPayment_NoReorg!$F$2:$F$331,FinalPayment!$D152:$F152,FinalPayment_NoReorg!$N$2:$N$331))</f>
        <v>80778</v>
      </c>
      <c r="I152" s="5">
        <f t="shared" si="18"/>
        <v>8078</v>
      </c>
      <c r="J152" s="5">
        <f t="shared" si="18"/>
        <v>8078</v>
      </c>
      <c r="K152" s="5">
        <f t="shared" si="18"/>
        <v>8078</v>
      </c>
      <c r="L152" s="5">
        <f t="shared" si="18"/>
        <v>8078</v>
      </c>
      <c r="M152" s="5">
        <f t="shared" si="19"/>
        <v>8078</v>
      </c>
      <c r="N152" s="5">
        <f t="shared" si="19"/>
        <v>8078</v>
      </c>
      <c r="O152" s="5">
        <f t="shared" si="19"/>
        <v>8078</v>
      </c>
      <c r="P152" s="5">
        <f t="shared" si="19"/>
        <v>8078</v>
      </c>
      <c r="Q152" s="5">
        <f t="shared" si="20"/>
        <v>8078</v>
      </c>
      <c r="R152" s="5">
        <f t="shared" si="21"/>
        <v>8076</v>
      </c>
      <c r="U152" s="8">
        <f t="shared" si="17"/>
        <v>0</v>
      </c>
      <c r="V152" s="8">
        <f>IFERROR(INDEX('Payment 1 through 9'!$A$1:$B$330,MATCH(CONCATENATE(FinalPayment!$F152,"0000"),'Payment 1 through 9'!$A$1:$A$330,0),2)*9,0)</f>
        <v>69534</v>
      </c>
      <c r="W152" s="8">
        <f>IFERROR(INDEX('FinalPayment 10'!$A$1:$B$330,MATCH(CONCATENATE(FinalPayment!$F152,"0000"),'FinalPayment 10'!$A$1:$A$330,0),2),0)</f>
        <v>7724</v>
      </c>
      <c r="X152" s="8">
        <f t="shared" si="22"/>
        <v>77258</v>
      </c>
      <c r="Y152" s="8">
        <f t="shared" si="23"/>
        <v>3520</v>
      </c>
    </row>
    <row r="153" spans="1:25" x14ac:dyDescent="0.55000000000000004">
      <c r="A153">
        <v>2021</v>
      </c>
      <c r="B153" t="s">
        <v>692</v>
      </c>
      <c r="C153" t="s">
        <v>520</v>
      </c>
      <c r="D153" t="s">
        <v>1207</v>
      </c>
      <c r="E153" t="s">
        <v>1207</v>
      </c>
      <c r="F153" t="s">
        <v>520</v>
      </c>
      <c r="G153" t="s">
        <v>161</v>
      </c>
      <c r="H153" s="5">
        <f>SUMPRODUCT(SUMIF(FinalPayment_NoReorg!$F$2:$F$331,FinalPayment!$D153:$F153,FinalPayment_NoReorg!$L$2:$L$331))+SUMPRODUCT(SUMIF(FinalPayment_NoReorg!$F$2:$F$331,FinalPayment!$D153:$F153,FinalPayment_NoReorg!$N$2:$N$331))</f>
        <v>360</v>
      </c>
      <c r="I153" s="5">
        <f t="shared" si="18"/>
        <v>36</v>
      </c>
      <c r="J153" s="5">
        <f t="shared" si="18"/>
        <v>36</v>
      </c>
      <c r="K153" s="5">
        <f t="shared" si="18"/>
        <v>36</v>
      </c>
      <c r="L153" s="5">
        <f t="shared" si="18"/>
        <v>36</v>
      </c>
      <c r="M153" s="5">
        <f t="shared" si="19"/>
        <v>36</v>
      </c>
      <c r="N153" s="5">
        <f t="shared" si="19"/>
        <v>36</v>
      </c>
      <c r="O153" s="5">
        <f t="shared" si="19"/>
        <v>36</v>
      </c>
      <c r="P153" s="5">
        <f t="shared" si="19"/>
        <v>36</v>
      </c>
      <c r="Q153" s="5">
        <f t="shared" si="20"/>
        <v>36</v>
      </c>
      <c r="R153" s="5">
        <f t="shared" si="21"/>
        <v>36</v>
      </c>
      <c r="U153" s="8">
        <f t="shared" si="17"/>
        <v>0</v>
      </c>
      <c r="V153" s="8">
        <f>IFERROR(INDEX('Payment 1 through 9'!$A$1:$B$330,MATCH(CONCATENATE(FinalPayment!$F153,"0000"),'Payment 1 through 9'!$A$1:$A$330,0),2)*9,0)</f>
        <v>0</v>
      </c>
      <c r="W153" s="8">
        <f>IFERROR(INDEX('FinalPayment 10'!$A$1:$B$330,MATCH(CONCATENATE(FinalPayment!$F153,"0000"),'FinalPayment 10'!$A$1:$A$330,0),2),0)</f>
        <v>0</v>
      </c>
      <c r="X153" s="8">
        <f t="shared" si="22"/>
        <v>0</v>
      </c>
      <c r="Y153" s="8">
        <f t="shared" si="23"/>
        <v>360</v>
      </c>
    </row>
    <row r="154" spans="1:25" x14ac:dyDescent="0.55000000000000004">
      <c r="A154">
        <v>2021</v>
      </c>
      <c r="B154" t="s">
        <v>686</v>
      </c>
      <c r="C154" t="s">
        <v>519</v>
      </c>
      <c r="D154" t="s">
        <v>1207</v>
      </c>
      <c r="E154" t="s">
        <v>1207</v>
      </c>
      <c r="F154" t="s">
        <v>519</v>
      </c>
      <c r="G154" t="s">
        <v>162</v>
      </c>
      <c r="H154" s="5">
        <f>SUMPRODUCT(SUMIF(FinalPayment_NoReorg!$F$2:$F$331,FinalPayment!$D154:$F154,FinalPayment_NoReorg!$L$2:$L$331))+SUMPRODUCT(SUMIF(FinalPayment_NoReorg!$F$2:$F$331,FinalPayment!$D154:$F154,FinalPayment_NoReorg!$N$2:$N$331))</f>
        <v>1439</v>
      </c>
      <c r="I154" s="5">
        <f t="shared" si="18"/>
        <v>144</v>
      </c>
      <c r="J154" s="5">
        <f t="shared" si="18"/>
        <v>144</v>
      </c>
      <c r="K154" s="5">
        <f t="shared" si="18"/>
        <v>144</v>
      </c>
      <c r="L154" s="5">
        <f t="shared" si="18"/>
        <v>144</v>
      </c>
      <c r="M154" s="5">
        <f t="shared" si="19"/>
        <v>144</v>
      </c>
      <c r="N154" s="5">
        <f t="shared" si="19"/>
        <v>144</v>
      </c>
      <c r="O154" s="5">
        <f t="shared" si="19"/>
        <v>144</v>
      </c>
      <c r="P154" s="5">
        <f t="shared" si="19"/>
        <v>144</v>
      </c>
      <c r="Q154" s="5">
        <f t="shared" si="20"/>
        <v>144</v>
      </c>
      <c r="R154" s="5">
        <f t="shared" si="21"/>
        <v>143</v>
      </c>
      <c r="U154" s="8">
        <f t="shared" si="17"/>
        <v>0</v>
      </c>
      <c r="V154" s="8">
        <f>IFERROR(INDEX('Payment 1 through 9'!$A$1:$B$330,MATCH(CONCATENATE(FinalPayment!$F154,"0000"),'Payment 1 through 9'!$A$1:$A$330,0),2)*9,0)</f>
        <v>0</v>
      </c>
      <c r="W154" s="8">
        <f>IFERROR(INDEX('FinalPayment 10'!$A$1:$B$330,MATCH(CONCATENATE(FinalPayment!$F154,"0000"),'FinalPayment 10'!$A$1:$A$330,0),2),0)</f>
        <v>0</v>
      </c>
      <c r="X154" s="8">
        <f t="shared" si="22"/>
        <v>0</v>
      </c>
      <c r="Y154" s="8">
        <f t="shared" si="23"/>
        <v>1439</v>
      </c>
    </row>
    <row r="155" spans="1:25" x14ac:dyDescent="0.55000000000000004">
      <c r="A155">
        <v>2021</v>
      </c>
      <c r="B155" t="s">
        <v>689</v>
      </c>
      <c r="C155" t="s">
        <v>518</v>
      </c>
      <c r="D155" t="s">
        <v>1207</v>
      </c>
      <c r="E155" t="s">
        <v>1207</v>
      </c>
      <c r="F155" t="s">
        <v>518</v>
      </c>
      <c r="G155" t="s">
        <v>163</v>
      </c>
      <c r="H155" s="5">
        <f>SUMPRODUCT(SUMIF(FinalPayment_NoReorg!$F$2:$F$331,FinalPayment!$D155:$F155,FinalPayment_NoReorg!$L$2:$L$331))+SUMPRODUCT(SUMIF(FinalPayment_NoReorg!$F$2:$F$331,FinalPayment!$D155:$F155,FinalPayment_NoReorg!$N$2:$N$331))</f>
        <v>137249</v>
      </c>
      <c r="I155" s="5">
        <f t="shared" si="18"/>
        <v>13725</v>
      </c>
      <c r="J155" s="5">
        <f t="shared" si="18"/>
        <v>13725</v>
      </c>
      <c r="K155" s="5">
        <f t="shared" si="18"/>
        <v>13725</v>
      </c>
      <c r="L155" s="5">
        <f t="shared" si="18"/>
        <v>13725</v>
      </c>
      <c r="M155" s="5">
        <f t="shared" si="19"/>
        <v>13725</v>
      </c>
      <c r="N155" s="5">
        <f t="shared" si="19"/>
        <v>13725</v>
      </c>
      <c r="O155" s="5">
        <f t="shared" si="19"/>
        <v>13725</v>
      </c>
      <c r="P155" s="5">
        <f t="shared" si="19"/>
        <v>13725</v>
      </c>
      <c r="Q155" s="5">
        <f t="shared" si="20"/>
        <v>13725</v>
      </c>
      <c r="R155" s="5">
        <f t="shared" si="21"/>
        <v>13724</v>
      </c>
      <c r="U155" s="8">
        <f t="shared" si="17"/>
        <v>0</v>
      </c>
      <c r="V155" s="8">
        <f>IFERROR(INDEX('Payment 1 through 9'!$A$1:$B$330,MATCH(CONCATENATE(FinalPayment!$F155,"0000"),'Payment 1 through 9'!$A$1:$A$330,0),2)*9,0)</f>
        <v>117855</v>
      </c>
      <c r="W155" s="8">
        <f>IFERROR(INDEX('FinalPayment 10'!$A$1:$B$330,MATCH(CONCATENATE(FinalPayment!$F155,"0000"),'FinalPayment 10'!$A$1:$A$330,0),2),0)</f>
        <v>13090</v>
      </c>
      <c r="X155" s="8">
        <f t="shared" si="22"/>
        <v>130945</v>
      </c>
      <c r="Y155" s="8">
        <f t="shared" si="23"/>
        <v>6304</v>
      </c>
    </row>
    <row r="156" spans="1:25" x14ac:dyDescent="0.55000000000000004">
      <c r="A156">
        <v>2021</v>
      </c>
      <c r="B156" t="s">
        <v>690</v>
      </c>
      <c r="C156" t="s">
        <v>517</v>
      </c>
      <c r="D156" t="s">
        <v>1207</v>
      </c>
      <c r="E156" t="s">
        <v>1207</v>
      </c>
      <c r="F156" t="s">
        <v>517</v>
      </c>
      <c r="G156" t="s">
        <v>164</v>
      </c>
      <c r="H156" s="5">
        <f>SUMPRODUCT(SUMIF(FinalPayment_NoReorg!$F$2:$F$331,FinalPayment!$D156:$F156,FinalPayment_NoReorg!$L$2:$L$331))+SUMPRODUCT(SUMIF(FinalPayment_NoReorg!$F$2:$F$331,FinalPayment!$D156:$F156,FinalPayment_NoReorg!$N$2:$N$331))</f>
        <v>48191</v>
      </c>
      <c r="I156" s="5">
        <f t="shared" si="18"/>
        <v>4819</v>
      </c>
      <c r="J156" s="5">
        <f t="shared" si="18"/>
        <v>4819</v>
      </c>
      <c r="K156" s="5">
        <f t="shared" si="18"/>
        <v>4819</v>
      </c>
      <c r="L156" s="5">
        <f t="shared" si="18"/>
        <v>4819</v>
      </c>
      <c r="M156" s="5">
        <f t="shared" si="19"/>
        <v>4819</v>
      </c>
      <c r="N156" s="5">
        <f t="shared" si="19"/>
        <v>4819</v>
      </c>
      <c r="O156" s="5">
        <f t="shared" si="19"/>
        <v>4819</v>
      </c>
      <c r="P156" s="5">
        <f t="shared" si="19"/>
        <v>4819</v>
      </c>
      <c r="Q156" s="5">
        <f t="shared" si="20"/>
        <v>4819</v>
      </c>
      <c r="R156" s="5">
        <f t="shared" si="21"/>
        <v>4820</v>
      </c>
      <c r="U156" s="8">
        <f t="shared" si="17"/>
        <v>0</v>
      </c>
      <c r="V156" s="8">
        <f>IFERROR(INDEX('Payment 1 through 9'!$A$1:$B$330,MATCH(CONCATENATE(FinalPayment!$F156,"0000"),'Payment 1 through 9'!$A$1:$A$330,0),2)*9,0)</f>
        <v>40383</v>
      </c>
      <c r="W156" s="8">
        <f>IFERROR(INDEX('FinalPayment 10'!$A$1:$B$330,MATCH(CONCATENATE(FinalPayment!$F156,"0000"),'FinalPayment 10'!$A$1:$A$330,0),2),0)</f>
        <v>4484</v>
      </c>
      <c r="X156" s="8">
        <f t="shared" si="22"/>
        <v>44867</v>
      </c>
      <c r="Y156" s="8">
        <f t="shared" si="23"/>
        <v>3324</v>
      </c>
    </row>
    <row r="157" spans="1:25" x14ac:dyDescent="0.55000000000000004">
      <c r="A157">
        <v>2021</v>
      </c>
      <c r="B157" t="s">
        <v>694</v>
      </c>
      <c r="C157" t="s">
        <v>516</v>
      </c>
      <c r="D157" t="s">
        <v>1207</v>
      </c>
      <c r="E157" t="s">
        <v>1207</v>
      </c>
      <c r="F157" t="s">
        <v>516</v>
      </c>
      <c r="G157" t="s">
        <v>165</v>
      </c>
      <c r="H157" s="5">
        <f>SUMPRODUCT(SUMIF(FinalPayment_NoReorg!$F$2:$F$331,FinalPayment!$D157:$F157,FinalPayment_NoReorg!$L$2:$L$331))+SUMPRODUCT(SUMIF(FinalPayment_NoReorg!$F$2:$F$331,FinalPayment!$D157:$F157,FinalPayment_NoReorg!$N$2:$N$331))</f>
        <v>209</v>
      </c>
      <c r="I157" s="5">
        <f t="shared" si="18"/>
        <v>21</v>
      </c>
      <c r="J157" s="5">
        <f t="shared" si="18"/>
        <v>21</v>
      </c>
      <c r="K157" s="5">
        <f t="shared" si="18"/>
        <v>21</v>
      </c>
      <c r="L157" s="5">
        <f t="shared" si="18"/>
        <v>21</v>
      </c>
      <c r="M157" s="5">
        <f t="shared" si="19"/>
        <v>21</v>
      </c>
      <c r="N157" s="5">
        <f t="shared" si="19"/>
        <v>21</v>
      </c>
      <c r="O157" s="5">
        <f t="shared" si="19"/>
        <v>21</v>
      </c>
      <c r="P157" s="5">
        <f t="shared" si="19"/>
        <v>21</v>
      </c>
      <c r="Q157" s="5">
        <f t="shared" si="20"/>
        <v>21</v>
      </c>
      <c r="R157" s="5">
        <f t="shared" si="21"/>
        <v>20</v>
      </c>
      <c r="U157" s="8">
        <f t="shared" si="17"/>
        <v>0</v>
      </c>
      <c r="V157" s="8">
        <f>IFERROR(INDEX('Payment 1 through 9'!$A$1:$B$330,MATCH(CONCATENATE(FinalPayment!$F157,"0000"),'Payment 1 through 9'!$A$1:$A$330,0),2)*9,0)</f>
        <v>0</v>
      </c>
      <c r="W157" s="8">
        <f>IFERROR(INDEX('FinalPayment 10'!$A$1:$B$330,MATCH(CONCATENATE(FinalPayment!$F157,"0000"),'FinalPayment 10'!$A$1:$A$330,0),2),0)</f>
        <v>0</v>
      </c>
      <c r="X157" s="8">
        <f t="shared" si="22"/>
        <v>0</v>
      </c>
      <c r="Y157" s="8">
        <f t="shared" si="23"/>
        <v>209</v>
      </c>
    </row>
    <row r="158" spans="1:25" x14ac:dyDescent="0.55000000000000004">
      <c r="A158">
        <v>2021</v>
      </c>
      <c r="B158" t="s">
        <v>692</v>
      </c>
      <c r="C158" t="s">
        <v>515</v>
      </c>
      <c r="D158" t="s">
        <v>1207</v>
      </c>
      <c r="E158" t="s">
        <v>1207</v>
      </c>
      <c r="F158" t="s">
        <v>515</v>
      </c>
      <c r="G158" t="s">
        <v>166</v>
      </c>
      <c r="H158" s="5">
        <f>SUMPRODUCT(SUMIF(FinalPayment_NoReorg!$F$2:$F$331,FinalPayment!$D158:$F158,FinalPayment_NoReorg!$L$2:$L$331))+SUMPRODUCT(SUMIF(FinalPayment_NoReorg!$F$2:$F$331,FinalPayment!$D158:$F158,FinalPayment_NoReorg!$N$2:$N$331))</f>
        <v>177593</v>
      </c>
      <c r="I158" s="5">
        <f t="shared" si="18"/>
        <v>17759</v>
      </c>
      <c r="J158" s="5">
        <f t="shared" si="18"/>
        <v>17759</v>
      </c>
      <c r="K158" s="5">
        <f t="shared" si="18"/>
        <v>17759</v>
      </c>
      <c r="L158" s="5">
        <f t="shared" si="18"/>
        <v>17759</v>
      </c>
      <c r="M158" s="5">
        <f t="shared" si="19"/>
        <v>17759</v>
      </c>
      <c r="N158" s="5">
        <f t="shared" si="19"/>
        <v>17759</v>
      </c>
      <c r="O158" s="5">
        <f t="shared" si="19"/>
        <v>17759</v>
      </c>
      <c r="P158" s="5">
        <f t="shared" si="19"/>
        <v>17759</v>
      </c>
      <c r="Q158" s="5">
        <f t="shared" si="20"/>
        <v>17759</v>
      </c>
      <c r="R158" s="5">
        <f t="shared" si="21"/>
        <v>17762</v>
      </c>
      <c r="U158" s="8">
        <f t="shared" si="17"/>
        <v>0</v>
      </c>
      <c r="V158" s="8">
        <f>IFERROR(INDEX('Payment 1 through 9'!$A$1:$B$330,MATCH(CONCATENATE(FinalPayment!$F158,"0000"),'Payment 1 through 9'!$A$1:$A$330,0),2)*9,0)</f>
        <v>153972</v>
      </c>
      <c r="W158" s="8">
        <f>IFERROR(INDEX('FinalPayment 10'!$A$1:$B$330,MATCH(CONCATENATE(FinalPayment!$F158,"0000"),'FinalPayment 10'!$A$1:$A$330,0),2),0)</f>
        <v>17110</v>
      </c>
      <c r="X158" s="8">
        <f t="shared" si="22"/>
        <v>171082</v>
      </c>
      <c r="Y158" s="8">
        <f t="shared" si="23"/>
        <v>6511</v>
      </c>
    </row>
    <row r="159" spans="1:25" x14ac:dyDescent="0.55000000000000004">
      <c r="A159">
        <v>2021</v>
      </c>
      <c r="B159" t="s">
        <v>692</v>
      </c>
      <c r="C159" t="s">
        <v>514</v>
      </c>
      <c r="D159" t="s">
        <v>1207</v>
      </c>
      <c r="E159" t="s">
        <v>1207</v>
      </c>
      <c r="F159" t="s">
        <v>514</v>
      </c>
      <c r="G159" t="s">
        <v>167</v>
      </c>
      <c r="H159" s="5">
        <f>SUMPRODUCT(SUMIF(FinalPayment_NoReorg!$F$2:$F$331,FinalPayment!$D159:$F159,FinalPayment_NoReorg!$L$2:$L$331))+SUMPRODUCT(SUMIF(FinalPayment_NoReorg!$F$2:$F$331,FinalPayment!$D159:$F159,FinalPayment_NoReorg!$N$2:$N$331))</f>
        <v>1845</v>
      </c>
      <c r="I159" s="5">
        <f t="shared" si="18"/>
        <v>185</v>
      </c>
      <c r="J159" s="5">
        <f t="shared" si="18"/>
        <v>185</v>
      </c>
      <c r="K159" s="5">
        <f t="shared" si="18"/>
        <v>185</v>
      </c>
      <c r="L159" s="5">
        <f t="shared" si="18"/>
        <v>185</v>
      </c>
      <c r="M159" s="5">
        <f t="shared" si="19"/>
        <v>185</v>
      </c>
      <c r="N159" s="5">
        <f t="shared" si="19"/>
        <v>185</v>
      </c>
      <c r="O159" s="5">
        <f t="shared" si="19"/>
        <v>185</v>
      </c>
      <c r="P159" s="5">
        <f t="shared" si="19"/>
        <v>185</v>
      </c>
      <c r="Q159" s="5">
        <f t="shared" si="20"/>
        <v>185</v>
      </c>
      <c r="R159" s="5">
        <f t="shared" si="21"/>
        <v>180</v>
      </c>
      <c r="U159" s="8">
        <f t="shared" si="17"/>
        <v>0</v>
      </c>
      <c r="V159" s="8">
        <f>IFERROR(INDEX('Payment 1 through 9'!$A$1:$B$330,MATCH(CONCATENATE(FinalPayment!$F159,"0000"),'Payment 1 through 9'!$A$1:$A$330,0),2)*9,0)</f>
        <v>0</v>
      </c>
      <c r="W159" s="8">
        <f>IFERROR(INDEX('FinalPayment 10'!$A$1:$B$330,MATCH(CONCATENATE(FinalPayment!$F159,"0000"),'FinalPayment 10'!$A$1:$A$330,0),2),0)</f>
        <v>0</v>
      </c>
      <c r="X159" s="8">
        <f t="shared" si="22"/>
        <v>0</v>
      </c>
      <c r="Y159" s="8">
        <f t="shared" si="23"/>
        <v>1845</v>
      </c>
    </row>
    <row r="160" spans="1:25" x14ac:dyDescent="0.55000000000000004">
      <c r="A160">
        <v>2021</v>
      </c>
      <c r="B160" t="s">
        <v>690</v>
      </c>
      <c r="C160" t="s">
        <v>513</v>
      </c>
      <c r="D160" t="s">
        <v>1207</v>
      </c>
      <c r="E160" t="s">
        <v>1207</v>
      </c>
      <c r="F160" t="s">
        <v>513</v>
      </c>
      <c r="G160" t="s">
        <v>168</v>
      </c>
      <c r="H160" s="5">
        <f>SUMPRODUCT(SUMIF(FinalPayment_NoReorg!$F$2:$F$331,FinalPayment!$D160:$F160,FinalPayment_NoReorg!$L$2:$L$331))+SUMPRODUCT(SUMIF(FinalPayment_NoReorg!$F$2:$F$331,FinalPayment!$D160:$F160,FinalPayment_NoReorg!$N$2:$N$331))</f>
        <v>366</v>
      </c>
      <c r="I160" s="5">
        <f t="shared" si="18"/>
        <v>37</v>
      </c>
      <c r="J160" s="5">
        <f t="shared" si="18"/>
        <v>37</v>
      </c>
      <c r="K160" s="5">
        <f t="shared" si="18"/>
        <v>37</v>
      </c>
      <c r="L160" s="5">
        <f t="shared" si="18"/>
        <v>37</v>
      </c>
      <c r="M160" s="5">
        <f t="shared" si="19"/>
        <v>37</v>
      </c>
      <c r="N160" s="5">
        <f t="shared" si="19"/>
        <v>37</v>
      </c>
      <c r="O160" s="5">
        <f t="shared" si="19"/>
        <v>37</v>
      </c>
      <c r="P160" s="5">
        <f t="shared" si="19"/>
        <v>37</v>
      </c>
      <c r="Q160" s="5">
        <f t="shared" si="20"/>
        <v>37</v>
      </c>
      <c r="R160" s="5">
        <f t="shared" si="21"/>
        <v>33</v>
      </c>
      <c r="U160" s="8">
        <f t="shared" si="17"/>
        <v>0</v>
      </c>
      <c r="V160" s="8">
        <f>IFERROR(INDEX('Payment 1 through 9'!$A$1:$B$330,MATCH(CONCATENATE(FinalPayment!$F160,"0000"),'Payment 1 through 9'!$A$1:$A$330,0),2)*9,0)</f>
        <v>0</v>
      </c>
      <c r="W160" s="8">
        <f>IFERROR(INDEX('FinalPayment 10'!$A$1:$B$330,MATCH(CONCATENATE(FinalPayment!$F160,"0000"),'FinalPayment 10'!$A$1:$A$330,0),2),0)</f>
        <v>0</v>
      </c>
      <c r="X160" s="8">
        <f t="shared" si="22"/>
        <v>0</v>
      </c>
      <c r="Y160" s="8">
        <f t="shared" si="23"/>
        <v>366</v>
      </c>
    </row>
    <row r="161" spans="1:25" x14ac:dyDescent="0.55000000000000004">
      <c r="A161">
        <v>2021</v>
      </c>
      <c r="B161" t="s">
        <v>690</v>
      </c>
      <c r="C161" t="s">
        <v>512</v>
      </c>
      <c r="D161" t="s">
        <v>1207</v>
      </c>
      <c r="E161" t="s">
        <v>1207</v>
      </c>
      <c r="F161" t="s">
        <v>512</v>
      </c>
      <c r="G161" t="s">
        <v>169</v>
      </c>
      <c r="H161" s="5">
        <f>SUMPRODUCT(SUMIF(FinalPayment_NoReorg!$F$2:$F$331,FinalPayment!$D161:$F161,FinalPayment_NoReorg!$L$2:$L$331))+SUMPRODUCT(SUMIF(FinalPayment_NoReorg!$F$2:$F$331,FinalPayment!$D161:$F161,FinalPayment_NoReorg!$N$2:$N$331))</f>
        <v>151140</v>
      </c>
      <c r="I161" s="5">
        <f t="shared" si="18"/>
        <v>15114</v>
      </c>
      <c r="J161" s="5">
        <f t="shared" si="18"/>
        <v>15114</v>
      </c>
      <c r="K161" s="5">
        <f t="shared" si="18"/>
        <v>15114</v>
      </c>
      <c r="L161" s="5">
        <f t="shared" si="18"/>
        <v>15114</v>
      </c>
      <c r="M161" s="5">
        <f t="shared" si="19"/>
        <v>15114</v>
      </c>
      <c r="N161" s="5">
        <f t="shared" si="19"/>
        <v>15114</v>
      </c>
      <c r="O161" s="5">
        <f t="shared" si="19"/>
        <v>15114</v>
      </c>
      <c r="P161" s="5">
        <f t="shared" si="19"/>
        <v>15114</v>
      </c>
      <c r="Q161" s="5">
        <f t="shared" si="20"/>
        <v>15114</v>
      </c>
      <c r="R161" s="5">
        <f t="shared" si="21"/>
        <v>15114</v>
      </c>
      <c r="U161" s="8">
        <f t="shared" si="17"/>
        <v>0</v>
      </c>
      <c r="V161" s="8">
        <f>IFERROR(INDEX('Payment 1 through 9'!$A$1:$B$330,MATCH(CONCATENATE(FinalPayment!$F161,"0000"),'Payment 1 through 9'!$A$1:$A$330,0),2)*9,0)</f>
        <v>111807</v>
      </c>
      <c r="W161" s="8">
        <f>IFERROR(INDEX('FinalPayment 10'!$A$1:$B$330,MATCH(CONCATENATE(FinalPayment!$F161,"0000"),'FinalPayment 10'!$A$1:$A$330,0),2),0)</f>
        <v>12425</v>
      </c>
      <c r="X161" s="8">
        <f t="shared" si="22"/>
        <v>124232</v>
      </c>
      <c r="Y161" s="8">
        <f t="shared" si="23"/>
        <v>26908</v>
      </c>
    </row>
    <row r="162" spans="1:25" x14ac:dyDescent="0.55000000000000004">
      <c r="A162">
        <v>2021</v>
      </c>
      <c r="B162" t="s">
        <v>698</v>
      </c>
      <c r="C162" t="s">
        <v>510</v>
      </c>
      <c r="D162" t="s">
        <v>1207</v>
      </c>
      <c r="E162" t="s">
        <v>1207</v>
      </c>
      <c r="F162" t="s">
        <v>510</v>
      </c>
      <c r="G162" t="s">
        <v>171</v>
      </c>
      <c r="H162" s="5">
        <f>SUMPRODUCT(SUMIF(FinalPayment_NoReorg!$F$2:$F$331,FinalPayment!$D162:$F162,FinalPayment_NoReorg!$L$2:$L$331))+SUMPRODUCT(SUMIF(FinalPayment_NoReorg!$F$2:$F$331,FinalPayment!$D162:$F162,FinalPayment_NoReorg!$N$2:$N$331))</f>
        <v>6186</v>
      </c>
      <c r="I162" s="5">
        <f t="shared" si="18"/>
        <v>619</v>
      </c>
      <c r="J162" s="5">
        <f t="shared" si="18"/>
        <v>619</v>
      </c>
      <c r="K162" s="5">
        <f t="shared" si="18"/>
        <v>619</v>
      </c>
      <c r="L162" s="5">
        <f t="shared" si="18"/>
        <v>619</v>
      </c>
      <c r="M162" s="5">
        <f t="shared" si="19"/>
        <v>619</v>
      </c>
      <c r="N162" s="5">
        <f t="shared" si="19"/>
        <v>619</v>
      </c>
      <c r="O162" s="5">
        <f t="shared" si="19"/>
        <v>619</v>
      </c>
      <c r="P162" s="5">
        <f t="shared" si="19"/>
        <v>619</v>
      </c>
      <c r="Q162" s="5">
        <f t="shared" si="20"/>
        <v>619</v>
      </c>
      <c r="R162" s="5">
        <f t="shared" si="21"/>
        <v>615</v>
      </c>
      <c r="U162" s="8">
        <f t="shared" si="17"/>
        <v>0</v>
      </c>
      <c r="V162" s="8">
        <f>IFERROR(INDEX('Payment 1 through 9'!$A$1:$B$330,MATCH(CONCATENATE(FinalPayment!$F162,"0000"),'Payment 1 through 9'!$A$1:$A$330,0),2)*9,0)</f>
        <v>0</v>
      </c>
      <c r="W162" s="8">
        <f>IFERROR(INDEX('FinalPayment 10'!$A$1:$B$330,MATCH(CONCATENATE(FinalPayment!$F162,"0000"),'FinalPayment 10'!$A$1:$A$330,0),2),0)</f>
        <v>0</v>
      </c>
      <c r="X162" s="8">
        <f t="shared" si="22"/>
        <v>0</v>
      </c>
      <c r="Y162" s="8">
        <f t="shared" si="23"/>
        <v>6186</v>
      </c>
    </row>
    <row r="163" spans="1:25" x14ac:dyDescent="0.55000000000000004">
      <c r="A163">
        <v>2021</v>
      </c>
      <c r="B163" t="s">
        <v>698</v>
      </c>
      <c r="C163" t="s">
        <v>509</v>
      </c>
      <c r="D163" t="s">
        <v>1207</v>
      </c>
      <c r="E163" t="s">
        <v>1207</v>
      </c>
      <c r="F163" t="s">
        <v>509</v>
      </c>
      <c r="G163" t="s">
        <v>172</v>
      </c>
      <c r="H163" s="5">
        <f>SUMPRODUCT(SUMIF(FinalPayment_NoReorg!$F$2:$F$331,FinalPayment!$D163:$F163,FinalPayment_NoReorg!$L$2:$L$331))+SUMPRODUCT(SUMIF(FinalPayment_NoReorg!$F$2:$F$331,FinalPayment!$D163:$F163,FinalPayment_NoReorg!$N$2:$N$331))</f>
        <v>521</v>
      </c>
      <c r="I163" s="5">
        <f t="shared" si="18"/>
        <v>52</v>
      </c>
      <c r="J163" s="5">
        <f t="shared" si="18"/>
        <v>52</v>
      </c>
      <c r="K163" s="5">
        <f t="shared" si="18"/>
        <v>52</v>
      </c>
      <c r="L163" s="5">
        <f t="shared" si="18"/>
        <v>52</v>
      </c>
      <c r="M163" s="5">
        <f t="shared" si="19"/>
        <v>52</v>
      </c>
      <c r="N163" s="5">
        <f t="shared" si="19"/>
        <v>52</v>
      </c>
      <c r="O163" s="5">
        <f t="shared" si="19"/>
        <v>52</v>
      </c>
      <c r="P163" s="5">
        <f t="shared" si="19"/>
        <v>52</v>
      </c>
      <c r="Q163" s="5">
        <f t="shared" si="20"/>
        <v>52</v>
      </c>
      <c r="R163" s="5">
        <f t="shared" si="21"/>
        <v>53</v>
      </c>
      <c r="U163" s="8">
        <f t="shared" si="17"/>
        <v>0</v>
      </c>
      <c r="V163" s="8">
        <f>IFERROR(INDEX('Payment 1 through 9'!$A$1:$B$330,MATCH(CONCATENATE(FinalPayment!$F163,"0000"),'Payment 1 through 9'!$A$1:$A$330,0),2)*9,0)</f>
        <v>0</v>
      </c>
      <c r="W163" s="8">
        <f>IFERROR(INDEX('FinalPayment 10'!$A$1:$B$330,MATCH(CONCATENATE(FinalPayment!$F163,"0000"),'FinalPayment 10'!$A$1:$A$330,0),2),0)</f>
        <v>0</v>
      </c>
      <c r="X163" s="8">
        <f t="shared" si="22"/>
        <v>0</v>
      </c>
      <c r="Y163" s="8">
        <f t="shared" si="23"/>
        <v>521</v>
      </c>
    </row>
    <row r="164" spans="1:25" x14ac:dyDescent="0.55000000000000004">
      <c r="A164">
        <v>2021</v>
      </c>
      <c r="B164" t="s">
        <v>690</v>
      </c>
      <c r="C164" t="s">
        <v>508</v>
      </c>
      <c r="D164" t="s">
        <v>1207</v>
      </c>
      <c r="E164" t="s">
        <v>1207</v>
      </c>
      <c r="F164" t="s">
        <v>508</v>
      </c>
      <c r="G164" t="s">
        <v>173</v>
      </c>
      <c r="H164" s="5">
        <f>SUMPRODUCT(SUMIF(FinalPayment_NoReorg!$F$2:$F$331,FinalPayment!$D164:$F164,FinalPayment_NoReorg!$L$2:$L$331))+SUMPRODUCT(SUMIF(FinalPayment_NoReorg!$F$2:$F$331,FinalPayment!$D164:$F164,FinalPayment_NoReorg!$N$2:$N$331))</f>
        <v>37460</v>
      </c>
      <c r="I164" s="5">
        <f t="shared" si="18"/>
        <v>3746</v>
      </c>
      <c r="J164" s="5">
        <f t="shared" si="18"/>
        <v>3746</v>
      </c>
      <c r="K164" s="5">
        <f t="shared" si="18"/>
        <v>3746</v>
      </c>
      <c r="L164" s="5">
        <f t="shared" si="18"/>
        <v>3746</v>
      </c>
      <c r="M164" s="5">
        <f t="shared" si="19"/>
        <v>3746</v>
      </c>
      <c r="N164" s="5">
        <f t="shared" si="19"/>
        <v>3746</v>
      </c>
      <c r="O164" s="5">
        <f t="shared" si="19"/>
        <v>3746</v>
      </c>
      <c r="P164" s="5">
        <f t="shared" si="19"/>
        <v>3746</v>
      </c>
      <c r="Q164" s="5">
        <f t="shared" si="20"/>
        <v>3746</v>
      </c>
      <c r="R164" s="5">
        <f t="shared" si="21"/>
        <v>3746</v>
      </c>
      <c r="U164" s="8">
        <f t="shared" si="17"/>
        <v>0</v>
      </c>
      <c r="V164" s="8">
        <f>IFERROR(INDEX('Payment 1 through 9'!$A$1:$B$330,MATCH(CONCATENATE(FinalPayment!$F164,"0000"),'Payment 1 through 9'!$A$1:$A$330,0),2)*9,0)</f>
        <v>28332</v>
      </c>
      <c r="W164" s="8">
        <f>IFERROR(INDEX('FinalPayment 10'!$A$1:$B$330,MATCH(CONCATENATE(FinalPayment!$F164,"0000"),'FinalPayment 10'!$A$1:$A$330,0),2),0)</f>
        <v>3148</v>
      </c>
      <c r="X164" s="8">
        <f t="shared" si="22"/>
        <v>31480</v>
      </c>
      <c r="Y164" s="8">
        <f t="shared" si="23"/>
        <v>5980</v>
      </c>
    </row>
    <row r="165" spans="1:25" x14ac:dyDescent="0.55000000000000004">
      <c r="A165">
        <v>2021</v>
      </c>
      <c r="B165" t="s">
        <v>698</v>
      </c>
      <c r="C165" t="s">
        <v>507</v>
      </c>
      <c r="D165" t="s">
        <v>1207</v>
      </c>
      <c r="E165" t="s">
        <v>1207</v>
      </c>
      <c r="F165" t="s">
        <v>507</v>
      </c>
      <c r="G165" t="s">
        <v>174</v>
      </c>
      <c r="H165" s="5">
        <f>SUMPRODUCT(SUMIF(FinalPayment_NoReorg!$F$2:$F$331,FinalPayment!$D165:$F165,FinalPayment_NoReorg!$L$2:$L$331))+SUMPRODUCT(SUMIF(FinalPayment_NoReorg!$F$2:$F$331,FinalPayment!$D165:$F165,FinalPayment_NoReorg!$N$2:$N$331))</f>
        <v>298</v>
      </c>
      <c r="I165" s="5">
        <f t="shared" si="18"/>
        <v>30</v>
      </c>
      <c r="J165" s="5">
        <f t="shared" si="18"/>
        <v>30</v>
      </c>
      <c r="K165" s="5">
        <f t="shared" si="18"/>
        <v>30</v>
      </c>
      <c r="L165" s="5">
        <f t="shared" si="18"/>
        <v>30</v>
      </c>
      <c r="M165" s="5">
        <f t="shared" si="19"/>
        <v>30</v>
      </c>
      <c r="N165" s="5">
        <f t="shared" si="19"/>
        <v>30</v>
      </c>
      <c r="O165" s="5">
        <f t="shared" si="19"/>
        <v>30</v>
      </c>
      <c r="P165" s="5">
        <f t="shared" si="19"/>
        <v>30</v>
      </c>
      <c r="Q165" s="5">
        <f t="shared" si="20"/>
        <v>30</v>
      </c>
      <c r="R165" s="5">
        <f t="shared" si="21"/>
        <v>28</v>
      </c>
      <c r="U165" s="8">
        <f t="shared" si="17"/>
        <v>0</v>
      </c>
      <c r="V165" s="8">
        <f>IFERROR(INDEX('Payment 1 through 9'!$A$1:$B$330,MATCH(CONCATENATE(FinalPayment!$F165,"0000"),'Payment 1 through 9'!$A$1:$A$330,0),2)*9,0)</f>
        <v>0</v>
      </c>
      <c r="W165" s="8">
        <f>IFERROR(INDEX('FinalPayment 10'!$A$1:$B$330,MATCH(CONCATENATE(FinalPayment!$F165,"0000"),'FinalPayment 10'!$A$1:$A$330,0),2),0)</f>
        <v>0</v>
      </c>
      <c r="X165" s="8">
        <f t="shared" si="22"/>
        <v>0</v>
      </c>
      <c r="Y165" s="8">
        <f t="shared" si="23"/>
        <v>298</v>
      </c>
    </row>
    <row r="166" spans="1:25" x14ac:dyDescent="0.55000000000000004">
      <c r="A166">
        <v>2021</v>
      </c>
      <c r="B166" t="s">
        <v>707</v>
      </c>
      <c r="C166" t="s">
        <v>506</v>
      </c>
      <c r="D166" t="s">
        <v>1207</v>
      </c>
      <c r="E166" t="s">
        <v>1207</v>
      </c>
      <c r="F166" t="s">
        <v>506</v>
      </c>
      <c r="G166" t="s">
        <v>175</v>
      </c>
      <c r="H166" s="5">
        <f>SUMPRODUCT(SUMIF(FinalPayment_NoReorg!$F$2:$F$331,FinalPayment!$D166:$F166,FinalPayment_NoReorg!$L$2:$L$331))+SUMPRODUCT(SUMIF(FinalPayment_NoReorg!$F$2:$F$331,FinalPayment!$D166:$F166,FinalPayment_NoReorg!$N$2:$N$331))</f>
        <v>194044</v>
      </c>
      <c r="I166" s="5">
        <f t="shared" si="18"/>
        <v>19404</v>
      </c>
      <c r="J166" s="5">
        <f t="shared" si="18"/>
        <v>19404</v>
      </c>
      <c r="K166" s="5">
        <f t="shared" si="18"/>
        <v>19404</v>
      </c>
      <c r="L166" s="5">
        <f t="shared" si="18"/>
        <v>19404</v>
      </c>
      <c r="M166" s="5">
        <f t="shared" si="19"/>
        <v>19404</v>
      </c>
      <c r="N166" s="5">
        <f t="shared" si="19"/>
        <v>19404</v>
      </c>
      <c r="O166" s="5">
        <f t="shared" si="19"/>
        <v>19404</v>
      </c>
      <c r="P166" s="5">
        <f t="shared" si="19"/>
        <v>19404</v>
      </c>
      <c r="Q166" s="5">
        <f t="shared" si="20"/>
        <v>19404</v>
      </c>
      <c r="R166" s="5">
        <f t="shared" si="21"/>
        <v>19408</v>
      </c>
      <c r="U166" s="8">
        <f t="shared" si="17"/>
        <v>0</v>
      </c>
      <c r="V166" s="8">
        <f>IFERROR(INDEX('Payment 1 through 9'!$A$1:$B$330,MATCH(CONCATENATE(FinalPayment!$F166,"0000"),'Payment 1 through 9'!$A$1:$A$330,0),2)*9,0)</f>
        <v>167859</v>
      </c>
      <c r="W166" s="8">
        <f>IFERROR(INDEX('FinalPayment 10'!$A$1:$B$330,MATCH(CONCATENATE(FinalPayment!$F166,"0000"),'FinalPayment 10'!$A$1:$A$330,0),2),0)</f>
        <v>18654</v>
      </c>
      <c r="X166" s="8">
        <f t="shared" si="22"/>
        <v>186513</v>
      </c>
      <c r="Y166" s="8">
        <f t="shared" si="23"/>
        <v>7531</v>
      </c>
    </row>
    <row r="167" spans="1:25" x14ac:dyDescent="0.55000000000000004">
      <c r="A167">
        <v>2021</v>
      </c>
      <c r="B167" t="s">
        <v>694</v>
      </c>
      <c r="C167" t="s">
        <v>505</v>
      </c>
      <c r="D167" t="s">
        <v>1207</v>
      </c>
      <c r="E167" t="s">
        <v>1207</v>
      </c>
      <c r="F167" t="s">
        <v>505</v>
      </c>
      <c r="G167" t="s">
        <v>1222</v>
      </c>
      <c r="H167" s="5">
        <f>SUMPRODUCT(SUMIF(FinalPayment_NoReorg!$F$2:$F$331,FinalPayment!$D167:$F167,FinalPayment_NoReorg!$L$2:$L$331))+SUMPRODUCT(SUMIF(FinalPayment_NoReorg!$F$2:$F$331,FinalPayment!$D167:$F167,FinalPayment_NoReorg!$N$2:$N$331))</f>
        <v>64640</v>
      </c>
      <c r="I167" s="5">
        <f t="shared" si="18"/>
        <v>6464</v>
      </c>
      <c r="J167" s="5">
        <f t="shared" si="18"/>
        <v>6464</v>
      </c>
      <c r="K167" s="5">
        <f t="shared" si="18"/>
        <v>6464</v>
      </c>
      <c r="L167" s="5">
        <f t="shared" si="18"/>
        <v>6464</v>
      </c>
      <c r="M167" s="5">
        <f t="shared" si="19"/>
        <v>6464</v>
      </c>
      <c r="N167" s="5">
        <f t="shared" si="19"/>
        <v>6464</v>
      </c>
      <c r="O167" s="5">
        <f t="shared" si="19"/>
        <v>6464</v>
      </c>
      <c r="P167" s="5">
        <f t="shared" si="19"/>
        <v>6464</v>
      </c>
      <c r="Q167" s="5">
        <f t="shared" si="20"/>
        <v>6464</v>
      </c>
      <c r="R167" s="5">
        <f t="shared" si="21"/>
        <v>6464</v>
      </c>
      <c r="U167" s="8">
        <f t="shared" si="17"/>
        <v>0</v>
      </c>
      <c r="V167" s="8">
        <f>IFERROR(INDEX('Payment 1 through 9'!$A$1:$B$330,MATCH(CONCATENATE(FinalPayment!$F167,"0000"),'Payment 1 through 9'!$A$1:$A$330,0),2)*9,0)</f>
        <v>56610</v>
      </c>
      <c r="W167" s="8">
        <f>IFERROR(INDEX('FinalPayment 10'!$A$1:$B$330,MATCH(CONCATENATE(FinalPayment!$F167,"0000"),'FinalPayment 10'!$A$1:$A$330,0),2),0)</f>
        <v>6294</v>
      </c>
      <c r="X167" s="8">
        <f t="shared" si="22"/>
        <v>62904</v>
      </c>
      <c r="Y167" s="8">
        <f t="shared" si="23"/>
        <v>1736</v>
      </c>
    </row>
    <row r="168" spans="1:25" x14ac:dyDescent="0.55000000000000004">
      <c r="A168">
        <v>2021</v>
      </c>
      <c r="B168" t="s">
        <v>686</v>
      </c>
      <c r="C168" t="s">
        <v>504</v>
      </c>
      <c r="D168" t="s">
        <v>1207</v>
      </c>
      <c r="E168" t="s">
        <v>1207</v>
      </c>
      <c r="F168" t="s">
        <v>504</v>
      </c>
      <c r="G168" t="s">
        <v>177</v>
      </c>
      <c r="H168" s="5">
        <f>SUMPRODUCT(SUMIF(FinalPayment_NoReorg!$F$2:$F$331,FinalPayment!$D168:$F168,FinalPayment_NoReorg!$L$2:$L$331))+SUMPRODUCT(SUMIF(FinalPayment_NoReorg!$F$2:$F$331,FinalPayment!$D168:$F168,FinalPayment_NoReorg!$N$2:$N$331))</f>
        <v>57722</v>
      </c>
      <c r="I168" s="5">
        <f t="shared" si="18"/>
        <v>5772</v>
      </c>
      <c r="J168" s="5">
        <f t="shared" si="18"/>
        <v>5772</v>
      </c>
      <c r="K168" s="5">
        <f t="shared" si="18"/>
        <v>5772</v>
      </c>
      <c r="L168" s="5">
        <f t="shared" si="18"/>
        <v>5772</v>
      </c>
      <c r="M168" s="5">
        <f t="shared" si="19"/>
        <v>5772</v>
      </c>
      <c r="N168" s="5">
        <f t="shared" si="19"/>
        <v>5772</v>
      </c>
      <c r="O168" s="5">
        <f t="shared" si="19"/>
        <v>5772</v>
      </c>
      <c r="P168" s="5">
        <f t="shared" si="19"/>
        <v>5772</v>
      </c>
      <c r="Q168" s="5">
        <f t="shared" si="20"/>
        <v>5772</v>
      </c>
      <c r="R168" s="5">
        <f t="shared" si="21"/>
        <v>5774</v>
      </c>
      <c r="U168" s="8">
        <f t="shared" si="17"/>
        <v>0</v>
      </c>
      <c r="V168" s="8">
        <f>IFERROR(INDEX('Payment 1 through 9'!$A$1:$B$330,MATCH(CONCATENATE(FinalPayment!$F168,"0000"),'Payment 1 through 9'!$A$1:$A$330,0),2)*9,0)</f>
        <v>47538</v>
      </c>
      <c r="W168" s="8">
        <f>IFERROR(INDEX('FinalPayment 10'!$A$1:$B$330,MATCH(CONCATENATE(FinalPayment!$F168,"0000"),'FinalPayment 10'!$A$1:$A$330,0),2),0)</f>
        <v>5281</v>
      </c>
      <c r="X168" s="8">
        <f t="shared" si="22"/>
        <v>52819</v>
      </c>
      <c r="Y168" s="8">
        <f t="shared" si="23"/>
        <v>4903</v>
      </c>
    </row>
    <row r="169" spans="1:25" x14ac:dyDescent="0.55000000000000004">
      <c r="A169">
        <v>2021</v>
      </c>
      <c r="B169" t="s">
        <v>686</v>
      </c>
      <c r="C169" t="s">
        <v>503</v>
      </c>
      <c r="D169" t="s">
        <v>1207</v>
      </c>
      <c r="E169" t="s">
        <v>1207</v>
      </c>
      <c r="F169" t="s">
        <v>503</v>
      </c>
      <c r="G169" t="s">
        <v>178</v>
      </c>
      <c r="H169" s="5">
        <f>SUMPRODUCT(SUMIF(FinalPayment_NoReorg!$F$2:$F$331,FinalPayment!$D169:$F169,FinalPayment_NoReorg!$L$2:$L$331))+SUMPRODUCT(SUMIF(FinalPayment_NoReorg!$F$2:$F$331,FinalPayment!$D169:$F169,FinalPayment_NoReorg!$N$2:$N$331))</f>
        <v>542</v>
      </c>
      <c r="I169" s="5">
        <f t="shared" si="18"/>
        <v>54</v>
      </c>
      <c r="J169" s="5">
        <f t="shared" si="18"/>
        <v>54</v>
      </c>
      <c r="K169" s="5">
        <f t="shared" si="18"/>
        <v>54</v>
      </c>
      <c r="L169" s="5">
        <f t="shared" si="18"/>
        <v>54</v>
      </c>
      <c r="M169" s="5">
        <f t="shared" si="19"/>
        <v>54</v>
      </c>
      <c r="N169" s="5">
        <f t="shared" si="19"/>
        <v>54</v>
      </c>
      <c r="O169" s="5">
        <f t="shared" si="19"/>
        <v>54</v>
      </c>
      <c r="P169" s="5">
        <f t="shared" si="19"/>
        <v>54</v>
      </c>
      <c r="Q169" s="5">
        <f t="shared" si="20"/>
        <v>54</v>
      </c>
      <c r="R169" s="5">
        <f t="shared" si="21"/>
        <v>56</v>
      </c>
      <c r="U169" s="8">
        <f t="shared" si="17"/>
        <v>0</v>
      </c>
      <c r="V169" s="8">
        <f>IFERROR(INDEX('Payment 1 through 9'!$A$1:$B$330,MATCH(CONCATENATE(FinalPayment!$F169,"0000"),'Payment 1 through 9'!$A$1:$A$330,0),2)*9,0)</f>
        <v>0</v>
      </c>
      <c r="W169" s="8">
        <f>IFERROR(INDEX('FinalPayment 10'!$A$1:$B$330,MATCH(CONCATENATE(FinalPayment!$F169,"0000"),'FinalPayment 10'!$A$1:$A$330,0),2),0)</f>
        <v>0</v>
      </c>
      <c r="X169" s="8">
        <f t="shared" si="22"/>
        <v>0</v>
      </c>
      <c r="Y169" s="8">
        <f t="shared" si="23"/>
        <v>542</v>
      </c>
    </row>
    <row r="170" spans="1:25" x14ac:dyDescent="0.55000000000000004">
      <c r="A170">
        <v>2021</v>
      </c>
      <c r="B170" t="s">
        <v>694</v>
      </c>
      <c r="C170" t="s">
        <v>501</v>
      </c>
      <c r="D170" t="s">
        <v>1207</v>
      </c>
      <c r="E170" t="s">
        <v>1207</v>
      </c>
      <c r="F170" t="s">
        <v>501</v>
      </c>
      <c r="G170" t="s">
        <v>1223</v>
      </c>
      <c r="H170" s="5">
        <f>SUMPRODUCT(SUMIF(FinalPayment_NoReorg!$F$2:$F$331,FinalPayment!$D170:$F170,FinalPayment_NoReorg!$L$2:$L$331))+SUMPRODUCT(SUMIF(FinalPayment_NoReorg!$F$2:$F$331,FinalPayment!$D170:$F170,FinalPayment_NoReorg!$N$2:$N$331))</f>
        <v>349535</v>
      </c>
      <c r="I170" s="5">
        <f t="shared" si="18"/>
        <v>34954</v>
      </c>
      <c r="J170" s="5">
        <f t="shared" si="18"/>
        <v>34954</v>
      </c>
      <c r="K170" s="5">
        <f t="shared" si="18"/>
        <v>34954</v>
      </c>
      <c r="L170" s="5">
        <f t="shared" si="18"/>
        <v>34954</v>
      </c>
      <c r="M170" s="5">
        <f t="shared" si="19"/>
        <v>34954</v>
      </c>
      <c r="N170" s="5">
        <f t="shared" si="19"/>
        <v>34954</v>
      </c>
      <c r="O170" s="5">
        <f t="shared" si="19"/>
        <v>34954</v>
      </c>
      <c r="P170" s="5">
        <f t="shared" si="19"/>
        <v>34954</v>
      </c>
      <c r="Q170" s="5">
        <f t="shared" si="20"/>
        <v>34954</v>
      </c>
      <c r="R170" s="5">
        <f t="shared" si="21"/>
        <v>34949</v>
      </c>
      <c r="U170" s="8">
        <f t="shared" si="17"/>
        <v>0</v>
      </c>
      <c r="V170" s="8">
        <f>IFERROR(INDEX('Payment 1 through 9'!$A$1:$B$330,MATCH(CONCATENATE(FinalPayment!$F170,"0000"),'Payment 1 through 9'!$A$1:$A$330,0),2)*9,0)</f>
        <v>308340</v>
      </c>
      <c r="W170" s="8">
        <f>IFERROR(INDEX('FinalPayment 10'!$A$1:$B$330,MATCH(CONCATENATE(FinalPayment!$F170,"0000"),'FinalPayment 10'!$A$1:$A$330,0),2),0)</f>
        <v>34262</v>
      </c>
      <c r="X170" s="8">
        <f t="shared" si="22"/>
        <v>342602</v>
      </c>
      <c r="Y170" s="8">
        <f t="shared" si="23"/>
        <v>6933</v>
      </c>
    </row>
    <row r="171" spans="1:25" x14ac:dyDescent="0.55000000000000004">
      <c r="A171">
        <v>2021</v>
      </c>
      <c r="B171" t="s">
        <v>692</v>
      </c>
      <c r="C171" t="s">
        <v>500</v>
      </c>
      <c r="D171" t="s">
        <v>860</v>
      </c>
      <c r="E171" t="s">
        <v>1207</v>
      </c>
      <c r="F171" t="s">
        <v>500</v>
      </c>
      <c r="G171" t="s">
        <v>337</v>
      </c>
      <c r="H171" s="5">
        <f>SUMPRODUCT(SUMIF(FinalPayment_NoReorg!$F$2:$F$331,FinalPayment!$D171:$F171,FinalPayment_NoReorg!$L$2:$L$331))+SUMPRODUCT(SUMIF(FinalPayment_NoReorg!$F$2:$F$331,FinalPayment!$D171:$F171,FinalPayment_NoReorg!$N$2:$N$331))</f>
        <v>264933</v>
      </c>
      <c r="I171" s="5">
        <f t="shared" si="18"/>
        <v>26493</v>
      </c>
      <c r="J171" s="5">
        <f t="shared" si="18"/>
        <v>26493</v>
      </c>
      <c r="K171" s="5">
        <f t="shared" si="18"/>
        <v>26493</v>
      </c>
      <c r="L171" s="5">
        <f t="shared" si="18"/>
        <v>26493</v>
      </c>
      <c r="M171" s="5">
        <f t="shared" si="19"/>
        <v>26493</v>
      </c>
      <c r="N171" s="5">
        <f t="shared" si="19"/>
        <v>26493</v>
      </c>
      <c r="O171" s="5">
        <f t="shared" si="19"/>
        <v>26493</v>
      </c>
      <c r="P171" s="5">
        <f t="shared" si="19"/>
        <v>26493</v>
      </c>
      <c r="Q171" s="5">
        <f t="shared" si="20"/>
        <v>26493</v>
      </c>
      <c r="R171" s="5">
        <f t="shared" si="21"/>
        <v>26496</v>
      </c>
      <c r="U171" s="8">
        <f t="shared" si="17"/>
        <v>0</v>
      </c>
      <c r="V171" s="8">
        <f>IFERROR(INDEX('Payment 1 through 9'!$A$1:$B$330,MATCH(CONCATENATE(FinalPayment!$F171,"0000"),'Payment 1 through 9'!$A$1:$A$330,0),2)*9,0)</f>
        <v>232596</v>
      </c>
      <c r="W171" s="8">
        <f>IFERROR(INDEX('FinalPayment 10'!$A$1:$B$330,MATCH(CONCATENATE(FinalPayment!$F171,"0000"),'FinalPayment 10'!$A$1:$A$330,0),2),0)</f>
        <v>25842</v>
      </c>
      <c r="X171" s="8">
        <f t="shared" si="22"/>
        <v>258438</v>
      </c>
      <c r="Y171" s="8">
        <f t="shared" si="23"/>
        <v>6495</v>
      </c>
    </row>
    <row r="172" spans="1:25" x14ac:dyDescent="0.55000000000000004">
      <c r="A172">
        <v>2021</v>
      </c>
      <c r="B172" t="s">
        <v>707</v>
      </c>
      <c r="C172" t="s">
        <v>499</v>
      </c>
      <c r="D172" t="s">
        <v>1207</v>
      </c>
      <c r="E172" t="s">
        <v>1207</v>
      </c>
      <c r="F172" t="s">
        <v>499</v>
      </c>
      <c r="G172" t="s">
        <v>180</v>
      </c>
      <c r="H172" s="5">
        <f>SUMPRODUCT(SUMIF(FinalPayment_NoReorg!$F$2:$F$331,FinalPayment!$D172:$F172,FinalPayment_NoReorg!$L$2:$L$331))+SUMPRODUCT(SUMIF(FinalPayment_NoReorg!$F$2:$F$331,FinalPayment!$D172:$F172,FinalPayment_NoReorg!$N$2:$N$331))</f>
        <v>7529</v>
      </c>
      <c r="I172" s="5">
        <f t="shared" si="18"/>
        <v>753</v>
      </c>
      <c r="J172" s="5">
        <f t="shared" si="18"/>
        <v>753</v>
      </c>
      <c r="K172" s="5">
        <f t="shared" si="18"/>
        <v>753</v>
      </c>
      <c r="L172" s="5">
        <f t="shared" si="18"/>
        <v>753</v>
      </c>
      <c r="M172" s="5">
        <f t="shared" si="19"/>
        <v>753</v>
      </c>
      <c r="N172" s="5">
        <f t="shared" si="19"/>
        <v>753</v>
      </c>
      <c r="O172" s="5">
        <f t="shared" si="19"/>
        <v>753</v>
      </c>
      <c r="P172" s="5">
        <f t="shared" si="19"/>
        <v>753</v>
      </c>
      <c r="Q172" s="5">
        <f t="shared" si="20"/>
        <v>753</v>
      </c>
      <c r="R172" s="5">
        <f t="shared" si="21"/>
        <v>752</v>
      </c>
      <c r="U172" s="8">
        <f t="shared" si="17"/>
        <v>0</v>
      </c>
      <c r="V172" s="8">
        <f>IFERROR(INDEX('Payment 1 through 9'!$A$1:$B$330,MATCH(CONCATENATE(FinalPayment!$F172,"0000"),'Payment 1 through 9'!$A$1:$A$330,0),2)*9,0)</f>
        <v>0</v>
      </c>
      <c r="W172" s="8">
        <f>IFERROR(INDEX('FinalPayment 10'!$A$1:$B$330,MATCH(CONCATENATE(FinalPayment!$F172,"0000"),'FinalPayment 10'!$A$1:$A$330,0),2),0)</f>
        <v>0</v>
      </c>
      <c r="X172" s="8">
        <f t="shared" si="22"/>
        <v>0</v>
      </c>
      <c r="Y172" s="8">
        <f t="shared" si="23"/>
        <v>7529</v>
      </c>
    </row>
    <row r="173" spans="1:25" x14ac:dyDescent="0.55000000000000004">
      <c r="A173">
        <v>2021</v>
      </c>
      <c r="B173" t="s">
        <v>703</v>
      </c>
      <c r="C173" t="s">
        <v>498</v>
      </c>
      <c r="D173" t="s">
        <v>1207</v>
      </c>
      <c r="E173" t="s">
        <v>1207</v>
      </c>
      <c r="F173" t="s">
        <v>498</v>
      </c>
      <c r="G173" t="s">
        <v>181</v>
      </c>
      <c r="H173" s="5">
        <f>SUMPRODUCT(SUMIF(FinalPayment_NoReorg!$F$2:$F$331,FinalPayment!$D173:$F173,FinalPayment_NoReorg!$L$2:$L$331))+SUMPRODUCT(SUMIF(FinalPayment_NoReorg!$F$2:$F$331,FinalPayment!$D173:$F173,FinalPayment_NoReorg!$N$2:$N$331))</f>
        <v>116212</v>
      </c>
      <c r="I173" s="5">
        <f t="shared" si="18"/>
        <v>11621</v>
      </c>
      <c r="J173" s="5">
        <f t="shared" si="18"/>
        <v>11621</v>
      </c>
      <c r="K173" s="5">
        <f t="shared" si="18"/>
        <v>11621</v>
      </c>
      <c r="L173" s="5">
        <f t="shared" si="18"/>
        <v>11621</v>
      </c>
      <c r="M173" s="5">
        <f t="shared" si="19"/>
        <v>11621</v>
      </c>
      <c r="N173" s="5">
        <f t="shared" si="19"/>
        <v>11621</v>
      </c>
      <c r="O173" s="5">
        <f t="shared" si="19"/>
        <v>11621</v>
      </c>
      <c r="P173" s="5">
        <f t="shared" si="19"/>
        <v>11621</v>
      </c>
      <c r="Q173" s="5">
        <f t="shared" si="20"/>
        <v>11621</v>
      </c>
      <c r="R173" s="5">
        <f t="shared" si="21"/>
        <v>11623</v>
      </c>
      <c r="U173" s="8">
        <f t="shared" si="17"/>
        <v>0</v>
      </c>
      <c r="V173" s="8">
        <f>IFERROR(INDEX('Payment 1 through 9'!$A$1:$B$330,MATCH(CONCATENATE(FinalPayment!$F173,"0000"),'Payment 1 through 9'!$A$1:$A$330,0),2)*9,0)</f>
        <v>97929</v>
      </c>
      <c r="W173" s="8">
        <f>IFERROR(INDEX('FinalPayment 10'!$A$1:$B$330,MATCH(CONCATENATE(FinalPayment!$F173,"0000"),'FinalPayment 10'!$A$1:$A$330,0),2),0)</f>
        <v>10881</v>
      </c>
      <c r="X173" s="8">
        <f t="shared" si="22"/>
        <v>108810</v>
      </c>
      <c r="Y173" s="8">
        <f t="shared" si="23"/>
        <v>7402</v>
      </c>
    </row>
    <row r="174" spans="1:25" x14ac:dyDescent="0.55000000000000004">
      <c r="A174">
        <v>2021</v>
      </c>
      <c r="B174" t="s">
        <v>692</v>
      </c>
      <c r="C174" t="s">
        <v>497</v>
      </c>
      <c r="D174" t="s">
        <v>1207</v>
      </c>
      <c r="E174" t="s">
        <v>1207</v>
      </c>
      <c r="F174" t="s">
        <v>497</v>
      </c>
      <c r="G174" t="s">
        <v>1224</v>
      </c>
      <c r="H174" s="5">
        <f>SUMPRODUCT(SUMIF(FinalPayment_NoReorg!$F$2:$F$331,FinalPayment!$D174:$F174,FinalPayment_NoReorg!$L$2:$L$331))+SUMPRODUCT(SUMIF(FinalPayment_NoReorg!$F$2:$F$331,FinalPayment!$D174:$F174,FinalPayment_NoReorg!$N$2:$N$331))</f>
        <v>54406</v>
      </c>
      <c r="I174" s="5">
        <f t="shared" si="18"/>
        <v>5441</v>
      </c>
      <c r="J174" s="5">
        <f t="shared" si="18"/>
        <v>5441</v>
      </c>
      <c r="K174" s="5">
        <f t="shared" si="18"/>
        <v>5441</v>
      </c>
      <c r="L174" s="5">
        <f t="shared" si="18"/>
        <v>5441</v>
      </c>
      <c r="M174" s="5">
        <f t="shared" si="19"/>
        <v>5441</v>
      </c>
      <c r="N174" s="5">
        <f t="shared" si="19"/>
        <v>5441</v>
      </c>
      <c r="O174" s="5">
        <f t="shared" si="19"/>
        <v>5441</v>
      </c>
      <c r="P174" s="5">
        <f t="shared" si="19"/>
        <v>5441</v>
      </c>
      <c r="Q174" s="5">
        <f t="shared" si="20"/>
        <v>5441</v>
      </c>
      <c r="R174" s="5">
        <f t="shared" si="21"/>
        <v>5437</v>
      </c>
      <c r="U174" s="8">
        <f t="shared" si="17"/>
        <v>0</v>
      </c>
      <c r="V174" s="8">
        <f>IFERROR(INDEX('Payment 1 through 9'!$A$1:$B$330,MATCH(CONCATENATE(FinalPayment!$F174,"0000"),'Payment 1 through 9'!$A$1:$A$330,0),2)*9,0)</f>
        <v>44955</v>
      </c>
      <c r="W174" s="8">
        <f>IFERROR(INDEX('FinalPayment 10'!$A$1:$B$330,MATCH(CONCATENATE(FinalPayment!$F174,"0000"),'FinalPayment 10'!$A$1:$A$330,0),2),0)</f>
        <v>4993</v>
      </c>
      <c r="X174" s="8">
        <f t="shared" si="22"/>
        <v>49948</v>
      </c>
      <c r="Y174" s="8">
        <f t="shared" si="23"/>
        <v>4458</v>
      </c>
    </row>
    <row r="175" spans="1:25" x14ac:dyDescent="0.55000000000000004">
      <c r="A175">
        <v>2021</v>
      </c>
      <c r="B175" t="s">
        <v>698</v>
      </c>
      <c r="C175" t="s">
        <v>496</v>
      </c>
      <c r="D175" t="s">
        <v>1207</v>
      </c>
      <c r="E175" t="s">
        <v>1207</v>
      </c>
      <c r="F175" t="s">
        <v>496</v>
      </c>
      <c r="G175" t="s">
        <v>1225</v>
      </c>
      <c r="H175" s="5">
        <f>SUMPRODUCT(SUMIF(FinalPayment_NoReorg!$F$2:$F$331,FinalPayment!$D175:$F175,FinalPayment_NoReorg!$L$2:$L$331))+SUMPRODUCT(SUMIF(FinalPayment_NoReorg!$F$2:$F$331,FinalPayment!$D175:$F175,FinalPayment_NoReorg!$N$2:$N$331))</f>
        <v>1581</v>
      </c>
      <c r="I175" s="5">
        <f t="shared" si="18"/>
        <v>158</v>
      </c>
      <c r="J175" s="5">
        <f t="shared" si="18"/>
        <v>158</v>
      </c>
      <c r="K175" s="5">
        <f t="shared" si="18"/>
        <v>158</v>
      </c>
      <c r="L175" s="5">
        <f t="shared" si="18"/>
        <v>158</v>
      </c>
      <c r="M175" s="5">
        <f t="shared" si="19"/>
        <v>158</v>
      </c>
      <c r="N175" s="5">
        <f t="shared" si="19"/>
        <v>158</v>
      </c>
      <c r="O175" s="5">
        <f t="shared" si="19"/>
        <v>158</v>
      </c>
      <c r="P175" s="5">
        <f t="shared" si="19"/>
        <v>158</v>
      </c>
      <c r="Q175" s="5">
        <f t="shared" si="20"/>
        <v>158</v>
      </c>
      <c r="R175" s="5">
        <f t="shared" si="21"/>
        <v>159</v>
      </c>
      <c r="U175" s="8">
        <f t="shared" si="17"/>
        <v>0</v>
      </c>
      <c r="V175" s="8">
        <f>IFERROR(INDEX('Payment 1 through 9'!$A$1:$B$330,MATCH(CONCATENATE(FinalPayment!$F175,"0000"),'Payment 1 through 9'!$A$1:$A$330,0),2)*9,0)</f>
        <v>0</v>
      </c>
      <c r="W175" s="8">
        <f>IFERROR(INDEX('FinalPayment 10'!$A$1:$B$330,MATCH(CONCATENATE(FinalPayment!$F175,"0000"),'FinalPayment 10'!$A$1:$A$330,0),2),0)</f>
        <v>0</v>
      </c>
      <c r="X175" s="8">
        <f t="shared" si="22"/>
        <v>0</v>
      </c>
      <c r="Y175" s="8">
        <f t="shared" si="23"/>
        <v>1581</v>
      </c>
    </row>
    <row r="176" spans="1:25" x14ac:dyDescent="0.55000000000000004">
      <c r="A176">
        <v>2021</v>
      </c>
      <c r="B176" t="s">
        <v>689</v>
      </c>
      <c r="C176" t="s">
        <v>495</v>
      </c>
      <c r="D176" t="s">
        <v>1207</v>
      </c>
      <c r="E176" t="s">
        <v>1207</v>
      </c>
      <c r="F176" t="s">
        <v>495</v>
      </c>
      <c r="G176" t="s">
        <v>184</v>
      </c>
      <c r="H176" s="5">
        <f>SUMPRODUCT(SUMIF(FinalPayment_NoReorg!$F$2:$F$331,FinalPayment!$D176:$F176,FinalPayment_NoReorg!$L$2:$L$331))+SUMPRODUCT(SUMIF(FinalPayment_NoReorg!$F$2:$F$331,FinalPayment!$D176:$F176,FinalPayment_NoReorg!$N$2:$N$331))</f>
        <v>4388</v>
      </c>
      <c r="I176" s="5">
        <f t="shared" si="18"/>
        <v>439</v>
      </c>
      <c r="J176" s="5">
        <f t="shared" si="18"/>
        <v>439</v>
      </c>
      <c r="K176" s="5">
        <f t="shared" si="18"/>
        <v>439</v>
      </c>
      <c r="L176" s="5">
        <f t="shared" si="18"/>
        <v>439</v>
      </c>
      <c r="M176" s="5">
        <f t="shared" si="19"/>
        <v>439</v>
      </c>
      <c r="N176" s="5">
        <f t="shared" si="19"/>
        <v>439</v>
      </c>
      <c r="O176" s="5">
        <f t="shared" si="19"/>
        <v>439</v>
      </c>
      <c r="P176" s="5">
        <f t="shared" si="19"/>
        <v>439</v>
      </c>
      <c r="Q176" s="5">
        <f t="shared" si="20"/>
        <v>439</v>
      </c>
      <c r="R176" s="5">
        <f t="shared" si="21"/>
        <v>437</v>
      </c>
      <c r="U176" s="8">
        <f t="shared" si="17"/>
        <v>0</v>
      </c>
      <c r="V176" s="8">
        <f>IFERROR(INDEX('Payment 1 through 9'!$A$1:$B$330,MATCH(CONCATENATE(FinalPayment!$F176,"0000"),'Payment 1 through 9'!$A$1:$A$330,0),2)*9,0)</f>
        <v>0</v>
      </c>
      <c r="W176" s="8">
        <f>IFERROR(INDEX('FinalPayment 10'!$A$1:$B$330,MATCH(CONCATENATE(FinalPayment!$F176,"0000"),'FinalPayment 10'!$A$1:$A$330,0),2),0)</f>
        <v>0</v>
      </c>
      <c r="X176" s="8">
        <f t="shared" si="22"/>
        <v>0</v>
      </c>
      <c r="Y176" s="8">
        <f t="shared" si="23"/>
        <v>4388</v>
      </c>
    </row>
    <row r="177" spans="1:25" x14ac:dyDescent="0.55000000000000004">
      <c r="A177">
        <v>2021</v>
      </c>
      <c r="B177" t="s">
        <v>686</v>
      </c>
      <c r="C177" t="s">
        <v>494</v>
      </c>
      <c r="D177" t="s">
        <v>1207</v>
      </c>
      <c r="E177" t="s">
        <v>1207</v>
      </c>
      <c r="F177" t="s">
        <v>494</v>
      </c>
      <c r="G177" t="s">
        <v>185</v>
      </c>
      <c r="H177" s="5">
        <f>SUMPRODUCT(SUMIF(FinalPayment_NoReorg!$F$2:$F$331,FinalPayment!$D177:$F177,FinalPayment_NoReorg!$L$2:$L$331))+SUMPRODUCT(SUMIF(FinalPayment_NoReorg!$F$2:$F$331,FinalPayment!$D177:$F177,FinalPayment_NoReorg!$N$2:$N$331))</f>
        <v>55715</v>
      </c>
      <c r="I177" s="5">
        <f t="shared" si="18"/>
        <v>5572</v>
      </c>
      <c r="J177" s="5">
        <f t="shared" si="18"/>
        <v>5572</v>
      </c>
      <c r="K177" s="5">
        <f t="shared" si="18"/>
        <v>5572</v>
      </c>
      <c r="L177" s="5">
        <f t="shared" si="18"/>
        <v>5572</v>
      </c>
      <c r="M177" s="5">
        <f t="shared" si="19"/>
        <v>5572</v>
      </c>
      <c r="N177" s="5">
        <f t="shared" si="19"/>
        <v>5572</v>
      </c>
      <c r="O177" s="5">
        <f t="shared" si="19"/>
        <v>5572</v>
      </c>
      <c r="P177" s="5">
        <f t="shared" si="19"/>
        <v>5572</v>
      </c>
      <c r="Q177" s="5">
        <f t="shared" si="20"/>
        <v>5572</v>
      </c>
      <c r="R177" s="5">
        <f t="shared" si="21"/>
        <v>5567</v>
      </c>
      <c r="U177" s="8">
        <f t="shared" si="17"/>
        <v>0</v>
      </c>
      <c r="V177" s="8">
        <f>IFERROR(INDEX('Payment 1 through 9'!$A$1:$B$330,MATCH(CONCATENATE(FinalPayment!$F177,"0000"),'Payment 1 through 9'!$A$1:$A$330,0),2)*9,0)</f>
        <v>45225</v>
      </c>
      <c r="W177" s="8">
        <f>IFERROR(INDEX('FinalPayment 10'!$A$1:$B$330,MATCH(CONCATENATE(FinalPayment!$F177,"0000"),'FinalPayment 10'!$A$1:$A$330,0),2),0)</f>
        <v>5022</v>
      </c>
      <c r="X177" s="8">
        <f t="shared" si="22"/>
        <v>50247</v>
      </c>
      <c r="Y177" s="8">
        <f t="shared" si="23"/>
        <v>5468</v>
      </c>
    </row>
    <row r="178" spans="1:25" x14ac:dyDescent="0.55000000000000004">
      <c r="A178">
        <v>2021</v>
      </c>
      <c r="B178" t="s">
        <v>689</v>
      </c>
      <c r="C178" t="s">
        <v>493</v>
      </c>
      <c r="D178" t="s">
        <v>1207</v>
      </c>
      <c r="E178" t="s">
        <v>1207</v>
      </c>
      <c r="F178" t="s">
        <v>493</v>
      </c>
      <c r="G178" t="s">
        <v>186</v>
      </c>
      <c r="H178" s="5">
        <f>SUMPRODUCT(SUMIF(FinalPayment_NoReorg!$F$2:$F$331,FinalPayment!$D178:$F178,FinalPayment_NoReorg!$L$2:$L$331))+SUMPRODUCT(SUMIF(FinalPayment_NoReorg!$F$2:$F$331,FinalPayment!$D178:$F178,FinalPayment_NoReorg!$N$2:$N$331))</f>
        <v>2937</v>
      </c>
      <c r="I178" s="5">
        <f t="shared" si="18"/>
        <v>294</v>
      </c>
      <c r="J178" s="5">
        <f t="shared" si="18"/>
        <v>294</v>
      </c>
      <c r="K178" s="5">
        <f t="shared" si="18"/>
        <v>294</v>
      </c>
      <c r="L178" s="5">
        <f t="shared" si="18"/>
        <v>294</v>
      </c>
      <c r="M178" s="5">
        <f t="shared" si="19"/>
        <v>294</v>
      </c>
      <c r="N178" s="5">
        <f t="shared" si="19"/>
        <v>294</v>
      </c>
      <c r="O178" s="5">
        <f t="shared" si="19"/>
        <v>294</v>
      </c>
      <c r="P178" s="5">
        <f t="shared" si="19"/>
        <v>294</v>
      </c>
      <c r="Q178" s="5">
        <f t="shared" si="20"/>
        <v>294</v>
      </c>
      <c r="R178" s="5">
        <f t="shared" si="21"/>
        <v>291</v>
      </c>
      <c r="U178" s="8">
        <f t="shared" si="17"/>
        <v>0</v>
      </c>
      <c r="V178" s="8">
        <f>IFERROR(INDEX('Payment 1 through 9'!$A$1:$B$330,MATCH(CONCATENATE(FinalPayment!$F178,"0000"),'Payment 1 through 9'!$A$1:$A$330,0),2)*9,0)</f>
        <v>0</v>
      </c>
      <c r="W178" s="8">
        <f>IFERROR(INDEX('FinalPayment 10'!$A$1:$B$330,MATCH(CONCATENATE(FinalPayment!$F178,"0000"),'FinalPayment 10'!$A$1:$A$330,0),2),0)</f>
        <v>0</v>
      </c>
      <c r="X178" s="8">
        <f t="shared" si="22"/>
        <v>0</v>
      </c>
      <c r="Y178" s="8">
        <f t="shared" si="23"/>
        <v>2937</v>
      </c>
    </row>
    <row r="179" spans="1:25" x14ac:dyDescent="0.55000000000000004">
      <c r="A179">
        <v>2021</v>
      </c>
      <c r="B179" t="s">
        <v>696</v>
      </c>
      <c r="C179" t="s">
        <v>491</v>
      </c>
      <c r="D179" t="s">
        <v>1207</v>
      </c>
      <c r="E179" t="s">
        <v>1207</v>
      </c>
      <c r="F179" t="s">
        <v>491</v>
      </c>
      <c r="G179" t="s">
        <v>188</v>
      </c>
      <c r="H179" s="5">
        <f>SUMPRODUCT(SUMIF(FinalPayment_NoReorg!$F$2:$F$331,FinalPayment!$D179:$F179,FinalPayment_NoReorg!$L$2:$L$331))+SUMPRODUCT(SUMIF(FinalPayment_NoReorg!$F$2:$F$331,FinalPayment!$D179:$F179,FinalPayment_NoReorg!$N$2:$N$331))</f>
        <v>247569</v>
      </c>
      <c r="I179" s="5">
        <f t="shared" si="18"/>
        <v>24757</v>
      </c>
      <c r="J179" s="5">
        <f t="shared" si="18"/>
        <v>24757</v>
      </c>
      <c r="K179" s="5">
        <f t="shared" si="18"/>
        <v>24757</v>
      </c>
      <c r="L179" s="5">
        <f t="shared" si="18"/>
        <v>24757</v>
      </c>
      <c r="M179" s="5">
        <f t="shared" si="19"/>
        <v>24757</v>
      </c>
      <c r="N179" s="5">
        <f t="shared" si="19"/>
        <v>24757</v>
      </c>
      <c r="O179" s="5">
        <f t="shared" si="19"/>
        <v>24757</v>
      </c>
      <c r="P179" s="5">
        <f t="shared" si="19"/>
        <v>24757</v>
      </c>
      <c r="Q179" s="5">
        <f t="shared" si="20"/>
        <v>24757</v>
      </c>
      <c r="R179" s="5">
        <f t="shared" si="21"/>
        <v>24756</v>
      </c>
      <c r="U179" s="8">
        <f t="shared" si="17"/>
        <v>0</v>
      </c>
      <c r="V179" s="8">
        <f>IFERROR(INDEX('Payment 1 through 9'!$A$1:$B$330,MATCH(CONCATENATE(FinalPayment!$F179,"0000"),'Payment 1 through 9'!$A$1:$A$330,0),2)*9,0)</f>
        <v>215118</v>
      </c>
      <c r="W179" s="8">
        <f>IFERROR(INDEX('FinalPayment 10'!$A$1:$B$330,MATCH(CONCATENATE(FinalPayment!$F179,"0000"),'FinalPayment 10'!$A$1:$A$330,0),2),0)</f>
        <v>23905</v>
      </c>
      <c r="X179" s="8">
        <f t="shared" si="22"/>
        <v>239023</v>
      </c>
      <c r="Y179" s="8">
        <f t="shared" si="23"/>
        <v>8546</v>
      </c>
    </row>
    <row r="180" spans="1:25" x14ac:dyDescent="0.55000000000000004">
      <c r="A180">
        <v>2021</v>
      </c>
      <c r="B180" t="s">
        <v>686</v>
      </c>
      <c r="C180" t="s">
        <v>490</v>
      </c>
      <c r="D180" t="s">
        <v>1207</v>
      </c>
      <c r="E180" t="s">
        <v>1207</v>
      </c>
      <c r="F180" t="s">
        <v>490</v>
      </c>
      <c r="G180" t="s">
        <v>189</v>
      </c>
      <c r="H180" s="5">
        <f>SUMPRODUCT(SUMIF(FinalPayment_NoReorg!$F$2:$F$331,FinalPayment!$D180:$F180,FinalPayment_NoReorg!$L$2:$L$331))+SUMPRODUCT(SUMIF(FinalPayment_NoReorg!$F$2:$F$331,FinalPayment!$D180:$F180,FinalPayment_NoReorg!$N$2:$N$331))</f>
        <v>282</v>
      </c>
      <c r="I180" s="5">
        <f t="shared" si="18"/>
        <v>28</v>
      </c>
      <c r="J180" s="5">
        <f t="shared" si="18"/>
        <v>28</v>
      </c>
      <c r="K180" s="5">
        <f t="shared" si="18"/>
        <v>28</v>
      </c>
      <c r="L180" s="5">
        <f t="shared" si="18"/>
        <v>28</v>
      </c>
      <c r="M180" s="5">
        <f t="shared" si="19"/>
        <v>28</v>
      </c>
      <c r="N180" s="5">
        <f t="shared" si="19"/>
        <v>28</v>
      </c>
      <c r="O180" s="5">
        <f t="shared" si="19"/>
        <v>28</v>
      </c>
      <c r="P180" s="5">
        <f t="shared" si="19"/>
        <v>28</v>
      </c>
      <c r="Q180" s="5">
        <f t="shared" si="20"/>
        <v>28</v>
      </c>
      <c r="R180" s="5">
        <f t="shared" si="21"/>
        <v>30</v>
      </c>
      <c r="U180" s="8">
        <f t="shared" si="17"/>
        <v>0</v>
      </c>
      <c r="V180" s="8">
        <f>IFERROR(INDEX('Payment 1 through 9'!$A$1:$B$330,MATCH(CONCATENATE(FinalPayment!$F180,"0000"),'Payment 1 through 9'!$A$1:$A$330,0),2)*9,0)</f>
        <v>0</v>
      </c>
      <c r="W180" s="8">
        <f>IFERROR(INDEX('FinalPayment 10'!$A$1:$B$330,MATCH(CONCATENATE(FinalPayment!$F180,"0000"),'FinalPayment 10'!$A$1:$A$330,0),2),0)</f>
        <v>0</v>
      </c>
      <c r="X180" s="8">
        <f t="shared" si="22"/>
        <v>0</v>
      </c>
      <c r="Y180" s="8">
        <f t="shared" si="23"/>
        <v>282</v>
      </c>
    </row>
    <row r="181" spans="1:25" x14ac:dyDescent="0.55000000000000004">
      <c r="A181">
        <v>2021</v>
      </c>
      <c r="B181" t="s">
        <v>703</v>
      </c>
      <c r="C181" t="s">
        <v>486</v>
      </c>
      <c r="D181" t="s">
        <v>1207</v>
      </c>
      <c r="E181" t="s">
        <v>1207</v>
      </c>
      <c r="F181" t="s">
        <v>486</v>
      </c>
      <c r="G181" t="s">
        <v>1226</v>
      </c>
      <c r="H181" s="5">
        <f>SUMPRODUCT(SUMIF(FinalPayment_NoReorg!$F$2:$F$331,FinalPayment!$D181:$F181,FinalPayment_NoReorg!$L$2:$L$331))+SUMPRODUCT(SUMIF(FinalPayment_NoReorg!$F$2:$F$331,FinalPayment!$D181:$F181,FinalPayment_NoReorg!$N$2:$N$331))</f>
        <v>193989</v>
      </c>
      <c r="I181" s="5">
        <f t="shared" si="18"/>
        <v>19399</v>
      </c>
      <c r="J181" s="5">
        <f t="shared" si="18"/>
        <v>19399</v>
      </c>
      <c r="K181" s="5">
        <f t="shared" si="18"/>
        <v>19399</v>
      </c>
      <c r="L181" s="5">
        <f t="shared" si="18"/>
        <v>19399</v>
      </c>
      <c r="M181" s="5">
        <f t="shared" si="19"/>
        <v>19399</v>
      </c>
      <c r="N181" s="5">
        <f t="shared" si="19"/>
        <v>19399</v>
      </c>
      <c r="O181" s="5">
        <f t="shared" si="19"/>
        <v>19399</v>
      </c>
      <c r="P181" s="5">
        <f t="shared" si="19"/>
        <v>19399</v>
      </c>
      <c r="Q181" s="5">
        <f t="shared" si="20"/>
        <v>19399</v>
      </c>
      <c r="R181" s="5">
        <f t="shared" si="21"/>
        <v>19398</v>
      </c>
      <c r="U181" s="8">
        <f t="shared" si="17"/>
        <v>0</v>
      </c>
      <c r="V181" s="8">
        <f>IFERROR(INDEX('Payment 1 through 9'!$A$1:$B$330,MATCH(CONCATENATE(FinalPayment!$F181,"0000"),'Payment 1 through 9'!$A$1:$A$330,0),2)*9,0)</f>
        <v>167238</v>
      </c>
      <c r="W181" s="8">
        <f>IFERROR(INDEX('FinalPayment 10'!$A$1:$B$330,MATCH(CONCATENATE(FinalPayment!$F181,"0000"),'FinalPayment 10'!$A$1:$A$330,0),2),0)</f>
        <v>18581</v>
      </c>
      <c r="X181" s="8">
        <f t="shared" si="22"/>
        <v>185819</v>
      </c>
      <c r="Y181" s="8">
        <f t="shared" si="23"/>
        <v>8170</v>
      </c>
    </row>
    <row r="182" spans="1:25" x14ac:dyDescent="0.55000000000000004">
      <c r="A182">
        <v>2021</v>
      </c>
      <c r="B182" t="s">
        <v>698</v>
      </c>
      <c r="C182" t="s">
        <v>489</v>
      </c>
      <c r="D182" t="s">
        <v>1207</v>
      </c>
      <c r="E182" t="s">
        <v>1207</v>
      </c>
      <c r="F182" t="s">
        <v>489</v>
      </c>
      <c r="G182" t="s">
        <v>190</v>
      </c>
      <c r="H182" s="5">
        <f>SUMPRODUCT(SUMIF(FinalPayment_NoReorg!$F$2:$F$331,FinalPayment!$D182:$F182,FinalPayment_NoReorg!$L$2:$L$331))+SUMPRODUCT(SUMIF(FinalPayment_NoReorg!$F$2:$F$331,FinalPayment!$D182:$F182,FinalPayment_NoReorg!$N$2:$N$331))</f>
        <v>240487</v>
      </c>
      <c r="I182" s="5">
        <f t="shared" si="18"/>
        <v>24049</v>
      </c>
      <c r="J182" s="5">
        <f t="shared" si="18"/>
        <v>24049</v>
      </c>
      <c r="K182" s="5">
        <f t="shared" si="18"/>
        <v>24049</v>
      </c>
      <c r="L182" s="5">
        <f t="shared" si="18"/>
        <v>24049</v>
      </c>
      <c r="M182" s="5">
        <f t="shared" si="19"/>
        <v>24049</v>
      </c>
      <c r="N182" s="5">
        <f t="shared" si="19"/>
        <v>24049</v>
      </c>
      <c r="O182" s="5">
        <f t="shared" si="19"/>
        <v>24049</v>
      </c>
      <c r="P182" s="5">
        <f t="shared" si="19"/>
        <v>24049</v>
      </c>
      <c r="Q182" s="5">
        <f t="shared" si="20"/>
        <v>24049</v>
      </c>
      <c r="R182" s="5">
        <f t="shared" si="21"/>
        <v>24046</v>
      </c>
      <c r="U182" s="8">
        <f t="shared" si="17"/>
        <v>0</v>
      </c>
      <c r="V182" s="8">
        <f>IFERROR(INDEX('Payment 1 through 9'!$A$1:$B$330,MATCH(CONCATENATE(FinalPayment!$F182,"0000"),'Payment 1 through 9'!$A$1:$A$330,0),2)*9,0)</f>
        <v>211338</v>
      </c>
      <c r="W182" s="8">
        <f>IFERROR(INDEX('FinalPayment 10'!$A$1:$B$330,MATCH(CONCATENATE(FinalPayment!$F182,"0000"),'FinalPayment 10'!$A$1:$A$330,0),2),0)</f>
        <v>23482</v>
      </c>
      <c r="X182" s="8">
        <f t="shared" si="22"/>
        <v>234820</v>
      </c>
      <c r="Y182" s="8">
        <f t="shared" si="23"/>
        <v>5667</v>
      </c>
    </row>
    <row r="183" spans="1:25" x14ac:dyDescent="0.55000000000000004">
      <c r="A183">
        <v>2021</v>
      </c>
      <c r="B183" t="s">
        <v>698</v>
      </c>
      <c r="C183" t="s">
        <v>488</v>
      </c>
      <c r="D183" t="s">
        <v>1207</v>
      </c>
      <c r="E183" t="s">
        <v>1207</v>
      </c>
      <c r="F183" t="s">
        <v>488</v>
      </c>
      <c r="G183" t="s">
        <v>191</v>
      </c>
      <c r="H183" s="5">
        <f>SUMPRODUCT(SUMIF(FinalPayment_NoReorg!$F$2:$F$331,FinalPayment!$D183:$F183,FinalPayment_NoReorg!$L$2:$L$331))+SUMPRODUCT(SUMIF(FinalPayment_NoReorg!$F$2:$F$331,FinalPayment!$D183:$F183,FinalPayment_NoReorg!$N$2:$N$331))</f>
        <v>240178</v>
      </c>
      <c r="I183" s="5">
        <f t="shared" si="18"/>
        <v>24018</v>
      </c>
      <c r="J183" s="5">
        <f t="shared" si="18"/>
        <v>24018</v>
      </c>
      <c r="K183" s="5">
        <f t="shared" si="18"/>
        <v>24018</v>
      </c>
      <c r="L183" s="5">
        <f t="shared" si="18"/>
        <v>24018</v>
      </c>
      <c r="M183" s="5">
        <f t="shared" si="19"/>
        <v>24018</v>
      </c>
      <c r="N183" s="5">
        <f t="shared" si="19"/>
        <v>24018</v>
      </c>
      <c r="O183" s="5">
        <f t="shared" si="19"/>
        <v>24018</v>
      </c>
      <c r="P183" s="5">
        <f t="shared" si="19"/>
        <v>24018</v>
      </c>
      <c r="Q183" s="5">
        <f t="shared" si="20"/>
        <v>24018</v>
      </c>
      <c r="R183" s="5">
        <f t="shared" si="21"/>
        <v>24016</v>
      </c>
      <c r="U183" s="8">
        <f t="shared" si="17"/>
        <v>0</v>
      </c>
      <c r="V183" s="8">
        <f>IFERROR(INDEX('Payment 1 through 9'!$A$1:$B$330,MATCH(CONCATENATE(FinalPayment!$F183,"0000"),'Payment 1 through 9'!$A$1:$A$330,0),2)*9,0)</f>
        <v>204174</v>
      </c>
      <c r="W183" s="8">
        <f>IFERROR(INDEX('FinalPayment 10'!$A$1:$B$330,MATCH(CONCATENATE(FinalPayment!$F183,"0000"),'FinalPayment 10'!$A$1:$A$330,0),2),0)</f>
        <v>22681</v>
      </c>
      <c r="X183" s="8">
        <f t="shared" si="22"/>
        <v>226855</v>
      </c>
      <c r="Y183" s="8">
        <f t="shared" si="23"/>
        <v>13323</v>
      </c>
    </row>
    <row r="184" spans="1:25" x14ac:dyDescent="0.55000000000000004">
      <c r="A184">
        <v>2021</v>
      </c>
      <c r="B184" t="s">
        <v>690</v>
      </c>
      <c r="C184" t="s">
        <v>487</v>
      </c>
      <c r="D184" t="s">
        <v>1207</v>
      </c>
      <c r="E184" t="s">
        <v>1207</v>
      </c>
      <c r="F184" t="s">
        <v>487</v>
      </c>
      <c r="G184" t="s">
        <v>192</v>
      </c>
      <c r="H184" s="5">
        <f>SUMPRODUCT(SUMIF(FinalPayment_NoReorg!$F$2:$F$331,FinalPayment!$D184:$F184,FinalPayment_NoReorg!$L$2:$L$331))+SUMPRODUCT(SUMIF(FinalPayment_NoReorg!$F$2:$F$331,FinalPayment!$D184:$F184,FinalPayment_NoReorg!$N$2:$N$331))</f>
        <v>24051</v>
      </c>
      <c r="I184" s="5">
        <f t="shared" si="18"/>
        <v>2405</v>
      </c>
      <c r="J184" s="5">
        <f t="shared" si="18"/>
        <v>2405</v>
      </c>
      <c r="K184" s="5">
        <f t="shared" si="18"/>
        <v>2405</v>
      </c>
      <c r="L184" s="5">
        <f t="shared" si="18"/>
        <v>2405</v>
      </c>
      <c r="M184" s="5">
        <f t="shared" si="19"/>
        <v>2405</v>
      </c>
      <c r="N184" s="5">
        <f t="shared" si="19"/>
        <v>2405</v>
      </c>
      <c r="O184" s="5">
        <f t="shared" si="19"/>
        <v>2405</v>
      </c>
      <c r="P184" s="5">
        <f t="shared" si="19"/>
        <v>2405</v>
      </c>
      <c r="Q184" s="5">
        <f t="shared" si="20"/>
        <v>2405</v>
      </c>
      <c r="R184" s="5">
        <f t="shared" si="21"/>
        <v>2406</v>
      </c>
      <c r="U184" s="8">
        <f t="shared" si="17"/>
        <v>0</v>
      </c>
      <c r="V184" s="8">
        <f>IFERROR(INDEX('Payment 1 through 9'!$A$1:$B$330,MATCH(CONCATENATE(FinalPayment!$F184,"0000"),'Payment 1 through 9'!$A$1:$A$330,0),2)*9,0)</f>
        <v>13941</v>
      </c>
      <c r="W184" s="8">
        <f>IFERROR(INDEX('FinalPayment 10'!$A$1:$B$330,MATCH(CONCATENATE(FinalPayment!$F184,"0000"),'FinalPayment 10'!$A$1:$A$330,0),2),0)</f>
        <v>1546</v>
      </c>
      <c r="X184" s="8">
        <f t="shared" si="22"/>
        <v>15487</v>
      </c>
      <c r="Y184" s="8">
        <f t="shared" si="23"/>
        <v>8564</v>
      </c>
    </row>
    <row r="185" spans="1:25" x14ac:dyDescent="0.55000000000000004">
      <c r="A185">
        <v>2021</v>
      </c>
      <c r="B185" t="s">
        <v>692</v>
      </c>
      <c r="C185" t="s">
        <v>492</v>
      </c>
      <c r="D185" t="s">
        <v>1207</v>
      </c>
      <c r="E185" t="s">
        <v>1207</v>
      </c>
      <c r="F185" t="s">
        <v>492</v>
      </c>
      <c r="G185" t="s">
        <v>1227</v>
      </c>
      <c r="H185" s="5">
        <f>SUMPRODUCT(SUMIF(FinalPayment_NoReorg!$F$2:$F$331,FinalPayment!$D185:$F185,FinalPayment_NoReorg!$L$2:$L$331))+SUMPRODUCT(SUMIF(FinalPayment_NoReorg!$F$2:$F$331,FinalPayment!$D185:$F185,FinalPayment_NoReorg!$N$2:$N$331))</f>
        <v>1185</v>
      </c>
      <c r="I185" s="5">
        <f t="shared" si="18"/>
        <v>119</v>
      </c>
      <c r="J185" s="5">
        <f t="shared" si="18"/>
        <v>119</v>
      </c>
      <c r="K185" s="5">
        <f t="shared" si="18"/>
        <v>119</v>
      </c>
      <c r="L185" s="5">
        <f t="shared" si="18"/>
        <v>119</v>
      </c>
      <c r="M185" s="5">
        <f t="shared" si="19"/>
        <v>119</v>
      </c>
      <c r="N185" s="5">
        <f t="shared" si="19"/>
        <v>119</v>
      </c>
      <c r="O185" s="5">
        <f t="shared" si="19"/>
        <v>119</v>
      </c>
      <c r="P185" s="5">
        <f t="shared" si="19"/>
        <v>119</v>
      </c>
      <c r="Q185" s="5">
        <f t="shared" si="20"/>
        <v>119</v>
      </c>
      <c r="R185" s="5">
        <f t="shared" si="21"/>
        <v>114</v>
      </c>
      <c r="U185" s="8">
        <f t="shared" si="17"/>
        <v>0</v>
      </c>
      <c r="V185" s="8">
        <f>IFERROR(INDEX('Payment 1 through 9'!$A$1:$B$330,MATCH(CONCATENATE(FinalPayment!$F185,"0000"),'Payment 1 through 9'!$A$1:$A$330,0),2)*9,0)</f>
        <v>0</v>
      </c>
      <c r="W185" s="8">
        <f>IFERROR(INDEX('FinalPayment 10'!$A$1:$B$330,MATCH(CONCATENATE(FinalPayment!$F185,"0000"),'FinalPayment 10'!$A$1:$A$330,0),2),0)</f>
        <v>0</v>
      </c>
      <c r="X185" s="8">
        <f t="shared" si="22"/>
        <v>0</v>
      </c>
      <c r="Y185" s="8">
        <f t="shared" si="23"/>
        <v>1185</v>
      </c>
    </row>
    <row r="186" spans="1:25" x14ac:dyDescent="0.55000000000000004">
      <c r="A186">
        <v>2021</v>
      </c>
      <c r="B186" t="s">
        <v>689</v>
      </c>
      <c r="C186" t="s">
        <v>485</v>
      </c>
      <c r="D186" t="s">
        <v>1207</v>
      </c>
      <c r="E186" t="s">
        <v>1207</v>
      </c>
      <c r="F186" t="s">
        <v>485</v>
      </c>
      <c r="G186" t="s">
        <v>194</v>
      </c>
      <c r="H186" s="5">
        <f>SUMPRODUCT(SUMIF(FinalPayment_NoReorg!$F$2:$F$331,FinalPayment!$D186:$F186,FinalPayment_NoReorg!$L$2:$L$331))+SUMPRODUCT(SUMIF(FinalPayment_NoReorg!$F$2:$F$331,FinalPayment!$D186:$F186,FinalPayment_NoReorg!$N$2:$N$331))</f>
        <v>399</v>
      </c>
      <c r="I186" s="5">
        <f t="shared" si="18"/>
        <v>40</v>
      </c>
      <c r="J186" s="5">
        <f t="shared" si="18"/>
        <v>40</v>
      </c>
      <c r="K186" s="5">
        <f t="shared" si="18"/>
        <v>40</v>
      </c>
      <c r="L186" s="5">
        <f t="shared" si="18"/>
        <v>40</v>
      </c>
      <c r="M186" s="5">
        <f t="shared" si="19"/>
        <v>40</v>
      </c>
      <c r="N186" s="5">
        <f t="shared" si="19"/>
        <v>40</v>
      </c>
      <c r="O186" s="5">
        <f t="shared" si="19"/>
        <v>40</v>
      </c>
      <c r="P186" s="5">
        <f t="shared" si="19"/>
        <v>40</v>
      </c>
      <c r="Q186" s="5">
        <f t="shared" si="20"/>
        <v>40</v>
      </c>
      <c r="R186" s="5">
        <f t="shared" si="21"/>
        <v>39</v>
      </c>
      <c r="U186" s="8">
        <f t="shared" si="17"/>
        <v>0</v>
      </c>
      <c r="V186" s="8">
        <f>IFERROR(INDEX('Payment 1 through 9'!$A$1:$B$330,MATCH(CONCATENATE(FinalPayment!$F186,"0000"),'Payment 1 through 9'!$A$1:$A$330,0),2)*9,0)</f>
        <v>0</v>
      </c>
      <c r="W186" s="8">
        <f>IFERROR(INDEX('FinalPayment 10'!$A$1:$B$330,MATCH(CONCATENATE(FinalPayment!$F186,"0000"),'FinalPayment 10'!$A$1:$A$330,0),2),0)</f>
        <v>0</v>
      </c>
      <c r="X186" s="8">
        <f t="shared" si="22"/>
        <v>0</v>
      </c>
      <c r="Y186" s="8">
        <f t="shared" si="23"/>
        <v>399</v>
      </c>
    </row>
    <row r="187" spans="1:25" x14ac:dyDescent="0.55000000000000004">
      <c r="A187">
        <v>2021</v>
      </c>
      <c r="B187" t="s">
        <v>698</v>
      </c>
      <c r="C187" t="s">
        <v>484</v>
      </c>
      <c r="D187" t="s">
        <v>1207</v>
      </c>
      <c r="E187" t="s">
        <v>1207</v>
      </c>
      <c r="F187" t="s">
        <v>484</v>
      </c>
      <c r="G187" t="s">
        <v>195</v>
      </c>
      <c r="H187" s="5">
        <f>SUMPRODUCT(SUMIF(FinalPayment_NoReorg!$F$2:$F$331,FinalPayment!$D187:$F187,FinalPayment_NoReorg!$L$2:$L$331))+SUMPRODUCT(SUMIF(FinalPayment_NoReorg!$F$2:$F$331,FinalPayment!$D187:$F187,FinalPayment_NoReorg!$N$2:$N$331))</f>
        <v>24971</v>
      </c>
      <c r="I187" s="5">
        <f t="shared" si="18"/>
        <v>2497</v>
      </c>
      <c r="J187" s="5">
        <f t="shared" si="18"/>
        <v>2497</v>
      </c>
      <c r="K187" s="5">
        <f t="shared" si="18"/>
        <v>2497</v>
      </c>
      <c r="L187" s="5">
        <f t="shared" si="18"/>
        <v>2497</v>
      </c>
      <c r="M187" s="5">
        <f t="shared" si="19"/>
        <v>2497</v>
      </c>
      <c r="N187" s="5">
        <f t="shared" si="19"/>
        <v>2497</v>
      </c>
      <c r="O187" s="5">
        <f t="shared" si="19"/>
        <v>2497</v>
      </c>
      <c r="P187" s="5">
        <f t="shared" si="19"/>
        <v>2497</v>
      </c>
      <c r="Q187" s="5">
        <f t="shared" si="20"/>
        <v>2497</v>
      </c>
      <c r="R187" s="5">
        <f t="shared" si="21"/>
        <v>2498</v>
      </c>
      <c r="U187" s="8">
        <f t="shared" si="17"/>
        <v>0</v>
      </c>
      <c r="V187" s="8">
        <f>IFERROR(INDEX('Payment 1 through 9'!$A$1:$B$330,MATCH(CONCATENATE(FinalPayment!$F187,"0000"),'Payment 1 through 9'!$A$1:$A$330,0),2)*9,0)</f>
        <v>13338</v>
      </c>
      <c r="W187" s="8">
        <f>IFERROR(INDEX('FinalPayment 10'!$A$1:$B$330,MATCH(CONCATENATE(FinalPayment!$F187,"0000"),'FinalPayment 10'!$A$1:$A$330,0),2),0)</f>
        <v>1485</v>
      </c>
      <c r="X187" s="8">
        <f t="shared" si="22"/>
        <v>14823</v>
      </c>
      <c r="Y187" s="8">
        <f t="shared" si="23"/>
        <v>10148</v>
      </c>
    </row>
    <row r="188" spans="1:25" x14ac:dyDescent="0.55000000000000004">
      <c r="A188">
        <v>2021</v>
      </c>
      <c r="B188" t="s">
        <v>696</v>
      </c>
      <c r="C188" t="s">
        <v>483</v>
      </c>
      <c r="D188" t="s">
        <v>1207</v>
      </c>
      <c r="E188" t="s">
        <v>1207</v>
      </c>
      <c r="F188" t="s">
        <v>483</v>
      </c>
      <c r="G188" t="s">
        <v>196</v>
      </c>
      <c r="H188" s="5">
        <f>SUMPRODUCT(SUMIF(FinalPayment_NoReorg!$F$2:$F$331,FinalPayment!$D188:$F188,FinalPayment_NoReorg!$L$2:$L$331))+SUMPRODUCT(SUMIF(FinalPayment_NoReorg!$F$2:$F$331,FinalPayment!$D188:$F188,FinalPayment_NoReorg!$N$2:$N$331))</f>
        <v>26380</v>
      </c>
      <c r="I188" s="5">
        <f t="shared" si="18"/>
        <v>2638</v>
      </c>
      <c r="J188" s="5">
        <f t="shared" si="18"/>
        <v>2638</v>
      </c>
      <c r="K188" s="5">
        <f t="shared" si="18"/>
        <v>2638</v>
      </c>
      <c r="L188" s="5">
        <f t="shared" si="18"/>
        <v>2638</v>
      </c>
      <c r="M188" s="5">
        <f t="shared" si="19"/>
        <v>2638</v>
      </c>
      <c r="N188" s="5">
        <f t="shared" si="19"/>
        <v>2638</v>
      </c>
      <c r="O188" s="5">
        <f t="shared" si="19"/>
        <v>2638</v>
      </c>
      <c r="P188" s="5">
        <f t="shared" si="19"/>
        <v>2638</v>
      </c>
      <c r="Q188" s="5">
        <f t="shared" si="20"/>
        <v>2638</v>
      </c>
      <c r="R188" s="5">
        <f t="shared" si="21"/>
        <v>2638</v>
      </c>
      <c r="U188" s="8">
        <f t="shared" si="17"/>
        <v>0</v>
      </c>
      <c r="V188" s="8">
        <f>IFERROR(INDEX('Payment 1 through 9'!$A$1:$B$330,MATCH(CONCATENATE(FinalPayment!$F188,"0000"),'Payment 1 through 9'!$A$1:$A$330,0),2)*9,0)</f>
        <v>20403</v>
      </c>
      <c r="W188" s="8">
        <f>IFERROR(INDEX('FinalPayment 10'!$A$1:$B$330,MATCH(CONCATENATE(FinalPayment!$F188,"0000"),'FinalPayment 10'!$A$1:$A$330,0),2),0)</f>
        <v>2263</v>
      </c>
      <c r="X188" s="8">
        <f t="shared" si="22"/>
        <v>22666</v>
      </c>
      <c r="Y188" s="8">
        <f t="shared" si="23"/>
        <v>3714</v>
      </c>
    </row>
    <row r="189" spans="1:25" x14ac:dyDescent="0.55000000000000004">
      <c r="A189">
        <v>2021</v>
      </c>
      <c r="B189" t="s">
        <v>690</v>
      </c>
      <c r="C189" t="s">
        <v>482</v>
      </c>
      <c r="D189" t="s">
        <v>1207</v>
      </c>
      <c r="E189" t="s">
        <v>1207</v>
      </c>
      <c r="F189" t="s">
        <v>482</v>
      </c>
      <c r="G189" t="s">
        <v>197</v>
      </c>
      <c r="H189" s="5">
        <f>SUMPRODUCT(SUMIF(FinalPayment_NoReorg!$F$2:$F$331,FinalPayment!$D189:$F189,FinalPayment_NoReorg!$L$2:$L$331))+SUMPRODUCT(SUMIF(FinalPayment_NoReorg!$F$2:$F$331,FinalPayment!$D189:$F189,FinalPayment_NoReorg!$N$2:$N$331))</f>
        <v>41101</v>
      </c>
      <c r="I189" s="5">
        <f t="shared" si="18"/>
        <v>4110</v>
      </c>
      <c r="J189" s="5">
        <f t="shared" si="18"/>
        <v>4110</v>
      </c>
      <c r="K189" s="5">
        <f t="shared" si="18"/>
        <v>4110</v>
      </c>
      <c r="L189" s="5">
        <f t="shared" si="18"/>
        <v>4110</v>
      </c>
      <c r="M189" s="5">
        <f t="shared" si="19"/>
        <v>4110</v>
      </c>
      <c r="N189" s="5">
        <f t="shared" si="19"/>
        <v>4110</v>
      </c>
      <c r="O189" s="5">
        <f t="shared" si="19"/>
        <v>4110</v>
      </c>
      <c r="P189" s="5">
        <f t="shared" si="19"/>
        <v>4110</v>
      </c>
      <c r="Q189" s="5">
        <f t="shared" si="20"/>
        <v>4110</v>
      </c>
      <c r="R189" s="5">
        <f t="shared" si="21"/>
        <v>4111</v>
      </c>
      <c r="U189" s="8">
        <f t="shared" si="17"/>
        <v>0</v>
      </c>
      <c r="V189" s="8">
        <f>IFERROR(INDEX('Payment 1 through 9'!$A$1:$B$330,MATCH(CONCATENATE(FinalPayment!$F189,"0000"),'Payment 1 through 9'!$A$1:$A$330,0),2)*9,0)</f>
        <v>34623</v>
      </c>
      <c r="W189" s="8">
        <f>IFERROR(INDEX('FinalPayment 10'!$A$1:$B$330,MATCH(CONCATENATE(FinalPayment!$F189,"0000"),'FinalPayment 10'!$A$1:$A$330,0),2),0)</f>
        <v>3842</v>
      </c>
      <c r="X189" s="8">
        <f t="shared" si="22"/>
        <v>38465</v>
      </c>
      <c r="Y189" s="8">
        <f t="shared" si="23"/>
        <v>2636</v>
      </c>
    </row>
    <row r="190" spans="1:25" x14ac:dyDescent="0.55000000000000004">
      <c r="A190">
        <v>2021</v>
      </c>
      <c r="B190" t="s">
        <v>696</v>
      </c>
      <c r="C190" t="s">
        <v>481</v>
      </c>
      <c r="D190" t="s">
        <v>1207</v>
      </c>
      <c r="E190" t="s">
        <v>1207</v>
      </c>
      <c r="F190" t="s">
        <v>481</v>
      </c>
      <c r="G190" t="s">
        <v>198</v>
      </c>
      <c r="H190" s="5">
        <f>SUMPRODUCT(SUMIF(FinalPayment_NoReorg!$F$2:$F$331,FinalPayment!$D190:$F190,FinalPayment_NoReorg!$L$2:$L$331))+SUMPRODUCT(SUMIF(FinalPayment_NoReorg!$F$2:$F$331,FinalPayment!$D190:$F190,FinalPayment_NoReorg!$N$2:$N$331))</f>
        <v>168</v>
      </c>
      <c r="I190" s="5">
        <f t="shared" si="18"/>
        <v>17</v>
      </c>
      <c r="J190" s="5">
        <f t="shared" si="18"/>
        <v>17</v>
      </c>
      <c r="K190" s="5">
        <f t="shared" si="18"/>
        <v>17</v>
      </c>
      <c r="L190" s="5">
        <f t="shared" si="18"/>
        <v>17</v>
      </c>
      <c r="M190" s="5">
        <f t="shared" si="19"/>
        <v>17</v>
      </c>
      <c r="N190" s="5">
        <f t="shared" si="19"/>
        <v>17</v>
      </c>
      <c r="O190" s="5">
        <f t="shared" si="19"/>
        <v>17</v>
      </c>
      <c r="P190" s="5">
        <f t="shared" si="19"/>
        <v>17</v>
      </c>
      <c r="Q190" s="5">
        <f t="shared" si="20"/>
        <v>17</v>
      </c>
      <c r="R190" s="5">
        <f t="shared" si="21"/>
        <v>15</v>
      </c>
      <c r="U190" s="8">
        <f t="shared" si="17"/>
        <v>0</v>
      </c>
      <c r="V190" s="8">
        <f>IFERROR(INDEX('Payment 1 through 9'!$A$1:$B$330,MATCH(CONCATENATE(FinalPayment!$F190,"0000"),'Payment 1 through 9'!$A$1:$A$330,0),2)*9,0)</f>
        <v>0</v>
      </c>
      <c r="W190" s="8">
        <f>IFERROR(INDEX('FinalPayment 10'!$A$1:$B$330,MATCH(CONCATENATE(FinalPayment!$F190,"0000"),'FinalPayment 10'!$A$1:$A$330,0),2),0)</f>
        <v>0</v>
      </c>
      <c r="X190" s="8">
        <f t="shared" si="22"/>
        <v>0</v>
      </c>
      <c r="Y190" s="8">
        <f t="shared" si="23"/>
        <v>168</v>
      </c>
    </row>
    <row r="191" spans="1:25" x14ac:dyDescent="0.55000000000000004">
      <c r="A191">
        <v>2021</v>
      </c>
      <c r="B191" t="s">
        <v>696</v>
      </c>
      <c r="C191" t="s">
        <v>480</v>
      </c>
      <c r="D191" t="s">
        <v>1207</v>
      </c>
      <c r="E191" t="s">
        <v>1207</v>
      </c>
      <c r="F191" t="s">
        <v>480</v>
      </c>
      <c r="G191" t="s">
        <v>199</v>
      </c>
      <c r="H191" s="5">
        <f>SUMPRODUCT(SUMIF(FinalPayment_NoReorg!$F$2:$F$331,FinalPayment!$D191:$F191,FinalPayment_NoReorg!$L$2:$L$331))+SUMPRODUCT(SUMIF(FinalPayment_NoReorg!$F$2:$F$331,FinalPayment!$D191:$F191,FinalPayment_NoReorg!$N$2:$N$331))</f>
        <v>35805</v>
      </c>
      <c r="I191" s="5">
        <f t="shared" si="18"/>
        <v>3581</v>
      </c>
      <c r="J191" s="5">
        <f t="shared" si="18"/>
        <v>3581</v>
      </c>
      <c r="K191" s="5">
        <f t="shared" si="18"/>
        <v>3581</v>
      </c>
      <c r="L191" s="5">
        <f t="shared" si="18"/>
        <v>3581</v>
      </c>
      <c r="M191" s="5">
        <f t="shared" si="19"/>
        <v>3581</v>
      </c>
      <c r="N191" s="5">
        <f t="shared" si="19"/>
        <v>3581</v>
      </c>
      <c r="O191" s="5">
        <f t="shared" si="19"/>
        <v>3581</v>
      </c>
      <c r="P191" s="5">
        <f t="shared" si="19"/>
        <v>3581</v>
      </c>
      <c r="Q191" s="5">
        <f t="shared" si="20"/>
        <v>3581</v>
      </c>
      <c r="R191" s="5">
        <f t="shared" si="21"/>
        <v>3576</v>
      </c>
      <c r="U191" s="8">
        <f t="shared" si="17"/>
        <v>0</v>
      </c>
      <c r="V191" s="8">
        <f>IFERROR(INDEX('Payment 1 through 9'!$A$1:$B$330,MATCH(CONCATENATE(FinalPayment!$F191,"0000"),'Payment 1 through 9'!$A$1:$A$330,0),2)*9,0)</f>
        <v>30132</v>
      </c>
      <c r="W191" s="8">
        <f>IFERROR(INDEX('FinalPayment 10'!$A$1:$B$330,MATCH(CONCATENATE(FinalPayment!$F191,"0000"),'FinalPayment 10'!$A$1:$A$330,0),2),0)</f>
        <v>3352</v>
      </c>
      <c r="X191" s="8">
        <f t="shared" si="22"/>
        <v>33484</v>
      </c>
      <c r="Y191" s="8">
        <f t="shared" si="23"/>
        <v>2321</v>
      </c>
    </row>
    <row r="192" spans="1:25" x14ac:dyDescent="0.55000000000000004">
      <c r="A192">
        <v>2021</v>
      </c>
      <c r="B192" t="s">
        <v>690</v>
      </c>
      <c r="C192" t="s">
        <v>479</v>
      </c>
      <c r="D192" t="s">
        <v>1207</v>
      </c>
      <c r="E192" t="s">
        <v>1207</v>
      </c>
      <c r="F192" t="s">
        <v>479</v>
      </c>
      <c r="G192" t="s">
        <v>200</v>
      </c>
      <c r="H192" s="5">
        <f>SUMPRODUCT(SUMIF(FinalPayment_NoReorg!$F$2:$F$331,FinalPayment!$D192:$F192,FinalPayment_NoReorg!$L$2:$L$331))+SUMPRODUCT(SUMIF(FinalPayment_NoReorg!$F$2:$F$331,FinalPayment!$D192:$F192,FinalPayment_NoReorg!$N$2:$N$331))</f>
        <v>152906</v>
      </c>
      <c r="I192" s="5">
        <f t="shared" si="18"/>
        <v>15291</v>
      </c>
      <c r="J192" s="5">
        <f t="shared" si="18"/>
        <v>15291</v>
      </c>
      <c r="K192" s="5">
        <f t="shared" si="18"/>
        <v>15291</v>
      </c>
      <c r="L192" s="5">
        <f t="shared" si="18"/>
        <v>15291</v>
      </c>
      <c r="M192" s="5">
        <f t="shared" si="19"/>
        <v>15291</v>
      </c>
      <c r="N192" s="5">
        <f t="shared" si="19"/>
        <v>15291</v>
      </c>
      <c r="O192" s="5">
        <f t="shared" si="19"/>
        <v>15291</v>
      </c>
      <c r="P192" s="5">
        <f t="shared" si="19"/>
        <v>15291</v>
      </c>
      <c r="Q192" s="5">
        <f t="shared" si="20"/>
        <v>15291</v>
      </c>
      <c r="R192" s="5">
        <f t="shared" si="21"/>
        <v>15287</v>
      </c>
      <c r="U192" s="8">
        <f t="shared" si="17"/>
        <v>0</v>
      </c>
      <c r="V192" s="8">
        <f>IFERROR(INDEX('Payment 1 through 9'!$A$1:$B$330,MATCH(CONCATENATE(FinalPayment!$F192,"0000"),'Payment 1 through 9'!$A$1:$A$330,0),2)*9,0)</f>
        <v>131832</v>
      </c>
      <c r="W192" s="8">
        <f>IFERROR(INDEX('FinalPayment 10'!$A$1:$B$330,MATCH(CONCATENATE(FinalPayment!$F192,"0000"),'FinalPayment 10'!$A$1:$A$330,0),2),0)</f>
        <v>14646</v>
      </c>
      <c r="X192" s="8">
        <f t="shared" si="22"/>
        <v>146478</v>
      </c>
      <c r="Y192" s="8">
        <f t="shared" si="23"/>
        <v>6428</v>
      </c>
    </row>
    <row r="193" spans="1:25" x14ac:dyDescent="0.55000000000000004">
      <c r="A193">
        <v>2021</v>
      </c>
      <c r="B193" t="s">
        <v>696</v>
      </c>
      <c r="C193" t="s">
        <v>478</v>
      </c>
      <c r="D193" t="s">
        <v>1207</v>
      </c>
      <c r="E193" t="s">
        <v>1207</v>
      </c>
      <c r="F193" t="s">
        <v>478</v>
      </c>
      <c r="G193" t="s">
        <v>201</v>
      </c>
      <c r="H193" s="5">
        <f>SUMPRODUCT(SUMIF(FinalPayment_NoReorg!$F$2:$F$331,FinalPayment!$D193:$F193,FinalPayment_NoReorg!$L$2:$L$331))+SUMPRODUCT(SUMIF(FinalPayment_NoReorg!$F$2:$F$331,FinalPayment!$D193:$F193,FinalPayment_NoReorg!$N$2:$N$331))</f>
        <v>1573</v>
      </c>
      <c r="I193" s="5">
        <f t="shared" si="18"/>
        <v>157</v>
      </c>
      <c r="J193" s="5">
        <f t="shared" si="18"/>
        <v>157</v>
      </c>
      <c r="K193" s="5">
        <f t="shared" si="18"/>
        <v>157</v>
      </c>
      <c r="L193" s="5">
        <f t="shared" si="18"/>
        <v>157</v>
      </c>
      <c r="M193" s="5">
        <f t="shared" si="19"/>
        <v>157</v>
      </c>
      <c r="N193" s="5">
        <f t="shared" si="19"/>
        <v>157</v>
      </c>
      <c r="O193" s="5">
        <f t="shared" si="19"/>
        <v>157</v>
      </c>
      <c r="P193" s="5">
        <f t="shared" si="19"/>
        <v>157</v>
      </c>
      <c r="Q193" s="5">
        <f t="shared" si="20"/>
        <v>157</v>
      </c>
      <c r="R193" s="5">
        <f t="shared" si="21"/>
        <v>160</v>
      </c>
      <c r="U193" s="8">
        <f t="shared" si="17"/>
        <v>0</v>
      </c>
      <c r="V193" s="8">
        <f>IFERROR(INDEX('Payment 1 through 9'!$A$1:$B$330,MATCH(CONCATENATE(FinalPayment!$F193,"0000"),'Payment 1 through 9'!$A$1:$A$330,0),2)*9,0)</f>
        <v>0</v>
      </c>
      <c r="W193" s="8">
        <f>IFERROR(INDEX('FinalPayment 10'!$A$1:$B$330,MATCH(CONCATENATE(FinalPayment!$F193,"0000"),'FinalPayment 10'!$A$1:$A$330,0),2),0)</f>
        <v>0</v>
      </c>
      <c r="X193" s="8">
        <f t="shared" si="22"/>
        <v>0</v>
      </c>
      <c r="Y193" s="8">
        <f t="shared" si="23"/>
        <v>1573</v>
      </c>
    </row>
    <row r="194" spans="1:25" x14ac:dyDescent="0.55000000000000004">
      <c r="A194">
        <v>2021</v>
      </c>
      <c r="B194" t="s">
        <v>698</v>
      </c>
      <c r="C194" t="s">
        <v>477</v>
      </c>
      <c r="D194" t="s">
        <v>1207</v>
      </c>
      <c r="E194" t="s">
        <v>1207</v>
      </c>
      <c r="F194" t="s">
        <v>477</v>
      </c>
      <c r="G194" t="s">
        <v>202</v>
      </c>
      <c r="H194" s="5">
        <f>SUMPRODUCT(SUMIF(FinalPayment_NoReorg!$F$2:$F$331,FinalPayment!$D194:$F194,FinalPayment_NoReorg!$L$2:$L$331))+SUMPRODUCT(SUMIF(FinalPayment_NoReorg!$F$2:$F$331,FinalPayment!$D194:$F194,FinalPayment_NoReorg!$N$2:$N$331))</f>
        <v>918</v>
      </c>
      <c r="I194" s="5">
        <f t="shared" si="18"/>
        <v>92</v>
      </c>
      <c r="J194" s="5">
        <f t="shared" si="18"/>
        <v>92</v>
      </c>
      <c r="K194" s="5">
        <f t="shared" si="18"/>
        <v>92</v>
      </c>
      <c r="L194" s="5">
        <f t="shared" ref="L194" si="24">ROUND($H194/10,0)</f>
        <v>92</v>
      </c>
      <c r="M194" s="5">
        <f t="shared" si="19"/>
        <v>92</v>
      </c>
      <c r="N194" s="5">
        <f t="shared" si="19"/>
        <v>92</v>
      </c>
      <c r="O194" s="5">
        <f t="shared" si="19"/>
        <v>92</v>
      </c>
      <c r="P194" s="5">
        <f t="shared" ref="P194:Q257" si="25">ROUND($H194/10,0)</f>
        <v>92</v>
      </c>
      <c r="Q194" s="5">
        <f t="shared" si="20"/>
        <v>92</v>
      </c>
      <c r="R194" s="5">
        <f t="shared" si="21"/>
        <v>90</v>
      </c>
      <c r="U194" s="8">
        <f t="shared" ref="U194:U257" si="26">SUM(I194:R194)-H194</f>
        <v>0</v>
      </c>
      <c r="V194" s="8">
        <f>IFERROR(INDEX('Payment 1 through 9'!$A$1:$B$330,MATCH(CONCATENATE(FinalPayment!$F194,"0000"),'Payment 1 through 9'!$A$1:$A$330,0),2)*9,0)</f>
        <v>0</v>
      </c>
      <c r="W194" s="8">
        <f>IFERROR(INDEX('FinalPayment 10'!$A$1:$B$330,MATCH(CONCATENATE(FinalPayment!$F194,"0000"),'FinalPayment 10'!$A$1:$A$330,0),2),0)</f>
        <v>0</v>
      </c>
      <c r="X194" s="8">
        <f t="shared" si="22"/>
        <v>0</v>
      </c>
      <c r="Y194" s="8">
        <f t="shared" si="23"/>
        <v>918</v>
      </c>
    </row>
    <row r="195" spans="1:25" x14ac:dyDescent="0.55000000000000004">
      <c r="A195">
        <v>2021</v>
      </c>
      <c r="B195" t="s">
        <v>690</v>
      </c>
      <c r="C195" t="s">
        <v>476</v>
      </c>
      <c r="D195" t="s">
        <v>1207</v>
      </c>
      <c r="E195" t="s">
        <v>1207</v>
      </c>
      <c r="F195" t="s">
        <v>476</v>
      </c>
      <c r="G195" t="s">
        <v>203</v>
      </c>
      <c r="H195" s="5">
        <f>SUMPRODUCT(SUMIF(FinalPayment_NoReorg!$F$2:$F$331,FinalPayment!$D195:$F195,FinalPayment_NoReorg!$L$2:$L$331))+SUMPRODUCT(SUMIF(FinalPayment_NoReorg!$F$2:$F$331,FinalPayment!$D195:$F195,FinalPayment_NoReorg!$N$2:$N$331))</f>
        <v>47117</v>
      </c>
      <c r="I195" s="5">
        <f t="shared" ref="I195:L258" si="27">ROUND($H195/10,0)</f>
        <v>4712</v>
      </c>
      <c r="J195" s="5">
        <f t="shared" si="27"/>
        <v>4712</v>
      </c>
      <c r="K195" s="5">
        <f t="shared" si="27"/>
        <v>4712</v>
      </c>
      <c r="L195" s="5">
        <f t="shared" si="27"/>
        <v>4712</v>
      </c>
      <c r="M195" s="5">
        <f t="shared" ref="M195:Q258" si="28">ROUND($H195/10,0)</f>
        <v>4712</v>
      </c>
      <c r="N195" s="5">
        <f t="shared" si="28"/>
        <v>4712</v>
      </c>
      <c r="O195" s="5">
        <f t="shared" si="28"/>
        <v>4712</v>
      </c>
      <c r="P195" s="5">
        <f t="shared" si="25"/>
        <v>4712</v>
      </c>
      <c r="Q195" s="5">
        <f t="shared" si="25"/>
        <v>4712</v>
      </c>
      <c r="R195" s="5">
        <f t="shared" ref="R195:R258" si="29">$H195-SUM(I195:Q195)</f>
        <v>4709</v>
      </c>
      <c r="U195" s="8">
        <f t="shared" si="26"/>
        <v>0</v>
      </c>
      <c r="V195" s="8">
        <f>IFERROR(INDEX('Payment 1 through 9'!$A$1:$B$330,MATCH(CONCATENATE(FinalPayment!$F195,"0000"),'Payment 1 through 9'!$A$1:$A$330,0),2)*9,0)</f>
        <v>40086</v>
      </c>
      <c r="W195" s="8">
        <f>IFERROR(INDEX('FinalPayment 10'!$A$1:$B$330,MATCH(CONCATENATE(FinalPayment!$F195,"0000"),'FinalPayment 10'!$A$1:$A$330,0),2),0)</f>
        <v>4458</v>
      </c>
      <c r="X195" s="8">
        <f t="shared" ref="X195:X258" si="30">SUM(V195:W195)</f>
        <v>44544</v>
      </c>
      <c r="Y195" s="8">
        <f t="shared" ref="Y195:Y258" si="31">H195-X195</f>
        <v>2573</v>
      </c>
    </row>
    <row r="196" spans="1:25" x14ac:dyDescent="0.55000000000000004">
      <c r="A196">
        <v>2021</v>
      </c>
      <c r="B196" t="s">
        <v>707</v>
      </c>
      <c r="C196" t="s">
        <v>475</v>
      </c>
      <c r="D196" t="s">
        <v>1207</v>
      </c>
      <c r="E196" t="s">
        <v>1207</v>
      </c>
      <c r="F196" t="s">
        <v>475</v>
      </c>
      <c r="G196" t="s">
        <v>204</v>
      </c>
      <c r="H196" s="5">
        <f>SUMPRODUCT(SUMIF(FinalPayment_NoReorg!$F$2:$F$331,FinalPayment!$D196:$F196,FinalPayment_NoReorg!$L$2:$L$331))+SUMPRODUCT(SUMIF(FinalPayment_NoReorg!$F$2:$F$331,FinalPayment!$D196:$F196,FinalPayment_NoReorg!$N$2:$N$331))</f>
        <v>4006</v>
      </c>
      <c r="I196" s="5">
        <f t="shared" si="27"/>
        <v>401</v>
      </c>
      <c r="J196" s="5">
        <f t="shared" si="27"/>
        <v>401</v>
      </c>
      <c r="K196" s="5">
        <f t="shared" si="27"/>
        <v>401</v>
      </c>
      <c r="L196" s="5">
        <f t="shared" si="27"/>
        <v>401</v>
      </c>
      <c r="M196" s="5">
        <f t="shared" si="28"/>
        <v>401</v>
      </c>
      <c r="N196" s="5">
        <f t="shared" si="28"/>
        <v>401</v>
      </c>
      <c r="O196" s="5">
        <f t="shared" si="28"/>
        <v>401</v>
      </c>
      <c r="P196" s="5">
        <f t="shared" si="25"/>
        <v>401</v>
      </c>
      <c r="Q196" s="5">
        <f t="shared" si="25"/>
        <v>401</v>
      </c>
      <c r="R196" s="5">
        <f t="shared" si="29"/>
        <v>397</v>
      </c>
      <c r="U196" s="8">
        <f t="shared" si="26"/>
        <v>0</v>
      </c>
      <c r="V196" s="8">
        <f>IFERROR(INDEX('Payment 1 through 9'!$A$1:$B$330,MATCH(CONCATENATE(FinalPayment!$F196,"0000"),'Payment 1 through 9'!$A$1:$A$330,0),2)*9,0)</f>
        <v>0</v>
      </c>
      <c r="W196" s="8">
        <f>IFERROR(INDEX('FinalPayment 10'!$A$1:$B$330,MATCH(CONCATENATE(FinalPayment!$F196,"0000"),'FinalPayment 10'!$A$1:$A$330,0),2),0)</f>
        <v>0</v>
      </c>
      <c r="X196" s="8">
        <f t="shared" si="30"/>
        <v>0</v>
      </c>
      <c r="Y196" s="8">
        <f t="shared" si="31"/>
        <v>4006</v>
      </c>
    </row>
    <row r="197" spans="1:25" x14ac:dyDescent="0.55000000000000004">
      <c r="A197">
        <v>2021</v>
      </c>
      <c r="B197" t="s">
        <v>689</v>
      </c>
      <c r="C197" t="s">
        <v>474</v>
      </c>
      <c r="D197" t="s">
        <v>1207</v>
      </c>
      <c r="E197" t="s">
        <v>1207</v>
      </c>
      <c r="F197" t="s">
        <v>474</v>
      </c>
      <c r="G197" t="s">
        <v>205</v>
      </c>
      <c r="H197" s="5">
        <f>SUMPRODUCT(SUMIF(FinalPayment_NoReorg!$F$2:$F$331,FinalPayment!$D197:$F197,FinalPayment_NoReorg!$L$2:$L$331))+SUMPRODUCT(SUMIF(FinalPayment_NoReorg!$F$2:$F$331,FinalPayment!$D197:$F197,FinalPayment_NoReorg!$N$2:$N$331))</f>
        <v>75946</v>
      </c>
      <c r="I197" s="5">
        <f t="shared" si="27"/>
        <v>7595</v>
      </c>
      <c r="J197" s="5">
        <f t="shared" si="27"/>
        <v>7595</v>
      </c>
      <c r="K197" s="5">
        <f t="shared" si="27"/>
        <v>7595</v>
      </c>
      <c r="L197" s="5">
        <f t="shared" si="27"/>
        <v>7595</v>
      </c>
      <c r="M197" s="5">
        <f t="shared" si="28"/>
        <v>7595</v>
      </c>
      <c r="N197" s="5">
        <f t="shared" si="28"/>
        <v>7595</v>
      </c>
      <c r="O197" s="5">
        <f t="shared" si="28"/>
        <v>7595</v>
      </c>
      <c r="P197" s="5">
        <f t="shared" si="25"/>
        <v>7595</v>
      </c>
      <c r="Q197" s="5">
        <f t="shared" si="25"/>
        <v>7595</v>
      </c>
      <c r="R197" s="5">
        <f t="shared" si="29"/>
        <v>7591</v>
      </c>
      <c r="U197" s="8">
        <f t="shared" si="26"/>
        <v>0</v>
      </c>
      <c r="V197" s="8">
        <f>IFERROR(INDEX('Payment 1 through 9'!$A$1:$B$330,MATCH(CONCATENATE(FinalPayment!$F197,"0000"),'Payment 1 through 9'!$A$1:$A$330,0),2)*9,0)</f>
        <v>62640</v>
      </c>
      <c r="W197" s="8">
        <f>IFERROR(INDEX('FinalPayment 10'!$A$1:$B$330,MATCH(CONCATENATE(FinalPayment!$F197,"0000"),'FinalPayment 10'!$A$1:$A$330,0),2),0)</f>
        <v>6959</v>
      </c>
      <c r="X197" s="8">
        <f t="shared" si="30"/>
        <v>69599</v>
      </c>
      <c r="Y197" s="8">
        <f t="shared" si="31"/>
        <v>6347</v>
      </c>
    </row>
    <row r="198" spans="1:25" x14ac:dyDescent="0.55000000000000004">
      <c r="A198">
        <v>2021</v>
      </c>
      <c r="B198" t="s">
        <v>686</v>
      </c>
      <c r="C198" t="s">
        <v>473</v>
      </c>
      <c r="D198" t="s">
        <v>1207</v>
      </c>
      <c r="E198" t="s">
        <v>1207</v>
      </c>
      <c r="F198" t="s">
        <v>473</v>
      </c>
      <c r="G198" t="s">
        <v>206</v>
      </c>
      <c r="H198" s="5">
        <f>SUMPRODUCT(SUMIF(FinalPayment_NoReorg!$F$2:$F$331,FinalPayment!$D198:$F198,FinalPayment_NoReorg!$L$2:$L$331))+SUMPRODUCT(SUMIF(FinalPayment_NoReorg!$F$2:$F$331,FinalPayment!$D198:$F198,FinalPayment_NoReorg!$N$2:$N$331))</f>
        <v>1213</v>
      </c>
      <c r="I198" s="5">
        <f t="shared" si="27"/>
        <v>121</v>
      </c>
      <c r="J198" s="5">
        <f t="shared" si="27"/>
        <v>121</v>
      </c>
      <c r="K198" s="5">
        <f t="shared" si="27"/>
        <v>121</v>
      </c>
      <c r="L198" s="5">
        <f t="shared" si="27"/>
        <v>121</v>
      </c>
      <c r="M198" s="5">
        <f t="shared" si="28"/>
        <v>121</v>
      </c>
      <c r="N198" s="5">
        <f t="shared" si="28"/>
        <v>121</v>
      </c>
      <c r="O198" s="5">
        <f t="shared" si="28"/>
        <v>121</v>
      </c>
      <c r="P198" s="5">
        <f t="shared" si="25"/>
        <v>121</v>
      </c>
      <c r="Q198" s="5">
        <f t="shared" si="25"/>
        <v>121</v>
      </c>
      <c r="R198" s="5">
        <f t="shared" si="29"/>
        <v>124</v>
      </c>
      <c r="U198" s="8">
        <f t="shared" si="26"/>
        <v>0</v>
      </c>
      <c r="V198" s="8">
        <f>IFERROR(INDEX('Payment 1 through 9'!$A$1:$B$330,MATCH(CONCATENATE(FinalPayment!$F198,"0000"),'Payment 1 through 9'!$A$1:$A$330,0),2)*9,0)</f>
        <v>0</v>
      </c>
      <c r="W198" s="8">
        <f>IFERROR(INDEX('FinalPayment 10'!$A$1:$B$330,MATCH(CONCATENATE(FinalPayment!$F198,"0000"),'FinalPayment 10'!$A$1:$A$330,0),2),0)</f>
        <v>0</v>
      </c>
      <c r="X198" s="8">
        <f t="shared" si="30"/>
        <v>0</v>
      </c>
      <c r="Y198" s="8">
        <f t="shared" si="31"/>
        <v>1213</v>
      </c>
    </row>
    <row r="199" spans="1:25" x14ac:dyDescent="0.55000000000000004">
      <c r="A199">
        <v>2021</v>
      </c>
      <c r="B199" t="s">
        <v>703</v>
      </c>
      <c r="C199" t="s">
        <v>471</v>
      </c>
      <c r="D199" t="s">
        <v>1207</v>
      </c>
      <c r="E199" t="s">
        <v>1207</v>
      </c>
      <c r="F199" t="s">
        <v>471</v>
      </c>
      <c r="G199" t="s">
        <v>208</v>
      </c>
      <c r="H199" s="5">
        <f>SUMPRODUCT(SUMIF(FinalPayment_NoReorg!$F$2:$F$331,FinalPayment!$D199:$F199,FinalPayment_NoReorg!$L$2:$L$331))+SUMPRODUCT(SUMIF(FinalPayment_NoReorg!$F$2:$F$331,FinalPayment!$D199:$F199,FinalPayment_NoReorg!$N$2:$N$331))</f>
        <v>96022</v>
      </c>
      <c r="I199" s="5">
        <f t="shared" si="27"/>
        <v>9602</v>
      </c>
      <c r="J199" s="5">
        <f t="shared" si="27"/>
        <v>9602</v>
      </c>
      <c r="K199" s="5">
        <f t="shared" si="27"/>
        <v>9602</v>
      </c>
      <c r="L199" s="5">
        <f t="shared" si="27"/>
        <v>9602</v>
      </c>
      <c r="M199" s="5">
        <f t="shared" si="28"/>
        <v>9602</v>
      </c>
      <c r="N199" s="5">
        <f t="shared" si="28"/>
        <v>9602</v>
      </c>
      <c r="O199" s="5">
        <f t="shared" si="28"/>
        <v>9602</v>
      </c>
      <c r="P199" s="5">
        <f t="shared" si="25"/>
        <v>9602</v>
      </c>
      <c r="Q199" s="5">
        <f t="shared" si="25"/>
        <v>9602</v>
      </c>
      <c r="R199" s="5">
        <f t="shared" si="29"/>
        <v>9604</v>
      </c>
      <c r="U199" s="8">
        <f t="shared" si="26"/>
        <v>0</v>
      </c>
      <c r="V199" s="8">
        <f>IFERROR(INDEX('Payment 1 through 9'!$A$1:$B$330,MATCH(CONCATENATE(FinalPayment!$F199,"0000"),'Payment 1 through 9'!$A$1:$A$330,0),2)*9,0)</f>
        <v>77490</v>
      </c>
      <c r="W199" s="8">
        <f>IFERROR(INDEX('FinalPayment 10'!$A$1:$B$330,MATCH(CONCATENATE(FinalPayment!$F199,"0000"),'FinalPayment 10'!$A$1:$A$330,0),2),0)</f>
        <v>8606</v>
      </c>
      <c r="X199" s="8">
        <f t="shared" si="30"/>
        <v>86096</v>
      </c>
      <c r="Y199" s="8">
        <f t="shared" si="31"/>
        <v>9926</v>
      </c>
    </row>
    <row r="200" spans="1:25" x14ac:dyDescent="0.55000000000000004">
      <c r="A200">
        <v>2021</v>
      </c>
      <c r="B200" t="s">
        <v>696</v>
      </c>
      <c r="C200" t="s">
        <v>470</v>
      </c>
      <c r="D200" t="s">
        <v>1207</v>
      </c>
      <c r="E200" t="s">
        <v>1207</v>
      </c>
      <c r="F200" t="s">
        <v>470</v>
      </c>
      <c r="G200" t="s">
        <v>209</v>
      </c>
      <c r="H200" s="5">
        <f>SUMPRODUCT(SUMIF(FinalPayment_NoReorg!$F$2:$F$331,FinalPayment!$D200:$F200,FinalPayment_NoReorg!$L$2:$L$331))+SUMPRODUCT(SUMIF(FinalPayment_NoReorg!$F$2:$F$331,FinalPayment!$D200:$F200,FinalPayment_NoReorg!$N$2:$N$331))</f>
        <v>405</v>
      </c>
      <c r="I200" s="5">
        <f t="shared" si="27"/>
        <v>41</v>
      </c>
      <c r="J200" s="5">
        <f t="shared" si="27"/>
        <v>41</v>
      </c>
      <c r="K200" s="5">
        <f t="shared" si="27"/>
        <v>41</v>
      </c>
      <c r="L200" s="5">
        <f t="shared" si="27"/>
        <v>41</v>
      </c>
      <c r="M200" s="5">
        <f t="shared" si="28"/>
        <v>41</v>
      </c>
      <c r="N200" s="5">
        <f t="shared" si="28"/>
        <v>41</v>
      </c>
      <c r="O200" s="5">
        <f t="shared" si="28"/>
        <v>41</v>
      </c>
      <c r="P200" s="5">
        <f t="shared" si="25"/>
        <v>41</v>
      </c>
      <c r="Q200" s="5">
        <f t="shared" si="25"/>
        <v>41</v>
      </c>
      <c r="R200" s="5">
        <f t="shared" si="29"/>
        <v>36</v>
      </c>
      <c r="U200" s="8">
        <f t="shared" si="26"/>
        <v>0</v>
      </c>
      <c r="V200" s="8">
        <f>IFERROR(INDEX('Payment 1 through 9'!$A$1:$B$330,MATCH(CONCATENATE(FinalPayment!$F200,"0000"),'Payment 1 through 9'!$A$1:$A$330,0),2)*9,0)</f>
        <v>0</v>
      </c>
      <c r="W200" s="8">
        <f>IFERROR(INDEX('FinalPayment 10'!$A$1:$B$330,MATCH(CONCATENATE(FinalPayment!$F200,"0000"),'FinalPayment 10'!$A$1:$A$330,0),2),0)</f>
        <v>0</v>
      </c>
      <c r="X200" s="8">
        <f t="shared" si="30"/>
        <v>0</v>
      </c>
      <c r="Y200" s="8">
        <f t="shared" si="31"/>
        <v>405</v>
      </c>
    </row>
    <row r="201" spans="1:25" x14ac:dyDescent="0.55000000000000004">
      <c r="A201">
        <v>2021</v>
      </c>
      <c r="B201" t="s">
        <v>694</v>
      </c>
      <c r="C201" t="s">
        <v>472</v>
      </c>
      <c r="D201" t="s">
        <v>1207</v>
      </c>
      <c r="E201" t="s">
        <v>1207</v>
      </c>
      <c r="F201" t="s">
        <v>472</v>
      </c>
      <c r="G201" t="s">
        <v>207</v>
      </c>
      <c r="H201" s="5">
        <f>SUMPRODUCT(SUMIF(FinalPayment_NoReorg!$F$2:$F$331,FinalPayment!$D201:$F201,FinalPayment_NoReorg!$L$2:$L$331))+SUMPRODUCT(SUMIF(FinalPayment_NoReorg!$F$2:$F$331,FinalPayment!$D201:$F201,FinalPayment_NoReorg!$N$2:$N$331))</f>
        <v>67242</v>
      </c>
      <c r="I201" s="5">
        <f t="shared" si="27"/>
        <v>6724</v>
      </c>
      <c r="J201" s="5">
        <f t="shared" si="27"/>
        <v>6724</v>
      </c>
      <c r="K201" s="5">
        <f t="shared" si="27"/>
        <v>6724</v>
      </c>
      <c r="L201" s="5">
        <f t="shared" si="27"/>
        <v>6724</v>
      </c>
      <c r="M201" s="5">
        <f t="shared" si="28"/>
        <v>6724</v>
      </c>
      <c r="N201" s="5">
        <f t="shared" si="28"/>
        <v>6724</v>
      </c>
      <c r="O201" s="5">
        <f t="shared" si="28"/>
        <v>6724</v>
      </c>
      <c r="P201" s="5">
        <f t="shared" si="25"/>
        <v>6724</v>
      </c>
      <c r="Q201" s="5">
        <f t="shared" si="25"/>
        <v>6724</v>
      </c>
      <c r="R201" s="5">
        <f t="shared" si="29"/>
        <v>6726</v>
      </c>
      <c r="U201" s="8">
        <f t="shared" si="26"/>
        <v>0</v>
      </c>
      <c r="V201" s="8">
        <f>IFERROR(INDEX('Payment 1 through 9'!$A$1:$B$330,MATCH(CONCATENATE(FinalPayment!$F201,"0000"),'Payment 1 through 9'!$A$1:$A$330,0),2)*9,0)</f>
        <v>56403</v>
      </c>
      <c r="W201" s="8">
        <f>IFERROR(INDEX('FinalPayment 10'!$A$1:$B$330,MATCH(CONCATENATE(FinalPayment!$F201,"0000"),'FinalPayment 10'!$A$1:$A$330,0),2),0)</f>
        <v>6263</v>
      </c>
      <c r="X201" s="8">
        <f t="shared" si="30"/>
        <v>62666</v>
      </c>
      <c r="Y201" s="8">
        <f t="shared" si="31"/>
        <v>4576</v>
      </c>
    </row>
    <row r="202" spans="1:25" x14ac:dyDescent="0.55000000000000004">
      <c r="A202">
        <v>2021</v>
      </c>
      <c r="B202" t="s">
        <v>686</v>
      </c>
      <c r="C202" t="s">
        <v>469</v>
      </c>
      <c r="D202" t="s">
        <v>1207</v>
      </c>
      <c r="E202" t="s">
        <v>1207</v>
      </c>
      <c r="F202" t="s">
        <v>469</v>
      </c>
      <c r="G202" t="s">
        <v>210</v>
      </c>
      <c r="H202" s="5">
        <f>SUMPRODUCT(SUMIF(FinalPayment_NoReorg!$F$2:$F$331,FinalPayment!$D202:$F202,FinalPayment_NoReorg!$L$2:$L$331))+SUMPRODUCT(SUMIF(FinalPayment_NoReorg!$F$2:$F$331,FinalPayment!$D202:$F202,FinalPayment_NoReorg!$N$2:$N$331))</f>
        <v>2481</v>
      </c>
      <c r="I202" s="5">
        <f t="shared" si="27"/>
        <v>248</v>
      </c>
      <c r="J202" s="5">
        <f t="shared" si="27"/>
        <v>248</v>
      </c>
      <c r="K202" s="5">
        <f t="shared" si="27"/>
        <v>248</v>
      </c>
      <c r="L202" s="5">
        <f t="shared" si="27"/>
        <v>248</v>
      </c>
      <c r="M202" s="5">
        <f t="shared" si="28"/>
        <v>248</v>
      </c>
      <c r="N202" s="5">
        <f t="shared" si="28"/>
        <v>248</v>
      </c>
      <c r="O202" s="5">
        <f t="shared" si="28"/>
        <v>248</v>
      </c>
      <c r="P202" s="5">
        <f t="shared" si="25"/>
        <v>248</v>
      </c>
      <c r="Q202" s="5">
        <f t="shared" si="25"/>
        <v>248</v>
      </c>
      <c r="R202" s="5">
        <f t="shared" si="29"/>
        <v>249</v>
      </c>
      <c r="U202" s="8">
        <f t="shared" si="26"/>
        <v>0</v>
      </c>
      <c r="V202" s="8">
        <f>IFERROR(INDEX('Payment 1 through 9'!$A$1:$B$330,MATCH(CONCATENATE(FinalPayment!$F202,"0000"),'Payment 1 through 9'!$A$1:$A$330,0),2)*9,0)</f>
        <v>0</v>
      </c>
      <c r="W202" s="8">
        <f>IFERROR(INDEX('FinalPayment 10'!$A$1:$B$330,MATCH(CONCATENATE(FinalPayment!$F202,"0000"),'FinalPayment 10'!$A$1:$A$330,0),2),0)</f>
        <v>0</v>
      </c>
      <c r="X202" s="8">
        <f t="shared" si="30"/>
        <v>0</v>
      </c>
      <c r="Y202" s="8">
        <f t="shared" si="31"/>
        <v>2481</v>
      </c>
    </row>
    <row r="203" spans="1:25" x14ac:dyDescent="0.55000000000000004">
      <c r="A203">
        <v>2021</v>
      </c>
      <c r="B203" t="s">
        <v>690</v>
      </c>
      <c r="C203" t="s">
        <v>553</v>
      </c>
      <c r="D203" t="s">
        <v>1207</v>
      </c>
      <c r="E203" t="s">
        <v>1207</v>
      </c>
      <c r="F203" t="s">
        <v>553</v>
      </c>
      <c r="G203" t="s">
        <v>130</v>
      </c>
      <c r="H203" s="5">
        <f>SUMPRODUCT(SUMIF(FinalPayment_NoReorg!$F$2:$F$331,FinalPayment!$D203:$F203,FinalPayment_NoReorg!$L$2:$L$331))+SUMPRODUCT(SUMIF(FinalPayment_NoReorg!$F$2:$F$331,FinalPayment!$D203:$F203,FinalPayment_NoReorg!$N$2:$N$331))</f>
        <v>380360</v>
      </c>
      <c r="I203" s="5">
        <f t="shared" si="27"/>
        <v>38036</v>
      </c>
      <c r="J203" s="5">
        <f t="shared" si="27"/>
        <v>38036</v>
      </c>
      <c r="K203" s="5">
        <f t="shared" si="27"/>
        <v>38036</v>
      </c>
      <c r="L203" s="5">
        <f t="shared" si="27"/>
        <v>38036</v>
      </c>
      <c r="M203" s="5">
        <f t="shared" si="28"/>
        <v>38036</v>
      </c>
      <c r="N203" s="5">
        <f t="shared" si="28"/>
        <v>38036</v>
      </c>
      <c r="O203" s="5">
        <f t="shared" si="28"/>
        <v>38036</v>
      </c>
      <c r="P203" s="5">
        <f t="shared" si="25"/>
        <v>38036</v>
      </c>
      <c r="Q203" s="5">
        <f t="shared" si="25"/>
        <v>38036</v>
      </c>
      <c r="R203" s="5">
        <f t="shared" si="29"/>
        <v>38036</v>
      </c>
      <c r="U203" s="8">
        <f t="shared" si="26"/>
        <v>0</v>
      </c>
      <c r="V203" s="8">
        <f>IFERROR(INDEX('Payment 1 through 9'!$A$1:$B$330,MATCH(CONCATENATE(FinalPayment!$F203,"0000"),'Payment 1 through 9'!$A$1:$A$330,0),2)*9,0)</f>
        <v>336213</v>
      </c>
      <c r="W203" s="8">
        <f>IFERROR(INDEX('FinalPayment 10'!$A$1:$B$330,MATCH(CONCATENATE(FinalPayment!$F203,"0000"),'FinalPayment 10'!$A$1:$A$330,0),2),0)</f>
        <v>37352</v>
      </c>
      <c r="X203" s="8">
        <f t="shared" si="30"/>
        <v>373565</v>
      </c>
      <c r="Y203" s="8">
        <f t="shared" si="31"/>
        <v>6795</v>
      </c>
    </row>
    <row r="204" spans="1:25" x14ac:dyDescent="0.55000000000000004">
      <c r="A204">
        <v>2021</v>
      </c>
      <c r="B204" t="s">
        <v>689</v>
      </c>
      <c r="C204" t="s">
        <v>673</v>
      </c>
      <c r="D204" t="s">
        <v>893</v>
      </c>
      <c r="E204" t="s">
        <v>1207</v>
      </c>
      <c r="F204" t="s">
        <v>673</v>
      </c>
      <c r="G204" t="s">
        <v>329</v>
      </c>
      <c r="H204" s="5">
        <f>SUMPRODUCT(SUMIF(FinalPayment_NoReorg!$F$2:$F$331,FinalPayment!$D204:$F204,FinalPayment_NoReorg!$L$2:$L$331))+SUMPRODUCT(SUMIF(FinalPayment_NoReorg!$F$2:$F$331,FinalPayment!$D204:$F204,FinalPayment_NoReorg!$N$2:$N$331))</f>
        <v>277519</v>
      </c>
      <c r="I204" s="5">
        <f t="shared" si="27"/>
        <v>27752</v>
      </c>
      <c r="J204" s="5">
        <f t="shared" si="27"/>
        <v>27752</v>
      </c>
      <c r="K204" s="5">
        <f t="shared" si="27"/>
        <v>27752</v>
      </c>
      <c r="L204" s="5">
        <f t="shared" si="27"/>
        <v>27752</v>
      </c>
      <c r="M204" s="5">
        <f t="shared" si="28"/>
        <v>27752</v>
      </c>
      <c r="N204" s="5">
        <f t="shared" si="28"/>
        <v>27752</v>
      </c>
      <c r="O204" s="5">
        <f t="shared" si="28"/>
        <v>27752</v>
      </c>
      <c r="P204" s="5">
        <f t="shared" si="25"/>
        <v>27752</v>
      </c>
      <c r="Q204" s="5">
        <f t="shared" si="25"/>
        <v>27752</v>
      </c>
      <c r="R204" s="5">
        <f t="shared" si="29"/>
        <v>27751</v>
      </c>
      <c r="U204" s="8">
        <f t="shared" si="26"/>
        <v>0</v>
      </c>
      <c r="V204" s="8">
        <f>IFERROR(INDEX('Payment 1 through 9'!$A$1:$B$330,MATCH(CONCATENATE(FinalPayment!$F204,"0000"),'Payment 1 through 9'!$A$1:$A$330,0),2)*9,0)</f>
        <v>244287</v>
      </c>
      <c r="W204" s="8">
        <f>IFERROR(INDEX('FinalPayment 10'!$A$1:$B$330,MATCH(CONCATENATE(FinalPayment!$F204,"0000"),'FinalPayment 10'!$A$1:$A$330,0),2),0)</f>
        <v>27141</v>
      </c>
      <c r="X204" s="8">
        <f t="shared" si="30"/>
        <v>271428</v>
      </c>
      <c r="Y204" s="8">
        <f t="shared" si="31"/>
        <v>6091</v>
      </c>
    </row>
    <row r="205" spans="1:25" x14ac:dyDescent="0.55000000000000004">
      <c r="A205">
        <v>2021</v>
      </c>
      <c r="B205" t="s">
        <v>698</v>
      </c>
      <c r="C205" t="s">
        <v>511</v>
      </c>
      <c r="D205" t="s">
        <v>1207</v>
      </c>
      <c r="E205" t="s">
        <v>1207</v>
      </c>
      <c r="F205" t="s">
        <v>511</v>
      </c>
      <c r="G205" t="s">
        <v>170</v>
      </c>
      <c r="H205" s="5">
        <f>SUMPRODUCT(SUMIF(FinalPayment_NoReorg!$F$2:$F$331,FinalPayment!$D205:$F205,FinalPayment_NoReorg!$L$2:$L$331))+SUMPRODUCT(SUMIF(FinalPayment_NoReorg!$F$2:$F$331,FinalPayment!$D205:$F205,FinalPayment_NoReorg!$N$2:$N$331))</f>
        <v>53519</v>
      </c>
      <c r="I205" s="5">
        <f t="shared" si="27"/>
        <v>5352</v>
      </c>
      <c r="J205" s="5">
        <f t="shared" si="27"/>
        <v>5352</v>
      </c>
      <c r="K205" s="5">
        <f t="shared" si="27"/>
        <v>5352</v>
      </c>
      <c r="L205" s="5">
        <f t="shared" si="27"/>
        <v>5352</v>
      </c>
      <c r="M205" s="5">
        <f t="shared" si="28"/>
        <v>5352</v>
      </c>
      <c r="N205" s="5">
        <f t="shared" si="28"/>
        <v>5352</v>
      </c>
      <c r="O205" s="5">
        <f t="shared" si="28"/>
        <v>5352</v>
      </c>
      <c r="P205" s="5">
        <f t="shared" si="25"/>
        <v>5352</v>
      </c>
      <c r="Q205" s="5">
        <f t="shared" si="25"/>
        <v>5352</v>
      </c>
      <c r="R205" s="5">
        <f t="shared" si="29"/>
        <v>5351</v>
      </c>
      <c r="U205" s="8">
        <f t="shared" si="26"/>
        <v>0</v>
      </c>
      <c r="V205" s="8">
        <f>IFERROR(INDEX('Payment 1 through 9'!$A$1:$B$330,MATCH(CONCATENATE(FinalPayment!$F205,"0000"),'Payment 1 through 9'!$A$1:$A$330,0),2)*9,0)</f>
        <v>40797</v>
      </c>
      <c r="W205" s="8">
        <f>IFERROR(INDEX('FinalPayment 10'!$A$1:$B$330,MATCH(CONCATENATE(FinalPayment!$F205,"0000"),'FinalPayment 10'!$A$1:$A$330,0),2),0)</f>
        <v>4528</v>
      </c>
      <c r="X205" s="8">
        <f t="shared" si="30"/>
        <v>45325</v>
      </c>
      <c r="Y205" s="8">
        <f t="shared" si="31"/>
        <v>8194</v>
      </c>
    </row>
    <row r="206" spans="1:25" x14ac:dyDescent="0.55000000000000004">
      <c r="A206">
        <v>2021</v>
      </c>
      <c r="B206" t="s">
        <v>703</v>
      </c>
      <c r="C206" t="s">
        <v>466</v>
      </c>
      <c r="D206" t="s">
        <v>381</v>
      </c>
      <c r="E206" t="s">
        <v>1207</v>
      </c>
      <c r="F206" t="s">
        <v>466</v>
      </c>
      <c r="G206" t="s">
        <v>1228</v>
      </c>
      <c r="H206" s="5">
        <f>SUMPRODUCT(SUMIF(FinalPayment_NoReorg!$F$2:$F$331,FinalPayment!$D206:$F206,FinalPayment_NoReorg!$L$2:$L$331))+SUMPRODUCT(SUMIF(FinalPayment_NoReorg!$F$2:$F$331,FinalPayment!$D206:$F206,FinalPayment_NoReorg!$N$2:$N$331))</f>
        <v>188953</v>
      </c>
      <c r="I206" s="5">
        <f t="shared" si="27"/>
        <v>18895</v>
      </c>
      <c r="J206" s="5">
        <f t="shared" si="27"/>
        <v>18895</v>
      </c>
      <c r="K206" s="5">
        <f t="shared" si="27"/>
        <v>18895</v>
      </c>
      <c r="L206" s="5">
        <f t="shared" si="27"/>
        <v>18895</v>
      </c>
      <c r="M206" s="5">
        <f t="shared" si="28"/>
        <v>18895</v>
      </c>
      <c r="N206" s="5">
        <f t="shared" si="28"/>
        <v>18895</v>
      </c>
      <c r="O206" s="5">
        <f t="shared" si="28"/>
        <v>18895</v>
      </c>
      <c r="P206" s="5">
        <f t="shared" si="25"/>
        <v>18895</v>
      </c>
      <c r="Q206" s="5">
        <f t="shared" si="25"/>
        <v>18895</v>
      </c>
      <c r="R206" s="5">
        <f t="shared" si="29"/>
        <v>18898</v>
      </c>
      <c r="U206" s="8">
        <f t="shared" si="26"/>
        <v>0</v>
      </c>
      <c r="V206" s="8">
        <f>IFERROR(INDEX('Payment 1 through 9'!$A$1:$B$330,MATCH(CONCATENATE(FinalPayment!$F206,"0000"),'Payment 1 through 9'!$A$1:$A$330,0),2)*9,0)</f>
        <v>159354</v>
      </c>
      <c r="W206" s="8">
        <f>IFERROR(INDEX('FinalPayment 10'!$A$1:$B$330,MATCH(CONCATENATE(FinalPayment!$F206,"0000"),'FinalPayment 10'!$A$1:$A$330,0),2),0)</f>
        <v>17701</v>
      </c>
      <c r="X206" s="8">
        <f t="shared" si="30"/>
        <v>177055</v>
      </c>
      <c r="Y206" s="8">
        <f t="shared" si="31"/>
        <v>11898</v>
      </c>
    </row>
    <row r="207" spans="1:25" x14ac:dyDescent="0.55000000000000004">
      <c r="A207">
        <v>2021</v>
      </c>
      <c r="B207" t="s">
        <v>689</v>
      </c>
      <c r="C207" t="s">
        <v>642</v>
      </c>
      <c r="D207" t="s">
        <v>1207</v>
      </c>
      <c r="E207" t="s">
        <v>1207</v>
      </c>
      <c r="F207" t="s">
        <v>642</v>
      </c>
      <c r="G207" t="s">
        <v>53</v>
      </c>
      <c r="H207" s="5">
        <f>SUMPRODUCT(SUMIF(FinalPayment_NoReorg!$F$2:$F$331,FinalPayment!$D207:$F207,FinalPayment_NoReorg!$L$2:$L$331))+SUMPRODUCT(SUMIF(FinalPayment_NoReorg!$F$2:$F$331,FinalPayment!$D207:$F207,FinalPayment_NoReorg!$N$2:$N$331))</f>
        <v>12736</v>
      </c>
      <c r="I207" s="5">
        <f t="shared" si="27"/>
        <v>1274</v>
      </c>
      <c r="J207" s="5">
        <f t="shared" si="27"/>
        <v>1274</v>
      </c>
      <c r="K207" s="5">
        <f t="shared" si="27"/>
        <v>1274</v>
      </c>
      <c r="L207" s="5">
        <f t="shared" si="27"/>
        <v>1274</v>
      </c>
      <c r="M207" s="5">
        <f t="shared" si="28"/>
        <v>1274</v>
      </c>
      <c r="N207" s="5">
        <f t="shared" si="28"/>
        <v>1274</v>
      </c>
      <c r="O207" s="5">
        <f t="shared" si="28"/>
        <v>1274</v>
      </c>
      <c r="P207" s="5">
        <f t="shared" si="25"/>
        <v>1274</v>
      </c>
      <c r="Q207" s="5">
        <f t="shared" si="25"/>
        <v>1274</v>
      </c>
      <c r="R207" s="5">
        <f t="shared" si="29"/>
        <v>1270</v>
      </c>
      <c r="U207" s="8">
        <f t="shared" si="26"/>
        <v>0</v>
      </c>
      <c r="V207" s="8">
        <f>IFERROR(INDEX('Payment 1 through 9'!$A$1:$B$330,MATCH(CONCATENATE(FinalPayment!$F207,"0000"),'Payment 1 through 9'!$A$1:$A$330,0),2)*9,0)</f>
        <v>7101</v>
      </c>
      <c r="W207" s="8">
        <f>IFERROR(INDEX('FinalPayment 10'!$A$1:$B$330,MATCH(CONCATENATE(FinalPayment!$F207,"0000"),'FinalPayment 10'!$A$1:$A$330,0),2),0)</f>
        <v>789</v>
      </c>
      <c r="X207" s="8">
        <f t="shared" si="30"/>
        <v>7890</v>
      </c>
      <c r="Y207" s="8">
        <f t="shared" si="31"/>
        <v>4846</v>
      </c>
    </row>
    <row r="208" spans="1:25" x14ac:dyDescent="0.55000000000000004">
      <c r="A208">
        <v>2021</v>
      </c>
      <c r="B208" t="s">
        <v>694</v>
      </c>
      <c r="C208" t="s">
        <v>462</v>
      </c>
      <c r="D208" t="s">
        <v>1207</v>
      </c>
      <c r="E208" t="s">
        <v>1207</v>
      </c>
      <c r="F208" t="s">
        <v>462</v>
      </c>
      <c r="G208" t="s">
        <v>216</v>
      </c>
      <c r="H208" s="5">
        <f>SUMPRODUCT(SUMIF(FinalPayment_NoReorg!$F$2:$F$331,FinalPayment!$D208:$F208,FinalPayment_NoReorg!$L$2:$L$331))+SUMPRODUCT(SUMIF(FinalPayment_NoReorg!$F$2:$F$331,FinalPayment!$D208:$F208,FinalPayment_NoReorg!$N$2:$N$331))</f>
        <v>99920</v>
      </c>
      <c r="I208" s="5">
        <f t="shared" si="27"/>
        <v>9992</v>
      </c>
      <c r="J208" s="5">
        <f t="shared" si="27"/>
        <v>9992</v>
      </c>
      <c r="K208" s="5">
        <f t="shared" si="27"/>
        <v>9992</v>
      </c>
      <c r="L208" s="5">
        <f t="shared" si="27"/>
        <v>9992</v>
      </c>
      <c r="M208" s="5">
        <f t="shared" si="28"/>
        <v>9992</v>
      </c>
      <c r="N208" s="5">
        <f t="shared" si="28"/>
        <v>9992</v>
      </c>
      <c r="O208" s="5">
        <f t="shared" si="28"/>
        <v>9992</v>
      </c>
      <c r="P208" s="5">
        <f t="shared" si="25"/>
        <v>9992</v>
      </c>
      <c r="Q208" s="5">
        <f t="shared" si="25"/>
        <v>9992</v>
      </c>
      <c r="R208" s="5">
        <f t="shared" si="29"/>
        <v>9992</v>
      </c>
      <c r="U208" s="8">
        <f t="shared" si="26"/>
        <v>0</v>
      </c>
      <c r="V208" s="8">
        <f>IFERROR(INDEX('Payment 1 through 9'!$A$1:$B$330,MATCH(CONCATENATE(FinalPayment!$F208,"0000"),'Payment 1 through 9'!$A$1:$A$330,0),2)*9,0)</f>
        <v>87318</v>
      </c>
      <c r="W208" s="8">
        <f>IFERROR(INDEX('FinalPayment 10'!$A$1:$B$330,MATCH(CONCATENATE(FinalPayment!$F208,"0000"),'FinalPayment 10'!$A$1:$A$330,0),2),0)</f>
        <v>9705</v>
      </c>
      <c r="X208" s="8">
        <f t="shared" si="30"/>
        <v>97023</v>
      </c>
      <c r="Y208" s="8">
        <f t="shared" si="31"/>
        <v>2897</v>
      </c>
    </row>
    <row r="209" spans="1:25" x14ac:dyDescent="0.55000000000000004">
      <c r="A209">
        <v>2021</v>
      </c>
      <c r="B209" t="s">
        <v>698</v>
      </c>
      <c r="C209" t="s">
        <v>463</v>
      </c>
      <c r="D209" t="s">
        <v>1207</v>
      </c>
      <c r="E209" t="s">
        <v>1207</v>
      </c>
      <c r="F209" t="s">
        <v>463</v>
      </c>
      <c r="G209" t="s">
        <v>215</v>
      </c>
      <c r="H209" s="5">
        <f>SUMPRODUCT(SUMIF(FinalPayment_NoReorg!$F$2:$F$331,FinalPayment!$D209:$F209,FinalPayment_NoReorg!$L$2:$L$331))+SUMPRODUCT(SUMIF(FinalPayment_NoReorg!$F$2:$F$331,FinalPayment!$D209:$F209,FinalPayment_NoReorg!$N$2:$N$331))</f>
        <v>80847</v>
      </c>
      <c r="I209" s="5">
        <f t="shared" si="27"/>
        <v>8085</v>
      </c>
      <c r="J209" s="5">
        <f t="shared" si="27"/>
        <v>8085</v>
      </c>
      <c r="K209" s="5">
        <f t="shared" si="27"/>
        <v>8085</v>
      </c>
      <c r="L209" s="5">
        <f t="shared" si="27"/>
        <v>8085</v>
      </c>
      <c r="M209" s="5">
        <f t="shared" si="28"/>
        <v>8085</v>
      </c>
      <c r="N209" s="5">
        <f t="shared" si="28"/>
        <v>8085</v>
      </c>
      <c r="O209" s="5">
        <f t="shared" si="28"/>
        <v>8085</v>
      </c>
      <c r="P209" s="5">
        <f t="shared" si="25"/>
        <v>8085</v>
      </c>
      <c r="Q209" s="5">
        <f t="shared" si="25"/>
        <v>8085</v>
      </c>
      <c r="R209" s="5">
        <f t="shared" si="29"/>
        <v>8082</v>
      </c>
      <c r="U209" s="8">
        <f t="shared" si="26"/>
        <v>0</v>
      </c>
      <c r="V209" s="8">
        <f>IFERROR(INDEX('Payment 1 through 9'!$A$1:$B$330,MATCH(CONCATENATE(FinalPayment!$F209,"0000"),'Payment 1 through 9'!$A$1:$A$330,0),2)*9,0)</f>
        <v>66879</v>
      </c>
      <c r="W209" s="8">
        <f>IFERROR(INDEX('FinalPayment 10'!$A$1:$B$330,MATCH(CONCATENATE(FinalPayment!$F209,"0000"),'FinalPayment 10'!$A$1:$A$330,0),2),0)</f>
        <v>7426</v>
      </c>
      <c r="X209" s="8">
        <f t="shared" si="30"/>
        <v>74305</v>
      </c>
      <c r="Y209" s="8">
        <f t="shared" si="31"/>
        <v>6542</v>
      </c>
    </row>
    <row r="210" spans="1:25" x14ac:dyDescent="0.55000000000000004">
      <c r="A210">
        <v>2021</v>
      </c>
      <c r="B210" t="s">
        <v>696</v>
      </c>
      <c r="C210" t="s">
        <v>464</v>
      </c>
      <c r="D210" t="s">
        <v>1207</v>
      </c>
      <c r="E210" t="s">
        <v>1207</v>
      </c>
      <c r="F210" t="s">
        <v>464</v>
      </c>
      <c r="G210" t="s">
        <v>214</v>
      </c>
      <c r="H210" s="5">
        <f>SUMPRODUCT(SUMIF(FinalPayment_NoReorg!$F$2:$F$331,FinalPayment!$D210:$F210,FinalPayment_NoReorg!$L$2:$L$331))+SUMPRODUCT(SUMIF(FinalPayment_NoReorg!$F$2:$F$331,FinalPayment!$D210:$F210,FinalPayment_NoReorg!$N$2:$N$331))</f>
        <v>32289</v>
      </c>
      <c r="I210" s="5">
        <f t="shared" si="27"/>
        <v>3229</v>
      </c>
      <c r="J210" s="5">
        <f t="shared" si="27"/>
        <v>3229</v>
      </c>
      <c r="K210" s="5">
        <f t="shared" si="27"/>
        <v>3229</v>
      </c>
      <c r="L210" s="5">
        <f t="shared" si="27"/>
        <v>3229</v>
      </c>
      <c r="M210" s="5">
        <f t="shared" si="28"/>
        <v>3229</v>
      </c>
      <c r="N210" s="5">
        <f t="shared" si="28"/>
        <v>3229</v>
      </c>
      <c r="O210" s="5">
        <f t="shared" si="28"/>
        <v>3229</v>
      </c>
      <c r="P210" s="5">
        <f t="shared" si="25"/>
        <v>3229</v>
      </c>
      <c r="Q210" s="5">
        <f t="shared" si="25"/>
        <v>3229</v>
      </c>
      <c r="R210" s="5">
        <f t="shared" si="29"/>
        <v>3228</v>
      </c>
      <c r="U210" s="8">
        <f t="shared" si="26"/>
        <v>0</v>
      </c>
      <c r="V210" s="8">
        <f>IFERROR(INDEX('Payment 1 through 9'!$A$1:$B$330,MATCH(CONCATENATE(FinalPayment!$F210,"0000"),'Payment 1 through 9'!$A$1:$A$330,0),2)*9,0)</f>
        <v>24777</v>
      </c>
      <c r="W210" s="8">
        <f>IFERROR(INDEX('FinalPayment 10'!$A$1:$B$330,MATCH(CONCATENATE(FinalPayment!$F210,"0000"),'FinalPayment 10'!$A$1:$A$330,0),2),0)</f>
        <v>2750</v>
      </c>
      <c r="X210" s="8">
        <f t="shared" si="30"/>
        <v>27527</v>
      </c>
      <c r="Y210" s="8">
        <f t="shared" si="31"/>
        <v>4762</v>
      </c>
    </row>
    <row r="211" spans="1:25" x14ac:dyDescent="0.55000000000000004">
      <c r="A211">
        <v>2021</v>
      </c>
      <c r="B211" t="s">
        <v>686</v>
      </c>
      <c r="C211" t="s">
        <v>461</v>
      </c>
      <c r="D211" t="s">
        <v>1207</v>
      </c>
      <c r="E211" t="s">
        <v>1207</v>
      </c>
      <c r="F211" t="s">
        <v>461</v>
      </c>
      <c r="G211" t="s">
        <v>217</v>
      </c>
      <c r="H211" s="5">
        <f>SUMPRODUCT(SUMIF(FinalPayment_NoReorg!$F$2:$F$331,FinalPayment!$D211:$F211,FinalPayment_NoReorg!$L$2:$L$331))+SUMPRODUCT(SUMIF(FinalPayment_NoReorg!$F$2:$F$331,FinalPayment!$D211:$F211,FinalPayment_NoReorg!$N$2:$N$331))</f>
        <v>137040</v>
      </c>
      <c r="I211" s="5">
        <f t="shared" si="27"/>
        <v>13704</v>
      </c>
      <c r="J211" s="5">
        <f t="shared" si="27"/>
        <v>13704</v>
      </c>
      <c r="K211" s="5">
        <f t="shared" si="27"/>
        <v>13704</v>
      </c>
      <c r="L211" s="5">
        <f t="shared" si="27"/>
        <v>13704</v>
      </c>
      <c r="M211" s="5">
        <f t="shared" si="28"/>
        <v>13704</v>
      </c>
      <c r="N211" s="5">
        <f t="shared" si="28"/>
        <v>13704</v>
      </c>
      <c r="O211" s="5">
        <f t="shared" si="28"/>
        <v>13704</v>
      </c>
      <c r="P211" s="5">
        <f t="shared" si="25"/>
        <v>13704</v>
      </c>
      <c r="Q211" s="5">
        <f t="shared" si="25"/>
        <v>13704</v>
      </c>
      <c r="R211" s="5">
        <f t="shared" si="29"/>
        <v>13704</v>
      </c>
      <c r="U211" s="8">
        <f t="shared" si="26"/>
        <v>0</v>
      </c>
      <c r="V211" s="8">
        <f>IFERROR(INDEX('Payment 1 through 9'!$A$1:$B$330,MATCH(CONCATENATE(FinalPayment!$F211,"0000"),'Payment 1 through 9'!$A$1:$A$330,0),2)*9,0)</f>
        <v>106884</v>
      </c>
      <c r="W211" s="8">
        <f>IFERROR(INDEX('FinalPayment 10'!$A$1:$B$330,MATCH(CONCATENATE(FinalPayment!$F211,"0000"),'FinalPayment 10'!$A$1:$A$330,0),2),0)</f>
        <v>11876</v>
      </c>
      <c r="X211" s="8">
        <f t="shared" si="30"/>
        <v>118760</v>
      </c>
      <c r="Y211" s="8">
        <f t="shared" si="31"/>
        <v>18280</v>
      </c>
    </row>
    <row r="212" spans="1:25" x14ac:dyDescent="0.55000000000000004">
      <c r="A212">
        <v>2021</v>
      </c>
      <c r="B212" t="s">
        <v>707</v>
      </c>
      <c r="C212" t="s">
        <v>460</v>
      </c>
      <c r="D212" t="s">
        <v>1207</v>
      </c>
      <c r="E212" t="s">
        <v>1207</v>
      </c>
      <c r="F212" t="s">
        <v>460</v>
      </c>
      <c r="G212" t="s">
        <v>218</v>
      </c>
      <c r="H212" s="5">
        <f>SUMPRODUCT(SUMIF(FinalPayment_NoReorg!$F$2:$F$331,FinalPayment!$D212:$F212,FinalPayment_NoReorg!$L$2:$L$331))+SUMPRODUCT(SUMIF(FinalPayment_NoReorg!$F$2:$F$331,FinalPayment!$D212:$F212,FinalPayment_NoReorg!$N$2:$N$331))</f>
        <v>2519</v>
      </c>
      <c r="I212" s="5">
        <f t="shared" si="27"/>
        <v>252</v>
      </c>
      <c r="J212" s="5">
        <f t="shared" si="27"/>
        <v>252</v>
      </c>
      <c r="K212" s="5">
        <f t="shared" si="27"/>
        <v>252</v>
      </c>
      <c r="L212" s="5">
        <f t="shared" si="27"/>
        <v>252</v>
      </c>
      <c r="M212" s="5">
        <f t="shared" si="28"/>
        <v>252</v>
      </c>
      <c r="N212" s="5">
        <f t="shared" si="28"/>
        <v>252</v>
      </c>
      <c r="O212" s="5">
        <f t="shared" si="28"/>
        <v>252</v>
      </c>
      <c r="P212" s="5">
        <f t="shared" si="25"/>
        <v>252</v>
      </c>
      <c r="Q212" s="5">
        <f t="shared" si="25"/>
        <v>252</v>
      </c>
      <c r="R212" s="5">
        <f t="shared" si="29"/>
        <v>251</v>
      </c>
      <c r="U212" s="8">
        <f t="shared" si="26"/>
        <v>0</v>
      </c>
      <c r="V212" s="8">
        <f>IFERROR(INDEX('Payment 1 through 9'!$A$1:$B$330,MATCH(CONCATENATE(FinalPayment!$F212,"0000"),'Payment 1 through 9'!$A$1:$A$330,0),2)*9,0)</f>
        <v>0</v>
      </c>
      <c r="W212" s="8">
        <f>IFERROR(INDEX('FinalPayment 10'!$A$1:$B$330,MATCH(CONCATENATE(FinalPayment!$F212,"0000"),'FinalPayment 10'!$A$1:$A$330,0),2),0)</f>
        <v>0</v>
      </c>
      <c r="X212" s="8">
        <f t="shared" si="30"/>
        <v>0</v>
      </c>
      <c r="Y212" s="8">
        <f t="shared" si="31"/>
        <v>2519</v>
      </c>
    </row>
    <row r="213" spans="1:25" x14ac:dyDescent="0.55000000000000004">
      <c r="A213">
        <v>2021</v>
      </c>
      <c r="B213" t="s">
        <v>689</v>
      </c>
      <c r="C213" t="s">
        <v>459</v>
      </c>
      <c r="D213" t="s">
        <v>1207</v>
      </c>
      <c r="E213" t="s">
        <v>1207</v>
      </c>
      <c r="F213" t="s">
        <v>459</v>
      </c>
      <c r="G213" t="s">
        <v>1229</v>
      </c>
      <c r="H213" s="5">
        <f>SUMPRODUCT(SUMIF(FinalPayment_NoReorg!$F$2:$F$331,FinalPayment!$D213:$F213,FinalPayment_NoReorg!$L$2:$L$331))+SUMPRODUCT(SUMIF(FinalPayment_NoReorg!$F$2:$F$331,FinalPayment!$D213:$F213,FinalPayment_NoReorg!$N$2:$N$331))</f>
        <v>84316</v>
      </c>
      <c r="I213" s="5">
        <f t="shared" si="27"/>
        <v>8432</v>
      </c>
      <c r="J213" s="5">
        <f t="shared" si="27"/>
        <v>8432</v>
      </c>
      <c r="K213" s="5">
        <f t="shared" si="27"/>
        <v>8432</v>
      </c>
      <c r="L213" s="5">
        <f t="shared" si="27"/>
        <v>8432</v>
      </c>
      <c r="M213" s="5">
        <f t="shared" si="28"/>
        <v>8432</v>
      </c>
      <c r="N213" s="5">
        <f t="shared" si="28"/>
        <v>8432</v>
      </c>
      <c r="O213" s="5">
        <f t="shared" si="28"/>
        <v>8432</v>
      </c>
      <c r="P213" s="5">
        <f t="shared" si="25"/>
        <v>8432</v>
      </c>
      <c r="Q213" s="5">
        <f t="shared" si="25"/>
        <v>8432</v>
      </c>
      <c r="R213" s="5">
        <f t="shared" si="29"/>
        <v>8428</v>
      </c>
      <c r="U213" s="8">
        <f t="shared" si="26"/>
        <v>0</v>
      </c>
      <c r="V213" s="8">
        <f>IFERROR(INDEX('Payment 1 through 9'!$A$1:$B$330,MATCH(CONCATENATE(FinalPayment!$F213,"0000"),'Payment 1 through 9'!$A$1:$A$330,0),2)*9,0)</f>
        <v>71640</v>
      </c>
      <c r="W213" s="8">
        <f>IFERROR(INDEX('FinalPayment 10'!$A$1:$B$330,MATCH(CONCATENATE(FinalPayment!$F213,"0000"),'FinalPayment 10'!$A$1:$A$330,0),2),0)</f>
        <v>7956</v>
      </c>
      <c r="X213" s="8">
        <f t="shared" si="30"/>
        <v>79596</v>
      </c>
      <c r="Y213" s="8">
        <f t="shared" si="31"/>
        <v>4720</v>
      </c>
    </row>
    <row r="214" spans="1:25" x14ac:dyDescent="0.55000000000000004">
      <c r="A214">
        <v>2021</v>
      </c>
      <c r="B214" t="s">
        <v>694</v>
      </c>
      <c r="C214" t="s">
        <v>666</v>
      </c>
      <c r="D214" t="s">
        <v>1207</v>
      </c>
      <c r="E214" t="s">
        <v>1207</v>
      </c>
      <c r="F214" t="s">
        <v>666</v>
      </c>
      <c r="G214" t="s">
        <v>343</v>
      </c>
      <c r="H214" s="5">
        <f>SUMPRODUCT(SUMIF(FinalPayment_NoReorg!$F$2:$F$331,FinalPayment!$D214:$F214,FinalPayment_NoReorg!$L$2:$L$331))+SUMPRODUCT(SUMIF(FinalPayment_NoReorg!$F$2:$F$331,FinalPayment!$D214:$F214,FinalPayment_NoReorg!$N$2:$N$331))</f>
        <v>128469</v>
      </c>
      <c r="I214" s="5">
        <f t="shared" si="27"/>
        <v>12847</v>
      </c>
      <c r="J214" s="5">
        <f t="shared" si="27"/>
        <v>12847</v>
      </c>
      <c r="K214" s="5">
        <f t="shared" si="27"/>
        <v>12847</v>
      </c>
      <c r="L214" s="5">
        <f t="shared" si="27"/>
        <v>12847</v>
      </c>
      <c r="M214" s="5">
        <f t="shared" si="28"/>
        <v>12847</v>
      </c>
      <c r="N214" s="5">
        <f t="shared" si="28"/>
        <v>12847</v>
      </c>
      <c r="O214" s="5">
        <f t="shared" si="28"/>
        <v>12847</v>
      </c>
      <c r="P214" s="5">
        <f t="shared" si="25"/>
        <v>12847</v>
      </c>
      <c r="Q214" s="5">
        <f t="shared" si="25"/>
        <v>12847</v>
      </c>
      <c r="R214" s="5">
        <f t="shared" si="29"/>
        <v>12846</v>
      </c>
      <c r="U214" s="8">
        <f t="shared" si="26"/>
        <v>0</v>
      </c>
      <c r="V214" s="8">
        <f>IFERROR(INDEX('Payment 1 through 9'!$A$1:$B$330,MATCH(CONCATENATE(FinalPayment!$F214,"0000"),'Payment 1 through 9'!$A$1:$A$330,0),2)*9,0)</f>
        <v>111717</v>
      </c>
      <c r="W214" s="8">
        <f>IFERROR(INDEX('FinalPayment 10'!$A$1:$B$330,MATCH(CONCATENATE(FinalPayment!$F214,"0000"),'FinalPayment 10'!$A$1:$A$330,0),2),0)</f>
        <v>12410</v>
      </c>
      <c r="X214" s="8">
        <f t="shared" si="30"/>
        <v>124127</v>
      </c>
      <c r="Y214" s="8">
        <f t="shared" si="31"/>
        <v>4342</v>
      </c>
    </row>
    <row r="215" spans="1:25" x14ac:dyDescent="0.55000000000000004">
      <c r="A215">
        <v>2021</v>
      </c>
      <c r="B215" t="s">
        <v>707</v>
      </c>
      <c r="C215" t="s">
        <v>467</v>
      </c>
      <c r="D215" t="s">
        <v>1207</v>
      </c>
      <c r="E215" t="s">
        <v>1207</v>
      </c>
      <c r="F215" t="s">
        <v>467</v>
      </c>
      <c r="G215" t="s">
        <v>211</v>
      </c>
      <c r="H215" s="5">
        <f>SUMPRODUCT(SUMIF(FinalPayment_NoReorg!$F$2:$F$331,FinalPayment!$D215:$F215,FinalPayment_NoReorg!$L$2:$L$331))+SUMPRODUCT(SUMIF(FinalPayment_NoReorg!$F$2:$F$331,FinalPayment!$D215:$F215,FinalPayment_NoReorg!$N$2:$N$331))</f>
        <v>149636</v>
      </c>
      <c r="I215" s="5">
        <f t="shared" si="27"/>
        <v>14964</v>
      </c>
      <c r="J215" s="5">
        <f t="shared" si="27"/>
        <v>14964</v>
      </c>
      <c r="K215" s="5">
        <f t="shared" si="27"/>
        <v>14964</v>
      </c>
      <c r="L215" s="5">
        <f t="shared" si="27"/>
        <v>14964</v>
      </c>
      <c r="M215" s="5">
        <f t="shared" si="28"/>
        <v>14964</v>
      </c>
      <c r="N215" s="5">
        <f t="shared" si="28"/>
        <v>14964</v>
      </c>
      <c r="O215" s="5">
        <f t="shared" si="28"/>
        <v>14964</v>
      </c>
      <c r="P215" s="5">
        <f t="shared" si="25"/>
        <v>14964</v>
      </c>
      <c r="Q215" s="5">
        <f t="shared" si="25"/>
        <v>14964</v>
      </c>
      <c r="R215" s="5">
        <f t="shared" si="29"/>
        <v>14960</v>
      </c>
      <c r="U215" s="8">
        <f t="shared" si="26"/>
        <v>0</v>
      </c>
      <c r="V215" s="8">
        <f>IFERROR(INDEX('Payment 1 through 9'!$A$1:$B$330,MATCH(CONCATENATE(FinalPayment!$F215,"0000"),'Payment 1 through 9'!$A$1:$A$330,0),2)*9,0)</f>
        <v>129699</v>
      </c>
      <c r="W215" s="8">
        <f>IFERROR(INDEX('FinalPayment 10'!$A$1:$B$330,MATCH(CONCATENATE(FinalPayment!$F215,"0000"),'FinalPayment 10'!$A$1:$A$330,0),2),0)</f>
        <v>14406</v>
      </c>
      <c r="X215" s="8">
        <f t="shared" si="30"/>
        <v>144105</v>
      </c>
      <c r="Y215" s="8">
        <f t="shared" si="31"/>
        <v>5531</v>
      </c>
    </row>
    <row r="216" spans="1:25" x14ac:dyDescent="0.55000000000000004">
      <c r="A216">
        <v>2021</v>
      </c>
      <c r="B216" t="s">
        <v>689</v>
      </c>
      <c r="C216" t="s">
        <v>457</v>
      </c>
      <c r="D216" t="s">
        <v>1207</v>
      </c>
      <c r="E216" t="s">
        <v>1207</v>
      </c>
      <c r="F216" t="s">
        <v>457</v>
      </c>
      <c r="G216" t="s">
        <v>221</v>
      </c>
      <c r="H216" s="5">
        <f>SUMPRODUCT(SUMIF(FinalPayment_NoReorg!$F$2:$F$331,FinalPayment!$D216:$F216,FinalPayment_NoReorg!$L$2:$L$331))+SUMPRODUCT(SUMIF(FinalPayment_NoReorg!$F$2:$F$331,FinalPayment!$D216:$F216,FinalPayment_NoReorg!$N$2:$N$331))</f>
        <v>50659</v>
      </c>
      <c r="I216" s="5">
        <f t="shared" si="27"/>
        <v>5066</v>
      </c>
      <c r="J216" s="5">
        <f t="shared" si="27"/>
        <v>5066</v>
      </c>
      <c r="K216" s="5">
        <f t="shared" si="27"/>
        <v>5066</v>
      </c>
      <c r="L216" s="5">
        <f t="shared" si="27"/>
        <v>5066</v>
      </c>
      <c r="M216" s="5">
        <f t="shared" si="28"/>
        <v>5066</v>
      </c>
      <c r="N216" s="5">
        <f t="shared" si="28"/>
        <v>5066</v>
      </c>
      <c r="O216" s="5">
        <f t="shared" si="28"/>
        <v>5066</v>
      </c>
      <c r="P216" s="5">
        <f t="shared" si="25"/>
        <v>5066</v>
      </c>
      <c r="Q216" s="5">
        <f t="shared" si="25"/>
        <v>5066</v>
      </c>
      <c r="R216" s="5">
        <f t="shared" si="29"/>
        <v>5065</v>
      </c>
      <c r="U216" s="8">
        <f t="shared" si="26"/>
        <v>0</v>
      </c>
      <c r="V216" s="8">
        <f>IFERROR(INDEX('Payment 1 through 9'!$A$1:$B$330,MATCH(CONCATENATE(FinalPayment!$F216,"0000"),'Payment 1 through 9'!$A$1:$A$330,0),2)*9,0)</f>
        <v>40725</v>
      </c>
      <c r="W216" s="8">
        <f>IFERROR(INDEX('FinalPayment 10'!$A$1:$B$330,MATCH(CONCATENATE(FinalPayment!$F216,"0000"),'FinalPayment 10'!$A$1:$A$330,0),2),0)</f>
        <v>4521</v>
      </c>
      <c r="X216" s="8">
        <f t="shared" si="30"/>
        <v>45246</v>
      </c>
      <c r="Y216" s="8">
        <f t="shared" si="31"/>
        <v>5413</v>
      </c>
    </row>
    <row r="217" spans="1:25" x14ac:dyDescent="0.55000000000000004">
      <c r="A217">
        <v>2021</v>
      </c>
      <c r="B217" t="s">
        <v>686</v>
      </c>
      <c r="C217" t="s">
        <v>456</v>
      </c>
      <c r="D217" t="s">
        <v>1207</v>
      </c>
      <c r="E217" t="s">
        <v>1207</v>
      </c>
      <c r="F217" t="s">
        <v>456</v>
      </c>
      <c r="G217" t="s">
        <v>222</v>
      </c>
      <c r="H217" s="5">
        <f>SUMPRODUCT(SUMIF(FinalPayment_NoReorg!$F$2:$F$331,FinalPayment!$D217:$F217,FinalPayment_NoReorg!$L$2:$L$331))+SUMPRODUCT(SUMIF(FinalPayment_NoReorg!$F$2:$F$331,FinalPayment!$D217:$F217,FinalPayment_NoReorg!$N$2:$N$331))</f>
        <v>2450</v>
      </c>
      <c r="I217" s="5">
        <f t="shared" si="27"/>
        <v>245</v>
      </c>
      <c r="J217" s="5">
        <f t="shared" si="27"/>
        <v>245</v>
      </c>
      <c r="K217" s="5">
        <f t="shared" si="27"/>
        <v>245</v>
      </c>
      <c r="L217" s="5">
        <f t="shared" si="27"/>
        <v>245</v>
      </c>
      <c r="M217" s="5">
        <f t="shared" si="28"/>
        <v>245</v>
      </c>
      <c r="N217" s="5">
        <f t="shared" si="28"/>
        <v>245</v>
      </c>
      <c r="O217" s="5">
        <f t="shared" si="28"/>
        <v>245</v>
      </c>
      <c r="P217" s="5">
        <f t="shared" si="25"/>
        <v>245</v>
      </c>
      <c r="Q217" s="5">
        <f t="shared" si="25"/>
        <v>245</v>
      </c>
      <c r="R217" s="5">
        <f t="shared" si="29"/>
        <v>245</v>
      </c>
      <c r="U217" s="8">
        <f t="shared" si="26"/>
        <v>0</v>
      </c>
      <c r="V217" s="8">
        <f>IFERROR(INDEX('Payment 1 through 9'!$A$1:$B$330,MATCH(CONCATENATE(FinalPayment!$F217,"0000"),'Payment 1 through 9'!$A$1:$A$330,0),2)*9,0)</f>
        <v>0</v>
      </c>
      <c r="W217" s="8">
        <f>IFERROR(INDEX('FinalPayment 10'!$A$1:$B$330,MATCH(CONCATENATE(FinalPayment!$F217,"0000"),'FinalPayment 10'!$A$1:$A$330,0),2),0)</f>
        <v>0</v>
      </c>
      <c r="X217" s="8">
        <f t="shared" si="30"/>
        <v>0</v>
      </c>
      <c r="Y217" s="8">
        <f t="shared" si="31"/>
        <v>2450</v>
      </c>
    </row>
    <row r="218" spans="1:25" x14ac:dyDescent="0.55000000000000004">
      <c r="A218">
        <v>2021</v>
      </c>
      <c r="B218" t="s">
        <v>692</v>
      </c>
      <c r="C218" t="s">
        <v>455</v>
      </c>
      <c r="D218" t="s">
        <v>659</v>
      </c>
      <c r="E218" t="s">
        <v>1207</v>
      </c>
      <c r="F218" t="s">
        <v>455</v>
      </c>
      <c r="G218" t="s">
        <v>1230</v>
      </c>
      <c r="H218" s="5">
        <f>SUMPRODUCT(SUMIF(FinalPayment_NoReorg!$F$2:$F$331,FinalPayment!$D218:$F218,FinalPayment_NoReorg!$L$2:$L$331))+SUMPRODUCT(SUMIF(FinalPayment_NoReorg!$F$2:$F$331,FinalPayment!$D218:$F218,FinalPayment_NoReorg!$N$2:$N$331))</f>
        <v>83483</v>
      </c>
      <c r="I218" s="5">
        <f t="shared" si="27"/>
        <v>8348</v>
      </c>
      <c r="J218" s="5">
        <f t="shared" si="27"/>
        <v>8348</v>
      </c>
      <c r="K218" s="5">
        <f t="shared" si="27"/>
        <v>8348</v>
      </c>
      <c r="L218" s="5">
        <f t="shared" si="27"/>
        <v>8348</v>
      </c>
      <c r="M218" s="5">
        <f t="shared" si="28"/>
        <v>8348</v>
      </c>
      <c r="N218" s="5">
        <f t="shared" si="28"/>
        <v>8348</v>
      </c>
      <c r="O218" s="5">
        <f t="shared" si="28"/>
        <v>8348</v>
      </c>
      <c r="P218" s="5">
        <f t="shared" si="25"/>
        <v>8348</v>
      </c>
      <c r="Q218" s="5">
        <f t="shared" si="25"/>
        <v>8348</v>
      </c>
      <c r="R218" s="5">
        <f t="shared" si="29"/>
        <v>8351</v>
      </c>
      <c r="U218" s="8">
        <f t="shared" si="26"/>
        <v>0</v>
      </c>
      <c r="V218" s="8">
        <f>IFERROR(INDEX('Payment 1 through 9'!$A$1:$B$330,MATCH(CONCATENATE(FinalPayment!$F218,"0000"),'Payment 1 through 9'!$A$1:$A$330,0),2)*9,0)</f>
        <v>65736</v>
      </c>
      <c r="W218" s="8">
        <f>IFERROR(INDEX('FinalPayment 10'!$A$1:$B$330,MATCH(CONCATENATE(FinalPayment!$F218,"0000"),'FinalPayment 10'!$A$1:$A$330,0),2),0)</f>
        <v>7299</v>
      </c>
      <c r="X218" s="8">
        <f t="shared" si="30"/>
        <v>73035</v>
      </c>
      <c r="Y218" s="8">
        <f t="shared" si="31"/>
        <v>10448</v>
      </c>
    </row>
    <row r="219" spans="1:25" x14ac:dyDescent="0.55000000000000004">
      <c r="A219">
        <v>2021</v>
      </c>
      <c r="B219" t="s">
        <v>703</v>
      </c>
      <c r="C219" t="s">
        <v>454</v>
      </c>
      <c r="D219" t="s">
        <v>1207</v>
      </c>
      <c r="E219" t="s">
        <v>1207</v>
      </c>
      <c r="F219" t="s">
        <v>454</v>
      </c>
      <c r="G219" t="s">
        <v>224</v>
      </c>
      <c r="H219" s="5">
        <f>SUMPRODUCT(SUMIF(FinalPayment_NoReorg!$F$2:$F$331,FinalPayment!$D219:$F219,FinalPayment_NoReorg!$L$2:$L$331))+SUMPRODUCT(SUMIF(FinalPayment_NoReorg!$F$2:$F$331,FinalPayment!$D219:$F219,FinalPayment_NoReorg!$N$2:$N$331))</f>
        <v>1078</v>
      </c>
      <c r="I219" s="5">
        <f t="shared" si="27"/>
        <v>108</v>
      </c>
      <c r="J219" s="5">
        <f t="shared" si="27"/>
        <v>108</v>
      </c>
      <c r="K219" s="5">
        <f t="shared" si="27"/>
        <v>108</v>
      </c>
      <c r="L219" s="5">
        <f t="shared" si="27"/>
        <v>108</v>
      </c>
      <c r="M219" s="5">
        <f t="shared" si="28"/>
        <v>108</v>
      </c>
      <c r="N219" s="5">
        <f t="shared" si="28"/>
        <v>108</v>
      </c>
      <c r="O219" s="5">
        <f t="shared" si="28"/>
        <v>108</v>
      </c>
      <c r="P219" s="5">
        <f t="shared" si="25"/>
        <v>108</v>
      </c>
      <c r="Q219" s="5">
        <f t="shared" si="25"/>
        <v>108</v>
      </c>
      <c r="R219" s="5">
        <f t="shared" si="29"/>
        <v>106</v>
      </c>
      <c r="U219" s="8">
        <f t="shared" si="26"/>
        <v>0</v>
      </c>
      <c r="V219" s="8">
        <f>IFERROR(INDEX('Payment 1 through 9'!$A$1:$B$330,MATCH(CONCATENATE(FinalPayment!$F219,"0000"),'Payment 1 through 9'!$A$1:$A$330,0),2)*9,0)</f>
        <v>0</v>
      </c>
      <c r="W219" s="8">
        <f>IFERROR(INDEX('FinalPayment 10'!$A$1:$B$330,MATCH(CONCATENATE(FinalPayment!$F219,"0000"),'FinalPayment 10'!$A$1:$A$330,0),2),0)</f>
        <v>0</v>
      </c>
      <c r="X219" s="8">
        <f t="shared" si="30"/>
        <v>0</v>
      </c>
      <c r="Y219" s="8">
        <f t="shared" si="31"/>
        <v>1078</v>
      </c>
    </row>
    <row r="220" spans="1:25" x14ac:dyDescent="0.55000000000000004">
      <c r="A220">
        <v>2021</v>
      </c>
      <c r="B220" t="s">
        <v>686</v>
      </c>
      <c r="C220" t="s">
        <v>453</v>
      </c>
      <c r="D220" t="s">
        <v>1207</v>
      </c>
      <c r="E220" t="s">
        <v>1207</v>
      </c>
      <c r="F220" t="s">
        <v>453</v>
      </c>
      <c r="G220" t="s">
        <v>225</v>
      </c>
      <c r="H220" s="5">
        <f>SUMPRODUCT(SUMIF(FinalPayment_NoReorg!$F$2:$F$331,FinalPayment!$D220:$F220,FinalPayment_NoReorg!$L$2:$L$331))+SUMPRODUCT(SUMIF(FinalPayment_NoReorg!$F$2:$F$331,FinalPayment!$D220:$F220,FinalPayment_NoReorg!$N$2:$N$331))</f>
        <v>12458</v>
      </c>
      <c r="I220" s="5">
        <f t="shared" si="27"/>
        <v>1246</v>
      </c>
      <c r="J220" s="5">
        <f t="shared" si="27"/>
        <v>1246</v>
      </c>
      <c r="K220" s="5">
        <f t="shared" si="27"/>
        <v>1246</v>
      </c>
      <c r="L220" s="5">
        <f t="shared" si="27"/>
        <v>1246</v>
      </c>
      <c r="M220" s="5">
        <f t="shared" si="28"/>
        <v>1246</v>
      </c>
      <c r="N220" s="5">
        <f t="shared" si="28"/>
        <v>1246</v>
      </c>
      <c r="O220" s="5">
        <f t="shared" si="28"/>
        <v>1246</v>
      </c>
      <c r="P220" s="5">
        <f t="shared" si="25"/>
        <v>1246</v>
      </c>
      <c r="Q220" s="5">
        <f t="shared" si="25"/>
        <v>1246</v>
      </c>
      <c r="R220" s="5">
        <f t="shared" si="29"/>
        <v>1244</v>
      </c>
      <c r="U220" s="8">
        <f t="shared" si="26"/>
        <v>0</v>
      </c>
      <c r="V220" s="8">
        <f>IFERROR(INDEX('Payment 1 through 9'!$A$1:$B$330,MATCH(CONCATENATE(FinalPayment!$F220,"0000"),'Payment 1 through 9'!$A$1:$A$330,0),2)*9,0)</f>
        <v>5409</v>
      </c>
      <c r="W220" s="8">
        <f>IFERROR(INDEX('FinalPayment 10'!$A$1:$B$330,MATCH(CONCATENATE(FinalPayment!$F220,"0000"),'FinalPayment 10'!$A$1:$A$330,0),2),0)</f>
        <v>602</v>
      </c>
      <c r="X220" s="8">
        <f t="shared" si="30"/>
        <v>6011</v>
      </c>
      <c r="Y220" s="8">
        <f t="shared" si="31"/>
        <v>6447</v>
      </c>
    </row>
    <row r="221" spans="1:25" x14ac:dyDescent="0.55000000000000004">
      <c r="A221">
        <v>2021</v>
      </c>
      <c r="B221" t="s">
        <v>694</v>
      </c>
      <c r="C221" t="s">
        <v>452</v>
      </c>
      <c r="D221" t="s">
        <v>1207</v>
      </c>
      <c r="E221" t="s">
        <v>1207</v>
      </c>
      <c r="F221" t="s">
        <v>452</v>
      </c>
      <c r="G221" t="s">
        <v>226</v>
      </c>
      <c r="H221" s="5">
        <f>SUMPRODUCT(SUMIF(FinalPayment_NoReorg!$F$2:$F$331,FinalPayment!$D221:$F221,FinalPayment_NoReorg!$L$2:$L$331))+SUMPRODUCT(SUMIF(FinalPayment_NoReorg!$F$2:$F$331,FinalPayment!$D221:$F221,FinalPayment_NoReorg!$N$2:$N$331))</f>
        <v>801</v>
      </c>
      <c r="I221" s="5">
        <f t="shared" si="27"/>
        <v>80</v>
      </c>
      <c r="J221" s="5">
        <f t="shared" si="27"/>
        <v>80</v>
      </c>
      <c r="K221" s="5">
        <f t="shared" si="27"/>
        <v>80</v>
      </c>
      <c r="L221" s="5">
        <f t="shared" si="27"/>
        <v>80</v>
      </c>
      <c r="M221" s="5">
        <f t="shared" si="28"/>
        <v>80</v>
      </c>
      <c r="N221" s="5">
        <f t="shared" si="28"/>
        <v>80</v>
      </c>
      <c r="O221" s="5">
        <f t="shared" si="28"/>
        <v>80</v>
      </c>
      <c r="P221" s="5">
        <f t="shared" si="25"/>
        <v>80</v>
      </c>
      <c r="Q221" s="5">
        <f t="shared" si="25"/>
        <v>80</v>
      </c>
      <c r="R221" s="5">
        <f t="shared" si="29"/>
        <v>81</v>
      </c>
      <c r="U221" s="8">
        <f t="shared" si="26"/>
        <v>0</v>
      </c>
      <c r="V221" s="8">
        <f>IFERROR(INDEX('Payment 1 through 9'!$A$1:$B$330,MATCH(CONCATENATE(FinalPayment!$F221,"0000"),'Payment 1 through 9'!$A$1:$A$330,0),2)*9,0)</f>
        <v>0</v>
      </c>
      <c r="W221" s="8">
        <f>IFERROR(INDEX('FinalPayment 10'!$A$1:$B$330,MATCH(CONCATENATE(FinalPayment!$F221,"0000"),'FinalPayment 10'!$A$1:$A$330,0),2),0)</f>
        <v>0</v>
      </c>
      <c r="X221" s="8">
        <f t="shared" si="30"/>
        <v>0</v>
      </c>
      <c r="Y221" s="8">
        <f t="shared" si="31"/>
        <v>801</v>
      </c>
    </row>
    <row r="222" spans="1:25" x14ac:dyDescent="0.55000000000000004">
      <c r="A222">
        <v>2021</v>
      </c>
      <c r="B222" t="s">
        <v>698</v>
      </c>
      <c r="C222" t="s">
        <v>451</v>
      </c>
      <c r="D222" t="s">
        <v>1207</v>
      </c>
      <c r="E222" t="s">
        <v>1207</v>
      </c>
      <c r="F222" t="s">
        <v>451</v>
      </c>
      <c r="G222" t="s">
        <v>1231</v>
      </c>
      <c r="H222" s="5">
        <f>SUMPRODUCT(SUMIF(FinalPayment_NoReorg!$F$2:$F$331,FinalPayment!$D222:$F222,FinalPayment_NoReorg!$L$2:$L$331))+SUMPRODUCT(SUMIF(FinalPayment_NoReorg!$F$2:$F$331,FinalPayment!$D222:$F222,FinalPayment_NoReorg!$N$2:$N$331))</f>
        <v>74276</v>
      </c>
      <c r="I222" s="5">
        <f t="shared" si="27"/>
        <v>7428</v>
      </c>
      <c r="J222" s="5">
        <f t="shared" si="27"/>
        <v>7428</v>
      </c>
      <c r="K222" s="5">
        <f t="shared" si="27"/>
        <v>7428</v>
      </c>
      <c r="L222" s="5">
        <f t="shared" si="27"/>
        <v>7428</v>
      </c>
      <c r="M222" s="5">
        <f t="shared" si="28"/>
        <v>7428</v>
      </c>
      <c r="N222" s="5">
        <f t="shared" si="28"/>
        <v>7428</v>
      </c>
      <c r="O222" s="5">
        <f t="shared" si="28"/>
        <v>7428</v>
      </c>
      <c r="P222" s="5">
        <f t="shared" si="25"/>
        <v>7428</v>
      </c>
      <c r="Q222" s="5">
        <f t="shared" si="25"/>
        <v>7428</v>
      </c>
      <c r="R222" s="5">
        <f t="shared" si="29"/>
        <v>7424</v>
      </c>
      <c r="U222" s="8">
        <f t="shared" si="26"/>
        <v>0</v>
      </c>
      <c r="V222" s="8">
        <f>IFERROR(INDEX('Payment 1 through 9'!$A$1:$B$330,MATCH(CONCATENATE(FinalPayment!$F222,"0000"),'Payment 1 through 9'!$A$1:$A$330,0),2)*9,0)</f>
        <v>64827</v>
      </c>
      <c r="W222" s="8">
        <f>IFERROR(INDEX('FinalPayment 10'!$A$1:$B$330,MATCH(CONCATENATE(FinalPayment!$F222,"0000"),'FinalPayment 10'!$A$1:$A$330,0),2),0)</f>
        <v>7206</v>
      </c>
      <c r="X222" s="8">
        <f t="shared" si="30"/>
        <v>72033</v>
      </c>
      <c r="Y222" s="8">
        <f t="shared" si="31"/>
        <v>2243</v>
      </c>
    </row>
    <row r="223" spans="1:25" x14ac:dyDescent="0.55000000000000004">
      <c r="A223">
        <v>2021</v>
      </c>
      <c r="B223" t="s">
        <v>690</v>
      </c>
      <c r="C223" t="s">
        <v>450</v>
      </c>
      <c r="D223" t="s">
        <v>1207</v>
      </c>
      <c r="E223" t="s">
        <v>1207</v>
      </c>
      <c r="F223" t="s">
        <v>450</v>
      </c>
      <c r="G223" t="s">
        <v>228</v>
      </c>
      <c r="H223" s="5">
        <f>SUMPRODUCT(SUMIF(FinalPayment_NoReorg!$F$2:$F$331,FinalPayment!$D223:$F223,FinalPayment_NoReorg!$L$2:$L$331))+SUMPRODUCT(SUMIF(FinalPayment_NoReorg!$F$2:$F$331,FinalPayment!$D223:$F223,FinalPayment_NoReorg!$N$2:$N$331))</f>
        <v>32321</v>
      </c>
      <c r="I223" s="5">
        <f t="shared" si="27"/>
        <v>3232</v>
      </c>
      <c r="J223" s="5">
        <f t="shared" si="27"/>
        <v>3232</v>
      </c>
      <c r="K223" s="5">
        <f t="shared" si="27"/>
        <v>3232</v>
      </c>
      <c r="L223" s="5">
        <f t="shared" si="27"/>
        <v>3232</v>
      </c>
      <c r="M223" s="5">
        <f t="shared" si="28"/>
        <v>3232</v>
      </c>
      <c r="N223" s="5">
        <f t="shared" si="28"/>
        <v>3232</v>
      </c>
      <c r="O223" s="5">
        <f t="shared" si="28"/>
        <v>3232</v>
      </c>
      <c r="P223" s="5">
        <f t="shared" si="25"/>
        <v>3232</v>
      </c>
      <c r="Q223" s="5">
        <f t="shared" si="25"/>
        <v>3232</v>
      </c>
      <c r="R223" s="5">
        <f t="shared" si="29"/>
        <v>3233</v>
      </c>
      <c r="U223" s="8">
        <f t="shared" si="26"/>
        <v>0</v>
      </c>
      <c r="V223" s="8">
        <f>IFERROR(INDEX('Payment 1 through 9'!$A$1:$B$330,MATCH(CONCATENATE(FinalPayment!$F223,"0000"),'Payment 1 through 9'!$A$1:$A$330,0),2)*9,0)</f>
        <v>27279</v>
      </c>
      <c r="W223" s="8">
        <f>IFERROR(INDEX('FinalPayment 10'!$A$1:$B$330,MATCH(CONCATENATE(FinalPayment!$F223,"0000"),'FinalPayment 10'!$A$1:$A$330,0),2),0)</f>
        <v>3028</v>
      </c>
      <c r="X223" s="8">
        <f t="shared" si="30"/>
        <v>30307</v>
      </c>
      <c r="Y223" s="8">
        <f t="shared" si="31"/>
        <v>2014</v>
      </c>
    </row>
    <row r="224" spans="1:25" x14ac:dyDescent="0.55000000000000004">
      <c r="A224">
        <v>2021</v>
      </c>
      <c r="B224" t="s">
        <v>689</v>
      </c>
      <c r="C224" t="s">
        <v>449</v>
      </c>
      <c r="D224" t="s">
        <v>1207</v>
      </c>
      <c r="E224" t="s">
        <v>1207</v>
      </c>
      <c r="F224" t="s">
        <v>449</v>
      </c>
      <c r="G224" t="s">
        <v>229</v>
      </c>
      <c r="H224" s="5">
        <f>SUMPRODUCT(SUMIF(FinalPayment_NoReorg!$F$2:$F$331,FinalPayment!$D224:$F224,FinalPayment_NoReorg!$L$2:$L$331))+SUMPRODUCT(SUMIF(FinalPayment_NoReorg!$F$2:$F$331,FinalPayment!$D224:$F224,FinalPayment_NoReorg!$N$2:$N$331))</f>
        <v>182581</v>
      </c>
      <c r="I224" s="5">
        <f t="shared" si="27"/>
        <v>18258</v>
      </c>
      <c r="J224" s="5">
        <f t="shared" si="27"/>
        <v>18258</v>
      </c>
      <c r="K224" s="5">
        <f t="shared" si="27"/>
        <v>18258</v>
      </c>
      <c r="L224" s="5">
        <f t="shared" si="27"/>
        <v>18258</v>
      </c>
      <c r="M224" s="5">
        <f t="shared" si="28"/>
        <v>18258</v>
      </c>
      <c r="N224" s="5">
        <f t="shared" si="28"/>
        <v>18258</v>
      </c>
      <c r="O224" s="5">
        <f t="shared" si="28"/>
        <v>18258</v>
      </c>
      <c r="P224" s="5">
        <f t="shared" si="25"/>
        <v>18258</v>
      </c>
      <c r="Q224" s="5">
        <f t="shared" si="25"/>
        <v>18258</v>
      </c>
      <c r="R224" s="5">
        <f t="shared" si="29"/>
        <v>18259</v>
      </c>
      <c r="U224" s="8">
        <f t="shared" si="26"/>
        <v>0</v>
      </c>
      <c r="V224" s="8">
        <f>IFERROR(INDEX('Payment 1 through 9'!$A$1:$B$330,MATCH(CONCATENATE(FinalPayment!$F224,"0000"),'Payment 1 through 9'!$A$1:$A$330,0),2)*9,0)</f>
        <v>155574</v>
      </c>
      <c r="W224" s="8">
        <f>IFERROR(INDEX('FinalPayment 10'!$A$1:$B$330,MATCH(CONCATENATE(FinalPayment!$F224,"0000"),'FinalPayment 10'!$A$1:$A$330,0),2),0)</f>
        <v>17285</v>
      </c>
      <c r="X224" s="8">
        <f t="shared" si="30"/>
        <v>172859</v>
      </c>
      <c r="Y224" s="8">
        <f t="shared" si="31"/>
        <v>9722</v>
      </c>
    </row>
    <row r="225" spans="1:25" x14ac:dyDescent="0.55000000000000004">
      <c r="A225">
        <v>2021</v>
      </c>
      <c r="B225" t="s">
        <v>696</v>
      </c>
      <c r="C225" t="s">
        <v>448</v>
      </c>
      <c r="D225" t="s">
        <v>1207</v>
      </c>
      <c r="E225" t="s">
        <v>1207</v>
      </c>
      <c r="F225" t="s">
        <v>448</v>
      </c>
      <c r="G225" t="s">
        <v>230</v>
      </c>
      <c r="H225" s="5">
        <f>SUMPRODUCT(SUMIF(FinalPayment_NoReorg!$F$2:$F$331,FinalPayment!$D225:$F225,FinalPayment_NoReorg!$L$2:$L$331))+SUMPRODUCT(SUMIF(FinalPayment_NoReorg!$F$2:$F$331,FinalPayment!$D225:$F225,FinalPayment_NoReorg!$N$2:$N$331))</f>
        <v>58395</v>
      </c>
      <c r="I225" s="5">
        <f t="shared" si="27"/>
        <v>5840</v>
      </c>
      <c r="J225" s="5">
        <f t="shared" si="27"/>
        <v>5840</v>
      </c>
      <c r="K225" s="5">
        <f t="shared" si="27"/>
        <v>5840</v>
      </c>
      <c r="L225" s="5">
        <f t="shared" si="27"/>
        <v>5840</v>
      </c>
      <c r="M225" s="5">
        <f t="shared" si="28"/>
        <v>5840</v>
      </c>
      <c r="N225" s="5">
        <f t="shared" si="28"/>
        <v>5840</v>
      </c>
      <c r="O225" s="5">
        <f t="shared" si="28"/>
        <v>5840</v>
      </c>
      <c r="P225" s="5">
        <f t="shared" si="25"/>
        <v>5840</v>
      </c>
      <c r="Q225" s="5">
        <f t="shared" si="25"/>
        <v>5840</v>
      </c>
      <c r="R225" s="5">
        <f t="shared" si="29"/>
        <v>5835</v>
      </c>
      <c r="U225" s="8">
        <f t="shared" si="26"/>
        <v>0</v>
      </c>
      <c r="V225" s="8">
        <f>IFERROR(INDEX('Payment 1 through 9'!$A$1:$B$330,MATCH(CONCATENATE(FinalPayment!$F225,"0000"),'Payment 1 through 9'!$A$1:$A$330,0),2)*9,0)</f>
        <v>30384</v>
      </c>
      <c r="W225" s="8">
        <f>IFERROR(INDEX('FinalPayment 10'!$A$1:$B$330,MATCH(CONCATENATE(FinalPayment!$F225,"0000"),'FinalPayment 10'!$A$1:$A$330,0),2),0)</f>
        <v>3371</v>
      </c>
      <c r="X225" s="8">
        <f t="shared" si="30"/>
        <v>33755</v>
      </c>
      <c r="Y225" s="8">
        <f t="shared" si="31"/>
        <v>24640</v>
      </c>
    </row>
    <row r="226" spans="1:25" x14ac:dyDescent="0.55000000000000004">
      <c r="A226">
        <v>2021</v>
      </c>
      <c r="B226" t="s">
        <v>696</v>
      </c>
      <c r="C226" t="s">
        <v>447</v>
      </c>
      <c r="D226" t="s">
        <v>1207</v>
      </c>
      <c r="E226" t="s">
        <v>1207</v>
      </c>
      <c r="F226" t="s">
        <v>447</v>
      </c>
      <c r="G226" t="s">
        <v>231</v>
      </c>
      <c r="H226" s="5">
        <f>SUMPRODUCT(SUMIF(FinalPayment_NoReorg!$F$2:$F$331,FinalPayment!$D226:$F226,FinalPayment_NoReorg!$L$2:$L$331))+SUMPRODUCT(SUMIF(FinalPayment_NoReorg!$F$2:$F$331,FinalPayment!$D226:$F226,FinalPayment_NoReorg!$N$2:$N$331))</f>
        <v>3810</v>
      </c>
      <c r="I226" s="5">
        <f t="shared" si="27"/>
        <v>381</v>
      </c>
      <c r="J226" s="5">
        <f t="shared" si="27"/>
        <v>381</v>
      </c>
      <c r="K226" s="5">
        <f t="shared" si="27"/>
        <v>381</v>
      </c>
      <c r="L226" s="5">
        <f t="shared" si="27"/>
        <v>381</v>
      </c>
      <c r="M226" s="5">
        <f t="shared" si="28"/>
        <v>381</v>
      </c>
      <c r="N226" s="5">
        <f t="shared" si="28"/>
        <v>381</v>
      </c>
      <c r="O226" s="5">
        <f t="shared" si="28"/>
        <v>381</v>
      </c>
      <c r="P226" s="5">
        <f t="shared" si="25"/>
        <v>381</v>
      </c>
      <c r="Q226" s="5">
        <f t="shared" si="25"/>
        <v>381</v>
      </c>
      <c r="R226" s="5">
        <f t="shared" si="29"/>
        <v>381</v>
      </c>
      <c r="U226" s="8">
        <f t="shared" si="26"/>
        <v>0</v>
      </c>
      <c r="V226" s="8">
        <f>IFERROR(INDEX('Payment 1 through 9'!$A$1:$B$330,MATCH(CONCATENATE(FinalPayment!$F226,"0000"),'Payment 1 through 9'!$A$1:$A$330,0),2)*9,0)</f>
        <v>0</v>
      </c>
      <c r="W226" s="8">
        <f>IFERROR(INDEX('FinalPayment 10'!$A$1:$B$330,MATCH(CONCATENATE(FinalPayment!$F226,"0000"),'FinalPayment 10'!$A$1:$A$330,0),2),0)</f>
        <v>0</v>
      </c>
      <c r="X226" s="8">
        <f t="shared" si="30"/>
        <v>0</v>
      </c>
      <c r="Y226" s="8">
        <f t="shared" si="31"/>
        <v>3810</v>
      </c>
    </row>
    <row r="227" spans="1:25" x14ac:dyDescent="0.55000000000000004">
      <c r="A227">
        <v>2021</v>
      </c>
      <c r="B227" t="s">
        <v>686</v>
      </c>
      <c r="C227" t="s">
        <v>446</v>
      </c>
      <c r="D227" t="s">
        <v>1207</v>
      </c>
      <c r="E227" t="s">
        <v>1207</v>
      </c>
      <c r="F227" t="s">
        <v>446</v>
      </c>
      <c r="G227" t="s">
        <v>232</v>
      </c>
      <c r="H227" s="5">
        <f>SUMPRODUCT(SUMIF(FinalPayment_NoReorg!$F$2:$F$331,FinalPayment!$D227:$F227,FinalPayment_NoReorg!$L$2:$L$331))+SUMPRODUCT(SUMIF(FinalPayment_NoReorg!$F$2:$F$331,FinalPayment!$D227:$F227,FinalPayment_NoReorg!$N$2:$N$331))</f>
        <v>111705</v>
      </c>
      <c r="I227" s="5">
        <f t="shared" si="27"/>
        <v>11171</v>
      </c>
      <c r="J227" s="5">
        <f t="shared" si="27"/>
        <v>11171</v>
      </c>
      <c r="K227" s="5">
        <f t="shared" si="27"/>
        <v>11171</v>
      </c>
      <c r="L227" s="5">
        <f t="shared" si="27"/>
        <v>11171</v>
      </c>
      <c r="M227" s="5">
        <f t="shared" si="28"/>
        <v>11171</v>
      </c>
      <c r="N227" s="5">
        <f t="shared" si="28"/>
        <v>11171</v>
      </c>
      <c r="O227" s="5">
        <f t="shared" si="28"/>
        <v>11171</v>
      </c>
      <c r="P227" s="5">
        <f t="shared" si="25"/>
        <v>11171</v>
      </c>
      <c r="Q227" s="5">
        <f t="shared" si="25"/>
        <v>11171</v>
      </c>
      <c r="R227" s="5">
        <f t="shared" si="29"/>
        <v>11166</v>
      </c>
      <c r="U227" s="8">
        <f t="shared" si="26"/>
        <v>0</v>
      </c>
      <c r="V227" s="8">
        <f>IFERROR(INDEX('Payment 1 through 9'!$A$1:$B$330,MATCH(CONCATENATE(FinalPayment!$F227,"0000"),'Payment 1 through 9'!$A$1:$A$330,0),2)*9,0)</f>
        <v>93897</v>
      </c>
      <c r="W227" s="8">
        <f>IFERROR(INDEX('FinalPayment 10'!$A$1:$B$330,MATCH(CONCATENATE(FinalPayment!$F227,"0000"),'FinalPayment 10'!$A$1:$A$330,0),2),0)</f>
        <v>10433</v>
      </c>
      <c r="X227" s="8">
        <f t="shared" si="30"/>
        <v>104330</v>
      </c>
      <c r="Y227" s="8">
        <f t="shared" si="31"/>
        <v>7375</v>
      </c>
    </row>
    <row r="228" spans="1:25" x14ac:dyDescent="0.55000000000000004">
      <c r="A228">
        <v>2021</v>
      </c>
      <c r="B228" t="s">
        <v>694</v>
      </c>
      <c r="C228" t="s">
        <v>445</v>
      </c>
      <c r="D228" t="s">
        <v>1207</v>
      </c>
      <c r="E228" t="s">
        <v>1207</v>
      </c>
      <c r="F228" t="s">
        <v>445</v>
      </c>
      <c r="G228" t="s">
        <v>233</v>
      </c>
      <c r="H228" s="5">
        <f>SUMPRODUCT(SUMIF(FinalPayment_NoReorg!$F$2:$F$331,FinalPayment!$D228:$F228,FinalPayment_NoReorg!$L$2:$L$331))+SUMPRODUCT(SUMIF(FinalPayment_NoReorg!$F$2:$F$331,FinalPayment!$D228:$F228,FinalPayment_NoReorg!$N$2:$N$331))</f>
        <v>92229</v>
      </c>
      <c r="I228" s="5">
        <f t="shared" si="27"/>
        <v>9223</v>
      </c>
      <c r="J228" s="5">
        <f t="shared" si="27"/>
        <v>9223</v>
      </c>
      <c r="K228" s="5">
        <f t="shared" si="27"/>
        <v>9223</v>
      </c>
      <c r="L228" s="5">
        <f t="shared" si="27"/>
        <v>9223</v>
      </c>
      <c r="M228" s="5">
        <f t="shared" si="28"/>
        <v>9223</v>
      </c>
      <c r="N228" s="5">
        <f t="shared" si="28"/>
        <v>9223</v>
      </c>
      <c r="O228" s="5">
        <f t="shared" si="28"/>
        <v>9223</v>
      </c>
      <c r="P228" s="5">
        <f t="shared" si="25"/>
        <v>9223</v>
      </c>
      <c r="Q228" s="5">
        <f t="shared" si="25"/>
        <v>9223</v>
      </c>
      <c r="R228" s="5">
        <f t="shared" si="29"/>
        <v>9222</v>
      </c>
      <c r="U228" s="8">
        <f t="shared" si="26"/>
        <v>0</v>
      </c>
      <c r="V228" s="8">
        <f>IFERROR(INDEX('Payment 1 through 9'!$A$1:$B$330,MATCH(CONCATENATE(FinalPayment!$F228,"0000"),'Payment 1 through 9'!$A$1:$A$330,0),2)*9,0)</f>
        <v>80991</v>
      </c>
      <c r="W228" s="8">
        <f>IFERROR(INDEX('FinalPayment 10'!$A$1:$B$330,MATCH(CONCATENATE(FinalPayment!$F228,"0000"),'FinalPayment 10'!$A$1:$A$330,0),2),0)</f>
        <v>8998</v>
      </c>
      <c r="X228" s="8">
        <f t="shared" si="30"/>
        <v>89989</v>
      </c>
      <c r="Y228" s="8">
        <f t="shared" si="31"/>
        <v>2240</v>
      </c>
    </row>
    <row r="229" spans="1:25" x14ac:dyDescent="0.55000000000000004">
      <c r="A229">
        <v>2021</v>
      </c>
      <c r="B229" t="s">
        <v>686</v>
      </c>
      <c r="C229" t="s">
        <v>919</v>
      </c>
      <c r="D229" t="s">
        <v>1207</v>
      </c>
      <c r="E229" t="s">
        <v>1207</v>
      </c>
      <c r="F229" t="s">
        <v>444</v>
      </c>
      <c r="G229" t="s">
        <v>234</v>
      </c>
      <c r="H229" s="5">
        <f>SUMPRODUCT(SUMIF(FinalPayment_NoReorg!$F$2:$F$331,FinalPayment!$D229:$F229,FinalPayment_NoReorg!$L$2:$L$331))+SUMPRODUCT(SUMIF(FinalPayment_NoReorg!$F$2:$F$331,FinalPayment!$D229:$F229,FinalPayment_NoReorg!$N$2:$N$331))</f>
        <v>41892</v>
      </c>
      <c r="I229" s="5">
        <f t="shared" si="27"/>
        <v>4189</v>
      </c>
      <c r="J229" s="5">
        <f t="shared" si="27"/>
        <v>4189</v>
      </c>
      <c r="K229" s="5">
        <f t="shared" si="27"/>
        <v>4189</v>
      </c>
      <c r="L229" s="5">
        <f t="shared" si="27"/>
        <v>4189</v>
      </c>
      <c r="M229" s="5">
        <f t="shared" si="28"/>
        <v>4189</v>
      </c>
      <c r="N229" s="5">
        <f t="shared" si="28"/>
        <v>4189</v>
      </c>
      <c r="O229" s="5">
        <f t="shared" si="28"/>
        <v>4189</v>
      </c>
      <c r="P229" s="5">
        <f t="shared" si="25"/>
        <v>4189</v>
      </c>
      <c r="Q229" s="5">
        <f t="shared" si="25"/>
        <v>4189</v>
      </c>
      <c r="R229" s="5">
        <f t="shared" si="29"/>
        <v>4191</v>
      </c>
      <c r="U229" s="8">
        <f t="shared" si="26"/>
        <v>0</v>
      </c>
      <c r="V229" s="8">
        <f>IFERROR(INDEX('Payment 1 through 9'!$A$1:$B$330,MATCH(CONCATENATE(FinalPayment!$F229,"0000"),'Payment 1 through 9'!$A$1:$A$330,0),2)*9,0)</f>
        <v>27504</v>
      </c>
      <c r="W229" s="8">
        <f>IFERROR(INDEX('FinalPayment 10'!$A$1:$B$330,MATCH(CONCATENATE(FinalPayment!$F229,"0000"),'FinalPayment 10'!$A$1:$A$330,0),2),0)</f>
        <v>3056</v>
      </c>
      <c r="X229" s="8">
        <f t="shared" si="30"/>
        <v>30560</v>
      </c>
      <c r="Y229" s="8">
        <f t="shared" si="31"/>
        <v>11332</v>
      </c>
    </row>
    <row r="230" spans="1:25" x14ac:dyDescent="0.55000000000000004">
      <c r="A230">
        <v>2021</v>
      </c>
      <c r="B230" t="s">
        <v>696</v>
      </c>
      <c r="C230" t="s">
        <v>443</v>
      </c>
      <c r="D230" t="s">
        <v>1207</v>
      </c>
      <c r="E230" t="s">
        <v>1207</v>
      </c>
      <c r="F230" t="s">
        <v>443</v>
      </c>
      <c r="G230" t="s">
        <v>235</v>
      </c>
      <c r="H230" s="5">
        <f>SUMPRODUCT(SUMIF(FinalPayment_NoReorg!$F$2:$F$331,FinalPayment!$D230:$F230,FinalPayment_NoReorg!$L$2:$L$331))+SUMPRODUCT(SUMIF(FinalPayment_NoReorg!$F$2:$F$331,FinalPayment!$D230:$F230,FinalPayment_NoReorg!$N$2:$N$331))</f>
        <v>252009</v>
      </c>
      <c r="I230" s="5">
        <f t="shared" si="27"/>
        <v>25201</v>
      </c>
      <c r="J230" s="5">
        <f t="shared" si="27"/>
        <v>25201</v>
      </c>
      <c r="K230" s="5">
        <f t="shared" si="27"/>
        <v>25201</v>
      </c>
      <c r="L230" s="5">
        <f t="shared" si="27"/>
        <v>25201</v>
      </c>
      <c r="M230" s="5">
        <f t="shared" si="28"/>
        <v>25201</v>
      </c>
      <c r="N230" s="5">
        <f t="shared" si="28"/>
        <v>25201</v>
      </c>
      <c r="O230" s="5">
        <f t="shared" si="28"/>
        <v>25201</v>
      </c>
      <c r="P230" s="5">
        <f t="shared" si="25"/>
        <v>25201</v>
      </c>
      <c r="Q230" s="5">
        <f t="shared" si="25"/>
        <v>25201</v>
      </c>
      <c r="R230" s="5">
        <f t="shared" si="29"/>
        <v>25200</v>
      </c>
      <c r="U230" s="8">
        <f t="shared" si="26"/>
        <v>0</v>
      </c>
      <c r="V230" s="8">
        <f>IFERROR(INDEX('Payment 1 through 9'!$A$1:$B$330,MATCH(CONCATENATE(FinalPayment!$F230,"0000"),'Payment 1 through 9'!$A$1:$A$330,0),2)*9,0)</f>
        <v>221112</v>
      </c>
      <c r="W230" s="8">
        <f>IFERROR(INDEX('FinalPayment 10'!$A$1:$B$330,MATCH(CONCATENATE(FinalPayment!$F230,"0000"),'FinalPayment 10'!$A$1:$A$330,0),2),0)</f>
        <v>24566</v>
      </c>
      <c r="X230" s="8">
        <f t="shared" si="30"/>
        <v>245678</v>
      </c>
      <c r="Y230" s="8">
        <f t="shared" si="31"/>
        <v>6331</v>
      </c>
    </row>
    <row r="231" spans="1:25" x14ac:dyDescent="0.55000000000000004">
      <c r="A231">
        <v>2021</v>
      </c>
      <c r="B231" t="s">
        <v>686</v>
      </c>
      <c r="C231" t="s">
        <v>442</v>
      </c>
      <c r="D231" t="s">
        <v>1207</v>
      </c>
      <c r="E231" t="s">
        <v>1207</v>
      </c>
      <c r="F231" t="s">
        <v>442</v>
      </c>
      <c r="G231" t="s">
        <v>236</v>
      </c>
      <c r="H231" s="5">
        <f>SUMPRODUCT(SUMIF(FinalPayment_NoReorg!$F$2:$F$331,FinalPayment!$D231:$F231,FinalPayment_NoReorg!$L$2:$L$331))+SUMPRODUCT(SUMIF(FinalPayment_NoReorg!$F$2:$F$331,FinalPayment!$D231:$F231,FinalPayment_NoReorg!$N$2:$N$331))</f>
        <v>1764</v>
      </c>
      <c r="I231" s="5">
        <f t="shared" si="27"/>
        <v>176</v>
      </c>
      <c r="J231" s="5">
        <f t="shared" si="27"/>
        <v>176</v>
      </c>
      <c r="K231" s="5">
        <f t="shared" si="27"/>
        <v>176</v>
      </c>
      <c r="L231" s="5">
        <f t="shared" si="27"/>
        <v>176</v>
      </c>
      <c r="M231" s="5">
        <f t="shared" si="28"/>
        <v>176</v>
      </c>
      <c r="N231" s="5">
        <f t="shared" si="28"/>
        <v>176</v>
      </c>
      <c r="O231" s="5">
        <f t="shared" si="28"/>
        <v>176</v>
      </c>
      <c r="P231" s="5">
        <f t="shared" si="25"/>
        <v>176</v>
      </c>
      <c r="Q231" s="5">
        <f t="shared" si="25"/>
        <v>176</v>
      </c>
      <c r="R231" s="5">
        <f t="shared" si="29"/>
        <v>180</v>
      </c>
      <c r="U231" s="8">
        <f t="shared" si="26"/>
        <v>0</v>
      </c>
      <c r="V231" s="8">
        <f>IFERROR(INDEX('Payment 1 through 9'!$A$1:$B$330,MATCH(CONCATENATE(FinalPayment!$F231,"0000"),'Payment 1 through 9'!$A$1:$A$330,0),2)*9,0)</f>
        <v>0</v>
      </c>
      <c r="W231" s="8">
        <f>IFERROR(INDEX('FinalPayment 10'!$A$1:$B$330,MATCH(CONCATENATE(FinalPayment!$F231,"0000"),'FinalPayment 10'!$A$1:$A$330,0),2),0)</f>
        <v>0</v>
      </c>
      <c r="X231" s="8">
        <f t="shared" si="30"/>
        <v>0</v>
      </c>
      <c r="Y231" s="8">
        <f t="shared" si="31"/>
        <v>1764</v>
      </c>
    </row>
    <row r="232" spans="1:25" x14ac:dyDescent="0.55000000000000004">
      <c r="A232">
        <v>2021</v>
      </c>
      <c r="B232" t="s">
        <v>686</v>
      </c>
      <c r="C232" t="s">
        <v>441</v>
      </c>
      <c r="D232" t="s">
        <v>1207</v>
      </c>
      <c r="E232" t="s">
        <v>1207</v>
      </c>
      <c r="F232" t="s">
        <v>441</v>
      </c>
      <c r="G232" t="s">
        <v>237</v>
      </c>
      <c r="H232" s="5">
        <f>SUMPRODUCT(SUMIF(FinalPayment_NoReorg!$F$2:$F$331,FinalPayment!$D232:$F232,FinalPayment_NoReorg!$L$2:$L$331))+SUMPRODUCT(SUMIF(FinalPayment_NoReorg!$F$2:$F$331,FinalPayment!$D232:$F232,FinalPayment_NoReorg!$N$2:$N$331))</f>
        <v>1475</v>
      </c>
      <c r="I232" s="5">
        <f t="shared" si="27"/>
        <v>148</v>
      </c>
      <c r="J232" s="5">
        <f t="shared" si="27"/>
        <v>148</v>
      </c>
      <c r="K232" s="5">
        <f t="shared" si="27"/>
        <v>148</v>
      </c>
      <c r="L232" s="5">
        <f t="shared" si="27"/>
        <v>148</v>
      </c>
      <c r="M232" s="5">
        <f t="shared" si="28"/>
        <v>148</v>
      </c>
      <c r="N232" s="5">
        <f t="shared" si="28"/>
        <v>148</v>
      </c>
      <c r="O232" s="5">
        <f t="shared" si="28"/>
        <v>148</v>
      </c>
      <c r="P232" s="5">
        <f t="shared" si="25"/>
        <v>148</v>
      </c>
      <c r="Q232" s="5">
        <f t="shared" si="25"/>
        <v>148</v>
      </c>
      <c r="R232" s="5">
        <f t="shared" si="29"/>
        <v>143</v>
      </c>
      <c r="U232" s="8">
        <f t="shared" si="26"/>
        <v>0</v>
      </c>
      <c r="V232" s="8">
        <f>IFERROR(INDEX('Payment 1 through 9'!$A$1:$B$330,MATCH(CONCATENATE(FinalPayment!$F232,"0000"),'Payment 1 through 9'!$A$1:$A$330,0),2)*9,0)</f>
        <v>0</v>
      </c>
      <c r="W232" s="8">
        <f>IFERROR(INDEX('FinalPayment 10'!$A$1:$B$330,MATCH(CONCATENATE(FinalPayment!$F232,"0000"),'FinalPayment 10'!$A$1:$A$330,0),2),0)</f>
        <v>0</v>
      </c>
      <c r="X232" s="8">
        <f t="shared" si="30"/>
        <v>0</v>
      </c>
      <c r="Y232" s="8">
        <f t="shared" si="31"/>
        <v>1475</v>
      </c>
    </row>
    <row r="233" spans="1:25" x14ac:dyDescent="0.55000000000000004">
      <c r="A233">
        <v>2021</v>
      </c>
      <c r="B233" t="s">
        <v>707</v>
      </c>
      <c r="C233" t="s">
        <v>440</v>
      </c>
      <c r="D233" t="s">
        <v>1207</v>
      </c>
      <c r="E233" t="s">
        <v>1207</v>
      </c>
      <c r="F233" t="s">
        <v>440</v>
      </c>
      <c r="G233" t="s">
        <v>238</v>
      </c>
      <c r="H233" s="5">
        <f>SUMPRODUCT(SUMIF(FinalPayment_NoReorg!$F$2:$F$331,FinalPayment!$D233:$F233,FinalPayment_NoReorg!$L$2:$L$331))+SUMPRODUCT(SUMIF(FinalPayment_NoReorg!$F$2:$F$331,FinalPayment!$D233:$F233,FinalPayment_NoReorg!$N$2:$N$331))</f>
        <v>4123</v>
      </c>
      <c r="I233" s="5">
        <f t="shared" si="27"/>
        <v>412</v>
      </c>
      <c r="J233" s="5">
        <f t="shared" si="27"/>
        <v>412</v>
      </c>
      <c r="K233" s="5">
        <f t="shared" si="27"/>
        <v>412</v>
      </c>
      <c r="L233" s="5">
        <f t="shared" si="27"/>
        <v>412</v>
      </c>
      <c r="M233" s="5">
        <f t="shared" si="28"/>
        <v>412</v>
      </c>
      <c r="N233" s="5">
        <f t="shared" si="28"/>
        <v>412</v>
      </c>
      <c r="O233" s="5">
        <f t="shared" si="28"/>
        <v>412</v>
      </c>
      <c r="P233" s="5">
        <f t="shared" si="25"/>
        <v>412</v>
      </c>
      <c r="Q233" s="5">
        <f t="shared" si="25"/>
        <v>412</v>
      </c>
      <c r="R233" s="5">
        <f t="shared" si="29"/>
        <v>415</v>
      </c>
      <c r="U233" s="8">
        <f t="shared" si="26"/>
        <v>0</v>
      </c>
      <c r="V233" s="8">
        <f>IFERROR(INDEX('Payment 1 through 9'!$A$1:$B$330,MATCH(CONCATENATE(FinalPayment!$F233,"0000"),'Payment 1 through 9'!$A$1:$A$330,0),2)*9,0)</f>
        <v>0</v>
      </c>
      <c r="W233" s="8">
        <f>IFERROR(INDEX('FinalPayment 10'!$A$1:$B$330,MATCH(CONCATENATE(FinalPayment!$F233,"0000"),'FinalPayment 10'!$A$1:$A$330,0),2),0)</f>
        <v>0</v>
      </c>
      <c r="X233" s="8">
        <f t="shared" si="30"/>
        <v>0</v>
      </c>
      <c r="Y233" s="8">
        <f t="shared" si="31"/>
        <v>4123</v>
      </c>
    </row>
    <row r="234" spans="1:25" x14ac:dyDescent="0.55000000000000004">
      <c r="A234">
        <v>2021</v>
      </c>
      <c r="B234" t="s">
        <v>686</v>
      </c>
      <c r="C234" t="s">
        <v>439</v>
      </c>
      <c r="D234" t="s">
        <v>1207</v>
      </c>
      <c r="E234" t="s">
        <v>1207</v>
      </c>
      <c r="F234" t="s">
        <v>439</v>
      </c>
      <c r="G234" t="s">
        <v>239</v>
      </c>
      <c r="H234" s="5">
        <f>SUMPRODUCT(SUMIF(FinalPayment_NoReorg!$F$2:$F$331,FinalPayment!$D234:$F234,FinalPayment_NoReorg!$L$2:$L$331))+SUMPRODUCT(SUMIF(FinalPayment_NoReorg!$F$2:$F$331,FinalPayment!$D234:$F234,FinalPayment_NoReorg!$N$2:$N$331))</f>
        <v>557</v>
      </c>
      <c r="I234" s="5">
        <f t="shared" si="27"/>
        <v>56</v>
      </c>
      <c r="J234" s="5">
        <f t="shared" si="27"/>
        <v>56</v>
      </c>
      <c r="K234" s="5">
        <f t="shared" si="27"/>
        <v>56</v>
      </c>
      <c r="L234" s="5">
        <f t="shared" si="27"/>
        <v>56</v>
      </c>
      <c r="M234" s="5">
        <f t="shared" si="28"/>
        <v>56</v>
      </c>
      <c r="N234" s="5">
        <f t="shared" si="28"/>
        <v>56</v>
      </c>
      <c r="O234" s="5">
        <f t="shared" si="28"/>
        <v>56</v>
      </c>
      <c r="P234" s="5">
        <f t="shared" si="25"/>
        <v>56</v>
      </c>
      <c r="Q234" s="5">
        <f t="shared" si="25"/>
        <v>56</v>
      </c>
      <c r="R234" s="5">
        <f t="shared" si="29"/>
        <v>53</v>
      </c>
      <c r="U234" s="8">
        <f t="shared" si="26"/>
        <v>0</v>
      </c>
      <c r="V234" s="8">
        <f>IFERROR(INDEX('Payment 1 through 9'!$A$1:$B$330,MATCH(CONCATENATE(FinalPayment!$F234,"0000"),'Payment 1 through 9'!$A$1:$A$330,0),2)*9,0)</f>
        <v>0</v>
      </c>
      <c r="W234" s="8">
        <f>IFERROR(INDEX('FinalPayment 10'!$A$1:$B$330,MATCH(CONCATENATE(FinalPayment!$F234,"0000"),'FinalPayment 10'!$A$1:$A$330,0),2),0)</f>
        <v>0</v>
      </c>
      <c r="X234" s="8">
        <f t="shared" si="30"/>
        <v>0</v>
      </c>
      <c r="Y234" s="8">
        <f t="shared" si="31"/>
        <v>557</v>
      </c>
    </row>
    <row r="235" spans="1:25" x14ac:dyDescent="0.55000000000000004">
      <c r="A235">
        <v>2021</v>
      </c>
      <c r="B235" t="s">
        <v>694</v>
      </c>
      <c r="C235" t="s">
        <v>438</v>
      </c>
      <c r="D235" t="s">
        <v>1207</v>
      </c>
      <c r="E235" t="s">
        <v>1207</v>
      </c>
      <c r="F235" t="s">
        <v>438</v>
      </c>
      <c r="G235" t="s">
        <v>240</v>
      </c>
      <c r="H235" s="5">
        <f>SUMPRODUCT(SUMIF(FinalPayment_NoReorg!$F$2:$F$331,FinalPayment!$D235:$F235,FinalPayment_NoReorg!$L$2:$L$331))+SUMPRODUCT(SUMIF(FinalPayment_NoReorg!$F$2:$F$331,FinalPayment!$D235:$F235,FinalPayment_NoReorg!$N$2:$N$331))</f>
        <v>205987</v>
      </c>
      <c r="I235" s="5">
        <f t="shared" si="27"/>
        <v>20599</v>
      </c>
      <c r="J235" s="5">
        <f t="shared" si="27"/>
        <v>20599</v>
      </c>
      <c r="K235" s="5">
        <f t="shared" si="27"/>
        <v>20599</v>
      </c>
      <c r="L235" s="5">
        <f t="shared" si="27"/>
        <v>20599</v>
      </c>
      <c r="M235" s="5">
        <f t="shared" si="28"/>
        <v>20599</v>
      </c>
      <c r="N235" s="5">
        <f t="shared" si="28"/>
        <v>20599</v>
      </c>
      <c r="O235" s="5">
        <f t="shared" si="28"/>
        <v>20599</v>
      </c>
      <c r="P235" s="5">
        <f t="shared" si="25"/>
        <v>20599</v>
      </c>
      <c r="Q235" s="5">
        <f t="shared" si="25"/>
        <v>20599</v>
      </c>
      <c r="R235" s="5">
        <f t="shared" si="29"/>
        <v>20596</v>
      </c>
      <c r="U235" s="8">
        <f t="shared" si="26"/>
        <v>0</v>
      </c>
      <c r="V235" s="8">
        <f>IFERROR(INDEX('Payment 1 through 9'!$A$1:$B$330,MATCH(CONCATENATE(FinalPayment!$F235,"0000"),'Payment 1 through 9'!$A$1:$A$330,0),2)*9,0)</f>
        <v>179055</v>
      </c>
      <c r="W235" s="8">
        <f>IFERROR(INDEX('FinalPayment 10'!$A$1:$B$330,MATCH(CONCATENATE(FinalPayment!$F235,"0000"),'FinalPayment 10'!$A$1:$A$330,0),2),0)</f>
        <v>19891</v>
      </c>
      <c r="X235" s="8">
        <f t="shared" si="30"/>
        <v>198946</v>
      </c>
      <c r="Y235" s="8">
        <f t="shared" si="31"/>
        <v>7041</v>
      </c>
    </row>
    <row r="236" spans="1:25" x14ac:dyDescent="0.55000000000000004">
      <c r="A236">
        <v>2021</v>
      </c>
      <c r="B236" t="s">
        <v>703</v>
      </c>
      <c r="C236" t="s">
        <v>437</v>
      </c>
      <c r="D236" t="s">
        <v>1207</v>
      </c>
      <c r="E236" t="s">
        <v>1207</v>
      </c>
      <c r="F236" t="s">
        <v>437</v>
      </c>
      <c r="G236" t="s">
        <v>241</v>
      </c>
      <c r="H236" s="5">
        <f>SUMPRODUCT(SUMIF(FinalPayment_NoReorg!$F$2:$F$331,FinalPayment!$D236:$F236,FinalPayment_NoReorg!$L$2:$L$331))+SUMPRODUCT(SUMIF(FinalPayment_NoReorg!$F$2:$F$331,FinalPayment!$D236:$F236,FinalPayment_NoReorg!$N$2:$N$331))</f>
        <v>597</v>
      </c>
      <c r="I236" s="5">
        <f t="shared" si="27"/>
        <v>60</v>
      </c>
      <c r="J236" s="5">
        <f t="shared" si="27"/>
        <v>60</v>
      </c>
      <c r="K236" s="5">
        <f t="shared" si="27"/>
        <v>60</v>
      </c>
      <c r="L236" s="5">
        <f t="shared" si="27"/>
        <v>60</v>
      </c>
      <c r="M236" s="5">
        <f t="shared" si="28"/>
        <v>60</v>
      </c>
      <c r="N236" s="5">
        <f t="shared" si="28"/>
        <v>60</v>
      </c>
      <c r="O236" s="5">
        <f t="shared" si="28"/>
        <v>60</v>
      </c>
      <c r="P236" s="5">
        <f t="shared" si="25"/>
        <v>60</v>
      </c>
      <c r="Q236" s="5">
        <f t="shared" si="25"/>
        <v>60</v>
      </c>
      <c r="R236" s="5">
        <f t="shared" si="29"/>
        <v>57</v>
      </c>
      <c r="U236" s="8">
        <f t="shared" si="26"/>
        <v>0</v>
      </c>
      <c r="V236" s="8">
        <f>IFERROR(INDEX('Payment 1 through 9'!$A$1:$B$330,MATCH(CONCATENATE(FinalPayment!$F236,"0000"),'Payment 1 through 9'!$A$1:$A$330,0),2)*9,0)</f>
        <v>0</v>
      </c>
      <c r="W236" s="8">
        <f>IFERROR(INDEX('FinalPayment 10'!$A$1:$B$330,MATCH(CONCATENATE(FinalPayment!$F236,"0000"),'FinalPayment 10'!$A$1:$A$330,0),2),0)</f>
        <v>0</v>
      </c>
      <c r="X236" s="8">
        <f t="shared" si="30"/>
        <v>0</v>
      </c>
      <c r="Y236" s="8">
        <f t="shared" si="31"/>
        <v>597</v>
      </c>
    </row>
    <row r="237" spans="1:25" x14ac:dyDescent="0.55000000000000004">
      <c r="A237">
        <v>2021</v>
      </c>
      <c r="B237" t="s">
        <v>694</v>
      </c>
      <c r="C237" t="s">
        <v>927</v>
      </c>
      <c r="D237" t="s">
        <v>1207</v>
      </c>
      <c r="E237" t="s">
        <v>1207</v>
      </c>
      <c r="F237" t="s">
        <v>436</v>
      </c>
      <c r="G237" t="s">
        <v>242</v>
      </c>
      <c r="H237" s="5">
        <f>SUMPRODUCT(SUMIF(FinalPayment_NoReorg!$F$2:$F$331,FinalPayment!$D237:$F237,FinalPayment_NoReorg!$L$2:$L$331))+SUMPRODUCT(SUMIF(FinalPayment_NoReorg!$F$2:$F$331,FinalPayment!$D237:$F237,FinalPayment_NoReorg!$N$2:$N$331))</f>
        <v>243458</v>
      </c>
      <c r="I237" s="5">
        <f t="shared" si="27"/>
        <v>24346</v>
      </c>
      <c r="J237" s="5">
        <f t="shared" si="27"/>
        <v>24346</v>
      </c>
      <c r="K237" s="5">
        <f t="shared" si="27"/>
        <v>24346</v>
      </c>
      <c r="L237" s="5">
        <f t="shared" si="27"/>
        <v>24346</v>
      </c>
      <c r="M237" s="5">
        <f t="shared" si="28"/>
        <v>24346</v>
      </c>
      <c r="N237" s="5">
        <f t="shared" si="28"/>
        <v>24346</v>
      </c>
      <c r="O237" s="5">
        <f t="shared" si="28"/>
        <v>24346</v>
      </c>
      <c r="P237" s="5">
        <f t="shared" si="25"/>
        <v>24346</v>
      </c>
      <c r="Q237" s="5">
        <f t="shared" si="25"/>
        <v>24346</v>
      </c>
      <c r="R237" s="5">
        <f t="shared" si="29"/>
        <v>24344</v>
      </c>
      <c r="U237" s="8">
        <f t="shared" si="26"/>
        <v>0</v>
      </c>
      <c r="V237" s="8">
        <f>IFERROR(INDEX('Payment 1 through 9'!$A$1:$B$330,MATCH(CONCATENATE(FinalPayment!$F237,"0000"),'Payment 1 through 9'!$A$1:$A$330,0),2)*9,0)</f>
        <v>213642</v>
      </c>
      <c r="W237" s="8">
        <f>IFERROR(INDEX('FinalPayment 10'!$A$1:$B$330,MATCH(CONCATENATE(FinalPayment!$F237,"0000"),'FinalPayment 10'!$A$1:$A$330,0),2),0)</f>
        <v>23738</v>
      </c>
      <c r="X237" s="8">
        <f t="shared" si="30"/>
        <v>237380</v>
      </c>
      <c r="Y237" s="8">
        <f t="shared" si="31"/>
        <v>6078</v>
      </c>
    </row>
    <row r="238" spans="1:25" x14ac:dyDescent="0.55000000000000004">
      <c r="A238">
        <v>2021</v>
      </c>
      <c r="B238" t="s">
        <v>690</v>
      </c>
      <c r="C238" t="s">
        <v>435</v>
      </c>
      <c r="D238" t="s">
        <v>1207</v>
      </c>
      <c r="E238" t="s">
        <v>1207</v>
      </c>
      <c r="F238" t="s">
        <v>435</v>
      </c>
      <c r="G238" t="s">
        <v>243</v>
      </c>
      <c r="H238" s="5">
        <f>SUMPRODUCT(SUMIF(FinalPayment_NoReorg!$F$2:$F$331,FinalPayment!$D238:$F238,FinalPayment_NoReorg!$L$2:$L$331))+SUMPRODUCT(SUMIF(FinalPayment_NoReorg!$F$2:$F$331,FinalPayment!$D238:$F238,FinalPayment_NoReorg!$N$2:$N$331))</f>
        <v>845</v>
      </c>
      <c r="I238" s="5">
        <f t="shared" si="27"/>
        <v>85</v>
      </c>
      <c r="J238" s="5">
        <f t="shared" si="27"/>
        <v>85</v>
      </c>
      <c r="K238" s="5">
        <f t="shared" si="27"/>
        <v>85</v>
      </c>
      <c r="L238" s="5">
        <f t="shared" si="27"/>
        <v>85</v>
      </c>
      <c r="M238" s="5">
        <f t="shared" si="28"/>
        <v>85</v>
      </c>
      <c r="N238" s="5">
        <f t="shared" si="28"/>
        <v>85</v>
      </c>
      <c r="O238" s="5">
        <f t="shared" si="28"/>
        <v>85</v>
      </c>
      <c r="P238" s="5">
        <f t="shared" si="25"/>
        <v>85</v>
      </c>
      <c r="Q238" s="5">
        <f t="shared" si="25"/>
        <v>85</v>
      </c>
      <c r="R238" s="5">
        <f t="shared" si="29"/>
        <v>80</v>
      </c>
      <c r="U238" s="8">
        <f t="shared" si="26"/>
        <v>0</v>
      </c>
      <c r="V238" s="8">
        <f>IFERROR(INDEX('Payment 1 through 9'!$A$1:$B$330,MATCH(CONCATENATE(FinalPayment!$F238,"0000"),'Payment 1 through 9'!$A$1:$A$330,0),2)*9,0)</f>
        <v>0</v>
      </c>
      <c r="W238" s="8">
        <f>IFERROR(INDEX('FinalPayment 10'!$A$1:$B$330,MATCH(CONCATENATE(FinalPayment!$F238,"0000"),'FinalPayment 10'!$A$1:$A$330,0),2),0)</f>
        <v>0</v>
      </c>
      <c r="X238" s="8">
        <f t="shared" si="30"/>
        <v>0</v>
      </c>
      <c r="Y238" s="8">
        <f t="shared" si="31"/>
        <v>845</v>
      </c>
    </row>
    <row r="239" spans="1:25" x14ac:dyDescent="0.55000000000000004">
      <c r="A239">
        <v>2021</v>
      </c>
      <c r="B239" t="s">
        <v>692</v>
      </c>
      <c r="C239" t="s">
        <v>434</v>
      </c>
      <c r="D239" t="s">
        <v>1207</v>
      </c>
      <c r="E239" t="s">
        <v>1207</v>
      </c>
      <c r="F239" t="s">
        <v>434</v>
      </c>
      <c r="G239" t="s">
        <v>244</v>
      </c>
      <c r="H239" s="5">
        <f>SUMPRODUCT(SUMIF(FinalPayment_NoReorg!$F$2:$F$331,FinalPayment!$D239:$F239,FinalPayment_NoReorg!$L$2:$L$331))+SUMPRODUCT(SUMIF(FinalPayment_NoReorg!$F$2:$F$331,FinalPayment!$D239:$F239,FinalPayment_NoReorg!$N$2:$N$331))</f>
        <v>30159</v>
      </c>
      <c r="I239" s="5">
        <f t="shared" si="27"/>
        <v>3016</v>
      </c>
      <c r="J239" s="5">
        <f t="shared" si="27"/>
        <v>3016</v>
      </c>
      <c r="K239" s="5">
        <f t="shared" si="27"/>
        <v>3016</v>
      </c>
      <c r="L239" s="5">
        <f t="shared" si="27"/>
        <v>3016</v>
      </c>
      <c r="M239" s="5">
        <f t="shared" si="28"/>
        <v>3016</v>
      </c>
      <c r="N239" s="5">
        <f t="shared" si="28"/>
        <v>3016</v>
      </c>
      <c r="O239" s="5">
        <f t="shared" si="28"/>
        <v>3016</v>
      </c>
      <c r="P239" s="5">
        <f t="shared" si="25"/>
        <v>3016</v>
      </c>
      <c r="Q239" s="5">
        <f t="shared" si="25"/>
        <v>3016</v>
      </c>
      <c r="R239" s="5">
        <f t="shared" si="29"/>
        <v>3015</v>
      </c>
      <c r="U239" s="8">
        <f t="shared" si="26"/>
        <v>0</v>
      </c>
      <c r="V239" s="8">
        <f>IFERROR(INDEX('Payment 1 through 9'!$A$1:$B$330,MATCH(CONCATENATE(FinalPayment!$F239,"0000"),'Payment 1 through 9'!$A$1:$A$330,0),2)*9,0)</f>
        <v>24156</v>
      </c>
      <c r="W239" s="8">
        <f>IFERROR(INDEX('FinalPayment 10'!$A$1:$B$330,MATCH(CONCATENATE(FinalPayment!$F239,"0000"),'FinalPayment 10'!$A$1:$A$330,0),2),0)</f>
        <v>2680</v>
      </c>
      <c r="X239" s="8">
        <f t="shared" si="30"/>
        <v>26836</v>
      </c>
      <c r="Y239" s="8">
        <f t="shared" si="31"/>
        <v>3323</v>
      </c>
    </row>
    <row r="240" spans="1:25" x14ac:dyDescent="0.55000000000000004">
      <c r="A240">
        <v>2021</v>
      </c>
      <c r="B240" t="s">
        <v>703</v>
      </c>
      <c r="C240" t="s">
        <v>433</v>
      </c>
      <c r="D240" t="s">
        <v>1207</v>
      </c>
      <c r="E240" t="s">
        <v>1207</v>
      </c>
      <c r="F240" t="s">
        <v>433</v>
      </c>
      <c r="G240" t="s">
        <v>245</v>
      </c>
      <c r="H240" s="5">
        <f>SUMPRODUCT(SUMIF(FinalPayment_NoReorg!$F$2:$F$331,FinalPayment!$D240:$F240,FinalPayment_NoReorg!$L$2:$L$331))+SUMPRODUCT(SUMIF(FinalPayment_NoReorg!$F$2:$F$331,FinalPayment!$D240:$F240,FinalPayment_NoReorg!$N$2:$N$331))</f>
        <v>49276</v>
      </c>
      <c r="I240" s="5">
        <f t="shared" si="27"/>
        <v>4928</v>
      </c>
      <c r="J240" s="5">
        <f t="shared" si="27"/>
        <v>4928</v>
      </c>
      <c r="K240" s="5">
        <f t="shared" si="27"/>
        <v>4928</v>
      </c>
      <c r="L240" s="5">
        <f t="shared" si="27"/>
        <v>4928</v>
      </c>
      <c r="M240" s="5">
        <f t="shared" si="28"/>
        <v>4928</v>
      </c>
      <c r="N240" s="5">
        <f t="shared" si="28"/>
        <v>4928</v>
      </c>
      <c r="O240" s="5">
        <f t="shared" si="28"/>
        <v>4928</v>
      </c>
      <c r="P240" s="5">
        <f t="shared" si="25"/>
        <v>4928</v>
      </c>
      <c r="Q240" s="5">
        <f t="shared" si="25"/>
        <v>4928</v>
      </c>
      <c r="R240" s="5">
        <f t="shared" si="29"/>
        <v>4924</v>
      </c>
      <c r="U240" s="8">
        <f t="shared" si="26"/>
        <v>0</v>
      </c>
      <c r="V240" s="8">
        <f>IFERROR(INDEX('Payment 1 through 9'!$A$1:$B$330,MATCH(CONCATENATE(FinalPayment!$F240,"0000"),'Payment 1 through 9'!$A$1:$A$330,0),2)*9,0)</f>
        <v>41364</v>
      </c>
      <c r="W240" s="8">
        <f>IFERROR(INDEX('FinalPayment 10'!$A$1:$B$330,MATCH(CONCATENATE(FinalPayment!$F240,"0000"),'FinalPayment 10'!$A$1:$A$330,0),2),0)</f>
        <v>4593</v>
      </c>
      <c r="X240" s="8">
        <f t="shared" si="30"/>
        <v>45957</v>
      </c>
      <c r="Y240" s="8">
        <f t="shared" si="31"/>
        <v>3319</v>
      </c>
    </row>
    <row r="241" spans="1:25" x14ac:dyDescent="0.55000000000000004">
      <c r="A241">
        <v>2021</v>
      </c>
      <c r="B241" t="s">
        <v>692</v>
      </c>
      <c r="C241" t="s">
        <v>577</v>
      </c>
      <c r="D241" t="s">
        <v>1207</v>
      </c>
      <c r="E241" t="s">
        <v>1207</v>
      </c>
      <c r="F241" t="s">
        <v>577</v>
      </c>
      <c r="G241" t="s">
        <v>110</v>
      </c>
      <c r="H241" s="5">
        <f>SUMPRODUCT(SUMIF(FinalPayment_NoReorg!$F$2:$F$331,FinalPayment!$D241:$F241,FinalPayment_NoReorg!$L$2:$L$331))+SUMPRODUCT(SUMIF(FinalPayment_NoReorg!$F$2:$F$331,FinalPayment!$D241:$F241,FinalPayment_NoReorg!$N$2:$N$331))</f>
        <v>110007</v>
      </c>
      <c r="I241" s="5">
        <f t="shared" si="27"/>
        <v>11001</v>
      </c>
      <c r="J241" s="5">
        <f t="shared" si="27"/>
        <v>11001</v>
      </c>
      <c r="K241" s="5">
        <f t="shared" si="27"/>
        <v>11001</v>
      </c>
      <c r="L241" s="5">
        <f t="shared" si="27"/>
        <v>11001</v>
      </c>
      <c r="M241" s="5">
        <f t="shared" si="28"/>
        <v>11001</v>
      </c>
      <c r="N241" s="5">
        <f t="shared" si="28"/>
        <v>11001</v>
      </c>
      <c r="O241" s="5">
        <f t="shared" si="28"/>
        <v>11001</v>
      </c>
      <c r="P241" s="5">
        <f t="shared" si="25"/>
        <v>11001</v>
      </c>
      <c r="Q241" s="5">
        <f t="shared" si="25"/>
        <v>11001</v>
      </c>
      <c r="R241" s="5">
        <f t="shared" si="29"/>
        <v>10998</v>
      </c>
      <c r="U241" s="8">
        <f t="shared" si="26"/>
        <v>0</v>
      </c>
      <c r="V241" s="8">
        <f>IFERROR(INDEX('Payment 1 through 9'!$A$1:$B$330,MATCH(CONCATENATE(FinalPayment!$F241,"0000"),'Payment 1 through 9'!$A$1:$A$330,0),2)*9,0)</f>
        <v>95130</v>
      </c>
      <c r="W241" s="8">
        <f>IFERROR(INDEX('FinalPayment 10'!$A$1:$B$330,MATCH(CONCATENATE(FinalPayment!$F241,"0000"),'FinalPayment 10'!$A$1:$A$330,0),2),0)</f>
        <v>10567</v>
      </c>
      <c r="X241" s="8">
        <f t="shared" si="30"/>
        <v>105697</v>
      </c>
      <c r="Y241" s="8">
        <f t="shared" si="31"/>
        <v>4310</v>
      </c>
    </row>
    <row r="242" spans="1:25" x14ac:dyDescent="0.55000000000000004">
      <c r="A242">
        <v>2021</v>
      </c>
      <c r="B242" t="s">
        <v>690</v>
      </c>
      <c r="C242" t="s">
        <v>933</v>
      </c>
      <c r="D242" t="s">
        <v>1207</v>
      </c>
      <c r="E242" t="s">
        <v>1207</v>
      </c>
      <c r="F242" t="s">
        <v>432</v>
      </c>
      <c r="G242" t="s">
        <v>246</v>
      </c>
      <c r="H242" s="5">
        <f>SUMPRODUCT(SUMIF(FinalPayment_NoReorg!$F$2:$F$331,FinalPayment!$D242:$F242,FinalPayment_NoReorg!$L$2:$L$331))+SUMPRODUCT(SUMIF(FinalPayment_NoReorg!$F$2:$F$331,FinalPayment!$D242:$F242,FinalPayment_NoReorg!$N$2:$N$331))</f>
        <v>96701</v>
      </c>
      <c r="I242" s="5">
        <f t="shared" si="27"/>
        <v>9670</v>
      </c>
      <c r="J242" s="5">
        <f t="shared" si="27"/>
        <v>9670</v>
      </c>
      <c r="K242" s="5">
        <f t="shared" si="27"/>
        <v>9670</v>
      </c>
      <c r="L242" s="5">
        <f t="shared" si="27"/>
        <v>9670</v>
      </c>
      <c r="M242" s="5">
        <f t="shared" si="28"/>
        <v>9670</v>
      </c>
      <c r="N242" s="5">
        <f t="shared" si="28"/>
        <v>9670</v>
      </c>
      <c r="O242" s="5">
        <f t="shared" si="28"/>
        <v>9670</v>
      </c>
      <c r="P242" s="5">
        <f t="shared" si="25"/>
        <v>9670</v>
      </c>
      <c r="Q242" s="5">
        <f t="shared" si="25"/>
        <v>9670</v>
      </c>
      <c r="R242" s="5">
        <f t="shared" si="29"/>
        <v>9671</v>
      </c>
      <c r="U242" s="8">
        <f t="shared" si="26"/>
        <v>0</v>
      </c>
      <c r="V242" s="8">
        <f>IFERROR(INDEX('Payment 1 through 9'!$A$1:$B$330,MATCH(CONCATENATE(FinalPayment!$F242,"0000"),'Payment 1 through 9'!$A$1:$A$330,0),2)*9,0)</f>
        <v>80415</v>
      </c>
      <c r="W242" s="8">
        <f>IFERROR(INDEX('FinalPayment 10'!$A$1:$B$330,MATCH(CONCATENATE(FinalPayment!$F242,"0000"),'FinalPayment 10'!$A$1:$A$330,0),2),0)</f>
        <v>8930</v>
      </c>
      <c r="X242" s="8">
        <f t="shared" si="30"/>
        <v>89345</v>
      </c>
      <c r="Y242" s="8">
        <f t="shared" si="31"/>
        <v>7356</v>
      </c>
    </row>
    <row r="243" spans="1:25" x14ac:dyDescent="0.55000000000000004">
      <c r="A243">
        <v>2021</v>
      </c>
      <c r="B243" t="s">
        <v>692</v>
      </c>
      <c r="C243" t="s">
        <v>431</v>
      </c>
      <c r="D243" t="s">
        <v>1207</v>
      </c>
      <c r="E243" t="s">
        <v>1207</v>
      </c>
      <c r="F243" t="s">
        <v>431</v>
      </c>
      <c r="G243" t="s">
        <v>247</v>
      </c>
      <c r="H243" s="5">
        <f>SUMPRODUCT(SUMIF(FinalPayment_NoReorg!$F$2:$F$331,FinalPayment!$D243:$F243,FinalPayment_NoReorg!$L$2:$L$331))+SUMPRODUCT(SUMIF(FinalPayment_NoReorg!$F$2:$F$331,FinalPayment!$D243:$F243,FinalPayment_NoReorg!$N$2:$N$331))</f>
        <v>658</v>
      </c>
      <c r="I243" s="5">
        <f t="shared" si="27"/>
        <v>66</v>
      </c>
      <c r="J243" s="5">
        <f t="shared" si="27"/>
        <v>66</v>
      </c>
      <c r="K243" s="5">
        <f t="shared" si="27"/>
        <v>66</v>
      </c>
      <c r="L243" s="5">
        <f t="shared" si="27"/>
        <v>66</v>
      </c>
      <c r="M243" s="5">
        <f t="shared" si="28"/>
        <v>66</v>
      </c>
      <c r="N243" s="5">
        <f t="shared" si="28"/>
        <v>66</v>
      </c>
      <c r="O243" s="5">
        <f t="shared" si="28"/>
        <v>66</v>
      </c>
      <c r="P243" s="5">
        <f t="shared" si="25"/>
        <v>66</v>
      </c>
      <c r="Q243" s="5">
        <f t="shared" si="25"/>
        <v>66</v>
      </c>
      <c r="R243" s="5">
        <f t="shared" si="29"/>
        <v>64</v>
      </c>
      <c r="U243" s="8">
        <f t="shared" si="26"/>
        <v>0</v>
      </c>
      <c r="V243" s="8">
        <f>IFERROR(INDEX('Payment 1 through 9'!$A$1:$B$330,MATCH(CONCATENATE(FinalPayment!$F243,"0000"),'Payment 1 through 9'!$A$1:$A$330,0),2)*9,0)</f>
        <v>0</v>
      </c>
      <c r="W243" s="8">
        <f>IFERROR(INDEX('FinalPayment 10'!$A$1:$B$330,MATCH(CONCATENATE(FinalPayment!$F243,"0000"),'FinalPayment 10'!$A$1:$A$330,0),2),0)</f>
        <v>0</v>
      </c>
      <c r="X243" s="8">
        <f t="shared" si="30"/>
        <v>0</v>
      </c>
      <c r="Y243" s="8">
        <f t="shared" si="31"/>
        <v>658</v>
      </c>
    </row>
    <row r="244" spans="1:25" x14ac:dyDescent="0.55000000000000004">
      <c r="A244">
        <v>2021</v>
      </c>
      <c r="B244" t="s">
        <v>686</v>
      </c>
      <c r="C244" t="s">
        <v>430</v>
      </c>
      <c r="D244" t="s">
        <v>1207</v>
      </c>
      <c r="E244" t="s">
        <v>1207</v>
      </c>
      <c r="F244" t="s">
        <v>430</v>
      </c>
      <c r="G244" t="s">
        <v>248</v>
      </c>
      <c r="H244" s="5">
        <f>SUMPRODUCT(SUMIF(FinalPayment_NoReorg!$F$2:$F$331,FinalPayment!$D244:$F244,FinalPayment_NoReorg!$L$2:$L$331))+SUMPRODUCT(SUMIF(FinalPayment_NoReorg!$F$2:$F$331,FinalPayment!$D244:$F244,FinalPayment_NoReorg!$N$2:$N$331))</f>
        <v>853</v>
      </c>
      <c r="I244" s="5">
        <f t="shared" si="27"/>
        <v>85</v>
      </c>
      <c r="J244" s="5">
        <f t="shared" si="27"/>
        <v>85</v>
      </c>
      <c r="K244" s="5">
        <f t="shared" si="27"/>
        <v>85</v>
      </c>
      <c r="L244" s="5">
        <f t="shared" si="27"/>
        <v>85</v>
      </c>
      <c r="M244" s="5">
        <f t="shared" si="28"/>
        <v>85</v>
      </c>
      <c r="N244" s="5">
        <f t="shared" si="28"/>
        <v>85</v>
      </c>
      <c r="O244" s="5">
        <f t="shared" si="28"/>
        <v>85</v>
      </c>
      <c r="P244" s="5">
        <f t="shared" si="25"/>
        <v>85</v>
      </c>
      <c r="Q244" s="5">
        <f t="shared" si="25"/>
        <v>85</v>
      </c>
      <c r="R244" s="5">
        <f t="shared" si="29"/>
        <v>88</v>
      </c>
      <c r="U244" s="8">
        <f t="shared" si="26"/>
        <v>0</v>
      </c>
      <c r="V244" s="8">
        <f>IFERROR(INDEX('Payment 1 through 9'!$A$1:$B$330,MATCH(CONCATENATE(FinalPayment!$F244,"0000"),'Payment 1 through 9'!$A$1:$A$330,0),2)*9,0)</f>
        <v>0</v>
      </c>
      <c r="W244" s="8">
        <f>IFERROR(INDEX('FinalPayment 10'!$A$1:$B$330,MATCH(CONCATENATE(FinalPayment!$F244,"0000"),'FinalPayment 10'!$A$1:$A$330,0),2),0)</f>
        <v>0</v>
      </c>
      <c r="X244" s="8">
        <f t="shared" si="30"/>
        <v>0</v>
      </c>
      <c r="Y244" s="8">
        <f t="shared" si="31"/>
        <v>853</v>
      </c>
    </row>
    <row r="245" spans="1:25" x14ac:dyDescent="0.55000000000000004">
      <c r="A245">
        <v>2021</v>
      </c>
      <c r="B245" t="s">
        <v>689</v>
      </c>
      <c r="C245" t="s">
        <v>429</v>
      </c>
      <c r="D245" t="s">
        <v>1207</v>
      </c>
      <c r="E245" t="s">
        <v>1207</v>
      </c>
      <c r="F245" t="s">
        <v>429</v>
      </c>
      <c r="G245" t="s">
        <v>1195</v>
      </c>
      <c r="H245" s="5">
        <f>SUMPRODUCT(SUMIF(FinalPayment_NoReorg!$F$2:$F$331,FinalPayment!$D245:$F245,FinalPayment_NoReorg!$L$2:$L$331))+SUMPRODUCT(SUMIF(FinalPayment_NoReorg!$F$2:$F$331,FinalPayment!$D245:$F245,FinalPayment_NoReorg!$N$2:$N$331))</f>
        <v>76718</v>
      </c>
      <c r="I245" s="5">
        <f t="shared" si="27"/>
        <v>7672</v>
      </c>
      <c r="J245" s="5">
        <f t="shared" si="27"/>
        <v>7672</v>
      </c>
      <c r="K245" s="5">
        <f t="shared" si="27"/>
        <v>7672</v>
      </c>
      <c r="L245" s="5">
        <f t="shared" si="27"/>
        <v>7672</v>
      </c>
      <c r="M245" s="5">
        <f t="shared" si="28"/>
        <v>7672</v>
      </c>
      <c r="N245" s="5">
        <f t="shared" si="28"/>
        <v>7672</v>
      </c>
      <c r="O245" s="5">
        <f t="shared" si="28"/>
        <v>7672</v>
      </c>
      <c r="P245" s="5">
        <f t="shared" si="25"/>
        <v>7672</v>
      </c>
      <c r="Q245" s="5">
        <f t="shared" si="25"/>
        <v>7672</v>
      </c>
      <c r="R245" s="5">
        <f t="shared" si="29"/>
        <v>7670</v>
      </c>
      <c r="U245" s="8">
        <f t="shared" si="26"/>
        <v>0</v>
      </c>
      <c r="V245" s="8">
        <f>IFERROR(INDEX('Payment 1 through 9'!$A$1:$B$330,MATCH(CONCATENATE(FinalPayment!$F245,"0000"),'Payment 1 through 9'!$A$1:$A$330,0),2)*9,0)</f>
        <v>65106</v>
      </c>
      <c r="W245" s="8">
        <f>IFERROR(INDEX('FinalPayment 10'!$A$1:$B$330,MATCH(CONCATENATE(FinalPayment!$F245,"0000"),'FinalPayment 10'!$A$1:$A$330,0),2),0)</f>
        <v>7231</v>
      </c>
      <c r="X245" s="8">
        <f t="shared" si="30"/>
        <v>72337</v>
      </c>
      <c r="Y245" s="8">
        <f t="shared" si="31"/>
        <v>4381</v>
      </c>
    </row>
    <row r="246" spans="1:25" x14ac:dyDescent="0.55000000000000004">
      <c r="A246">
        <v>2021</v>
      </c>
      <c r="B246" t="s">
        <v>694</v>
      </c>
      <c r="C246" t="s">
        <v>428</v>
      </c>
      <c r="D246" t="s">
        <v>1207</v>
      </c>
      <c r="E246" t="s">
        <v>1207</v>
      </c>
      <c r="F246" t="s">
        <v>428</v>
      </c>
      <c r="G246" t="s">
        <v>249</v>
      </c>
      <c r="H246" s="5">
        <f>SUMPRODUCT(SUMIF(FinalPayment_NoReorg!$F$2:$F$331,FinalPayment!$D246:$F246,FinalPayment_NoReorg!$L$2:$L$331))+SUMPRODUCT(SUMIF(FinalPayment_NoReorg!$F$2:$F$331,FinalPayment!$D246:$F246,FinalPayment_NoReorg!$N$2:$N$331))</f>
        <v>108895</v>
      </c>
      <c r="I246" s="5">
        <f t="shared" si="27"/>
        <v>10890</v>
      </c>
      <c r="J246" s="5">
        <f t="shared" si="27"/>
        <v>10890</v>
      </c>
      <c r="K246" s="5">
        <f t="shared" si="27"/>
        <v>10890</v>
      </c>
      <c r="L246" s="5">
        <f t="shared" si="27"/>
        <v>10890</v>
      </c>
      <c r="M246" s="5">
        <f t="shared" si="28"/>
        <v>10890</v>
      </c>
      <c r="N246" s="5">
        <f t="shared" si="28"/>
        <v>10890</v>
      </c>
      <c r="O246" s="5">
        <f t="shared" si="28"/>
        <v>10890</v>
      </c>
      <c r="P246" s="5">
        <f t="shared" si="25"/>
        <v>10890</v>
      </c>
      <c r="Q246" s="5">
        <f t="shared" si="25"/>
        <v>10890</v>
      </c>
      <c r="R246" s="5">
        <f t="shared" si="29"/>
        <v>10885</v>
      </c>
      <c r="U246" s="8">
        <f t="shared" si="26"/>
        <v>0</v>
      </c>
      <c r="V246" s="8">
        <f>IFERROR(INDEX('Payment 1 through 9'!$A$1:$B$330,MATCH(CONCATENATE(FinalPayment!$F246,"0000"),'Payment 1 through 9'!$A$1:$A$330,0),2)*9,0)</f>
        <v>95940</v>
      </c>
      <c r="W246" s="8">
        <f>IFERROR(INDEX('FinalPayment 10'!$A$1:$B$330,MATCH(CONCATENATE(FinalPayment!$F246,"0000"),'FinalPayment 10'!$A$1:$A$330,0),2),0)</f>
        <v>10658</v>
      </c>
      <c r="X246" s="8">
        <f t="shared" si="30"/>
        <v>106598</v>
      </c>
      <c r="Y246" s="8">
        <f t="shared" si="31"/>
        <v>2297</v>
      </c>
    </row>
    <row r="247" spans="1:25" x14ac:dyDescent="0.55000000000000004">
      <c r="A247">
        <v>2021</v>
      </c>
      <c r="B247" t="s">
        <v>686</v>
      </c>
      <c r="C247" t="s">
        <v>426</v>
      </c>
      <c r="D247" t="s">
        <v>1207</v>
      </c>
      <c r="E247" t="s">
        <v>1207</v>
      </c>
      <c r="F247" t="s">
        <v>426</v>
      </c>
      <c r="G247" t="s">
        <v>251</v>
      </c>
      <c r="H247" s="5">
        <f>SUMPRODUCT(SUMIF(FinalPayment_NoReorg!$F$2:$F$331,FinalPayment!$D247:$F247,FinalPayment_NoReorg!$L$2:$L$331))+SUMPRODUCT(SUMIF(FinalPayment_NoReorg!$F$2:$F$331,FinalPayment!$D247:$F247,FinalPayment_NoReorg!$N$2:$N$331))</f>
        <v>57057</v>
      </c>
      <c r="I247" s="5">
        <f t="shared" si="27"/>
        <v>5706</v>
      </c>
      <c r="J247" s="5">
        <f t="shared" si="27"/>
        <v>5706</v>
      </c>
      <c r="K247" s="5">
        <f t="shared" si="27"/>
        <v>5706</v>
      </c>
      <c r="L247" s="5">
        <f t="shared" si="27"/>
        <v>5706</v>
      </c>
      <c r="M247" s="5">
        <f t="shared" si="28"/>
        <v>5706</v>
      </c>
      <c r="N247" s="5">
        <f t="shared" si="28"/>
        <v>5706</v>
      </c>
      <c r="O247" s="5">
        <f t="shared" si="28"/>
        <v>5706</v>
      </c>
      <c r="P247" s="5">
        <f t="shared" si="25"/>
        <v>5706</v>
      </c>
      <c r="Q247" s="5">
        <f t="shared" si="25"/>
        <v>5706</v>
      </c>
      <c r="R247" s="5">
        <f t="shared" si="29"/>
        <v>5703</v>
      </c>
      <c r="U247" s="8">
        <f t="shared" si="26"/>
        <v>0</v>
      </c>
      <c r="V247" s="8">
        <f>IFERROR(INDEX('Payment 1 through 9'!$A$1:$B$330,MATCH(CONCATENATE(FinalPayment!$F247,"0000"),'Payment 1 through 9'!$A$1:$A$330,0),2)*9,0)</f>
        <v>40626</v>
      </c>
      <c r="W247" s="8">
        <f>IFERROR(INDEX('FinalPayment 10'!$A$1:$B$330,MATCH(CONCATENATE(FinalPayment!$F247,"0000"),'FinalPayment 10'!$A$1:$A$330,0),2),0)</f>
        <v>4512</v>
      </c>
      <c r="X247" s="8">
        <f t="shared" si="30"/>
        <v>45138</v>
      </c>
      <c r="Y247" s="8">
        <f t="shared" si="31"/>
        <v>11919</v>
      </c>
    </row>
    <row r="248" spans="1:25" x14ac:dyDescent="0.55000000000000004">
      <c r="A248">
        <v>2021</v>
      </c>
      <c r="B248" t="s">
        <v>694</v>
      </c>
      <c r="C248" t="s">
        <v>425</v>
      </c>
      <c r="D248" t="s">
        <v>1207</v>
      </c>
      <c r="E248" t="s">
        <v>1207</v>
      </c>
      <c r="F248" t="s">
        <v>425</v>
      </c>
      <c r="G248" t="s">
        <v>252</v>
      </c>
      <c r="H248" s="5">
        <f>SUMPRODUCT(SUMIF(FinalPayment_NoReorg!$F$2:$F$331,FinalPayment!$D248:$F248,FinalPayment_NoReorg!$L$2:$L$331))+SUMPRODUCT(SUMIF(FinalPayment_NoReorg!$F$2:$F$331,FinalPayment!$D248:$F248,FinalPayment_NoReorg!$N$2:$N$331))</f>
        <v>80214</v>
      </c>
      <c r="I248" s="5">
        <f t="shared" si="27"/>
        <v>8021</v>
      </c>
      <c r="J248" s="5">
        <f t="shared" si="27"/>
        <v>8021</v>
      </c>
      <c r="K248" s="5">
        <f t="shared" si="27"/>
        <v>8021</v>
      </c>
      <c r="L248" s="5">
        <f t="shared" si="27"/>
        <v>8021</v>
      </c>
      <c r="M248" s="5">
        <f t="shared" si="28"/>
        <v>8021</v>
      </c>
      <c r="N248" s="5">
        <f t="shared" si="28"/>
        <v>8021</v>
      </c>
      <c r="O248" s="5">
        <f t="shared" si="28"/>
        <v>8021</v>
      </c>
      <c r="P248" s="5">
        <f t="shared" si="25"/>
        <v>8021</v>
      </c>
      <c r="Q248" s="5">
        <f t="shared" si="25"/>
        <v>8021</v>
      </c>
      <c r="R248" s="5">
        <f t="shared" si="29"/>
        <v>8025</v>
      </c>
      <c r="U248" s="8">
        <f t="shared" si="26"/>
        <v>0</v>
      </c>
      <c r="V248" s="8">
        <f>IFERROR(INDEX('Payment 1 through 9'!$A$1:$B$330,MATCH(CONCATENATE(FinalPayment!$F248,"0000"),'Payment 1 through 9'!$A$1:$A$330,0),2)*9,0)</f>
        <v>68697</v>
      </c>
      <c r="W248" s="8">
        <f>IFERROR(INDEX('FinalPayment 10'!$A$1:$B$330,MATCH(CONCATENATE(FinalPayment!$F248,"0000"),'FinalPayment 10'!$A$1:$A$330,0),2),0)</f>
        <v>7634</v>
      </c>
      <c r="X248" s="8">
        <f t="shared" si="30"/>
        <v>76331</v>
      </c>
      <c r="Y248" s="8">
        <f t="shared" si="31"/>
        <v>3883</v>
      </c>
    </row>
    <row r="249" spans="1:25" x14ac:dyDescent="0.55000000000000004">
      <c r="A249">
        <v>2021</v>
      </c>
      <c r="B249" t="s">
        <v>692</v>
      </c>
      <c r="C249" t="s">
        <v>424</v>
      </c>
      <c r="D249" t="s">
        <v>1207</v>
      </c>
      <c r="E249" t="s">
        <v>1207</v>
      </c>
      <c r="F249" t="s">
        <v>424</v>
      </c>
      <c r="G249" t="s">
        <v>253</v>
      </c>
      <c r="H249" s="5">
        <f>SUMPRODUCT(SUMIF(FinalPayment_NoReorg!$F$2:$F$331,FinalPayment!$D249:$F249,FinalPayment_NoReorg!$L$2:$L$331))+SUMPRODUCT(SUMIF(FinalPayment_NoReorg!$F$2:$F$331,FinalPayment!$D249:$F249,FinalPayment_NoReorg!$N$2:$N$331))</f>
        <v>114231</v>
      </c>
      <c r="I249" s="5">
        <f t="shared" si="27"/>
        <v>11423</v>
      </c>
      <c r="J249" s="5">
        <f t="shared" si="27"/>
        <v>11423</v>
      </c>
      <c r="K249" s="5">
        <f t="shared" si="27"/>
        <v>11423</v>
      </c>
      <c r="L249" s="5">
        <f t="shared" si="27"/>
        <v>11423</v>
      </c>
      <c r="M249" s="5">
        <f t="shared" si="28"/>
        <v>11423</v>
      </c>
      <c r="N249" s="5">
        <f t="shared" si="28"/>
        <v>11423</v>
      </c>
      <c r="O249" s="5">
        <f t="shared" si="28"/>
        <v>11423</v>
      </c>
      <c r="P249" s="5">
        <f t="shared" si="25"/>
        <v>11423</v>
      </c>
      <c r="Q249" s="5">
        <f t="shared" si="25"/>
        <v>11423</v>
      </c>
      <c r="R249" s="5">
        <f t="shared" si="29"/>
        <v>11424</v>
      </c>
      <c r="U249" s="8">
        <f t="shared" si="26"/>
        <v>0</v>
      </c>
      <c r="V249" s="8">
        <f>IFERROR(INDEX('Payment 1 through 9'!$A$1:$B$330,MATCH(CONCATENATE(FinalPayment!$F249,"0000"),'Payment 1 through 9'!$A$1:$A$330,0),2)*9,0)</f>
        <v>100332</v>
      </c>
      <c r="W249" s="8">
        <f>IFERROR(INDEX('FinalPayment 10'!$A$1:$B$330,MATCH(CONCATENATE(FinalPayment!$F249,"0000"),'FinalPayment 10'!$A$1:$A$330,0),2),0)</f>
        <v>11147</v>
      </c>
      <c r="X249" s="8">
        <f t="shared" si="30"/>
        <v>111479</v>
      </c>
      <c r="Y249" s="8">
        <f t="shared" si="31"/>
        <v>2752</v>
      </c>
    </row>
    <row r="250" spans="1:25" x14ac:dyDescent="0.55000000000000004">
      <c r="A250">
        <v>2021</v>
      </c>
      <c r="B250" t="s">
        <v>692</v>
      </c>
      <c r="C250" t="s">
        <v>423</v>
      </c>
      <c r="D250" t="s">
        <v>1207</v>
      </c>
      <c r="E250" t="s">
        <v>1207</v>
      </c>
      <c r="F250" t="s">
        <v>423</v>
      </c>
      <c r="G250" t="s">
        <v>254</v>
      </c>
      <c r="H250" s="5">
        <f>SUMPRODUCT(SUMIF(FinalPayment_NoReorg!$F$2:$F$331,FinalPayment!$D250:$F250,FinalPayment_NoReorg!$L$2:$L$331))+SUMPRODUCT(SUMIF(FinalPayment_NoReorg!$F$2:$F$331,FinalPayment!$D250:$F250,FinalPayment_NoReorg!$N$2:$N$331))</f>
        <v>1178</v>
      </c>
      <c r="I250" s="5">
        <f t="shared" si="27"/>
        <v>118</v>
      </c>
      <c r="J250" s="5">
        <f t="shared" si="27"/>
        <v>118</v>
      </c>
      <c r="K250" s="5">
        <f t="shared" si="27"/>
        <v>118</v>
      </c>
      <c r="L250" s="5">
        <f t="shared" si="27"/>
        <v>118</v>
      </c>
      <c r="M250" s="5">
        <f t="shared" si="28"/>
        <v>118</v>
      </c>
      <c r="N250" s="5">
        <f t="shared" si="28"/>
        <v>118</v>
      </c>
      <c r="O250" s="5">
        <f t="shared" si="28"/>
        <v>118</v>
      </c>
      <c r="P250" s="5">
        <f t="shared" si="25"/>
        <v>118</v>
      </c>
      <c r="Q250" s="5">
        <f t="shared" si="25"/>
        <v>118</v>
      </c>
      <c r="R250" s="5">
        <f t="shared" si="29"/>
        <v>116</v>
      </c>
      <c r="U250" s="8">
        <f t="shared" si="26"/>
        <v>0</v>
      </c>
      <c r="V250" s="8">
        <f>IFERROR(INDEX('Payment 1 through 9'!$A$1:$B$330,MATCH(CONCATENATE(FinalPayment!$F250,"0000"),'Payment 1 through 9'!$A$1:$A$330,0),2)*9,0)</f>
        <v>0</v>
      </c>
      <c r="W250" s="8">
        <f>IFERROR(INDEX('FinalPayment 10'!$A$1:$B$330,MATCH(CONCATENATE(FinalPayment!$F250,"0000"),'FinalPayment 10'!$A$1:$A$330,0),2),0)</f>
        <v>0</v>
      </c>
      <c r="X250" s="8">
        <f t="shared" si="30"/>
        <v>0</v>
      </c>
      <c r="Y250" s="8">
        <f t="shared" si="31"/>
        <v>1178</v>
      </c>
    </row>
    <row r="251" spans="1:25" x14ac:dyDescent="0.55000000000000004">
      <c r="A251">
        <v>2021</v>
      </c>
      <c r="B251" t="s">
        <v>696</v>
      </c>
      <c r="C251" t="s">
        <v>422</v>
      </c>
      <c r="D251" t="s">
        <v>1207</v>
      </c>
      <c r="E251" t="s">
        <v>1207</v>
      </c>
      <c r="F251" t="s">
        <v>422</v>
      </c>
      <c r="G251" t="s">
        <v>255</v>
      </c>
      <c r="H251" s="5">
        <f>SUMPRODUCT(SUMIF(FinalPayment_NoReorg!$F$2:$F$331,FinalPayment!$D251:$F251,FinalPayment_NoReorg!$L$2:$L$331))+SUMPRODUCT(SUMIF(FinalPayment_NoReorg!$F$2:$F$331,FinalPayment!$D251:$F251,FinalPayment_NoReorg!$N$2:$N$331))</f>
        <v>22015</v>
      </c>
      <c r="I251" s="5">
        <f t="shared" si="27"/>
        <v>2202</v>
      </c>
      <c r="J251" s="5">
        <f t="shared" si="27"/>
        <v>2202</v>
      </c>
      <c r="K251" s="5">
        <f t="shared" si="27"/>
        <v>2202</v>
      </c>
      <c r="L251" s="5">
        <f t="shared" si="27"/>
        <v>2202</v>
      </c>
      <c r="M251" s="5">
        <f t="shared" si="28"/>
        <v>2202</v>
      </c>
      <c r="N251" s="5">
        <f t="shared" si="28"/>
        <v>2202</v>
      </c>
      <c r="O251" s="5">
        <f t="shared" si="28"/>
        <v>2202</v>
      </c>
      <c r="P251" s="5">
        <f t="shared" si="25"/>
        <v>2202</v>
      </c>
      <c r="Q251" s="5">
        <f t="shared" si="25"/>
        <v>2202</v>
      </c>
      <c r="R251" s="5">
        <f t="shared" si="29"/>
        <v>2197</v>
      </c>
      <c r="U251" s="8">
        <f t="shared" si="26"/>
        <v>0</v>
      </c>
      <c r="V251" s="8">
        <f>IFERROR(INDEX('Payment 1 through 9'!$A$1:$B$330,MATCH(CONCATENATE(FinalPayment!$F251,"0000"),'Payment 1 through 9'!$A$1:$A$330,0),2)*9,0)</f>
        <v>17208</v>
      </c>
      <c r="W251" s="8">
        <f>IFERROR(INDEX('FinalPayment 10'!$A$1:$B$330,MATCH(CONCATENATE(FinalPayment!$F251,"0000"),'FinalPayment 10'!$A$1:$A$330,0),2),0)</f>
        <v>1908</v>
      </c>
      <c r="X251" s="8">
        <f t="shared" si="30"/>
        <v>19116</v>
      </c>
      <c r="Y251" s="8">
        <f t="shared" si="31"/>
        <v>2899</v>
      </c>
    </row>
    <row r="252" spans="1:25" x14ac:dyDescent="0.55000000000000004">
      <c r="A252">
        <v>2021</v>
      </c>
      <c r="B252" t="s">
        <v>692</v>
      </c>
      <c r="C252" t="s">
        <v>420</v>
      </c>
      <c r="D252" t="s">
        <v>1207</v>
      </c>
      <c r="E252" t="s">
        <v>1207</v>
      </c>
      <c r="F252" t="s">
        <v>420</v>
      </c>
      <c r="G252" t="s">
        <v>256</v>
      </c>
      <c r="H252" s="5">
        <f>SUMPRODUCT(SUMIF(FinalPayment_NoReorg!$F$2:$F$331,FinalPayment!$D252:$F252,FinalPayment_NoReorg!$L$2:$L$331))+SUMPRODUCT(SUMIF(FinalPayment_NoReorg!$F$2:$F$331,FinalPayment!$D252:$F252,FinalPayment_NoReorg!$N$2:$N$331))</f>
        <v>887</v>
      </c>
      <c r="I252" s="5">
        <f t="shared" si="27"/>
        <v>89</v>
      </c>
      <c r="J252" s="5">
        <f t="shared" si="27"/>
        <v>89</v>
      </c>
      <c r="K252" s="5">
        <f t="shared" si="27"/>
        <v>89</v>
      </c>
      <c r="L252" s="5">
        <f t="shared" si="27"/>
        <v>89</v>
      </c>
      <c r="M252" s="5">
        <f t="shared" si="28"/>
        <v>89</v>
      </c>
      <c r="N252" s="5">
        <f t="shared" si="28"/>
        <v>89</v>
      </c>
      <c r="O252" s="5">
        <f t="shared" si="28"/>
        <v>89</v>
      </c>
      <c r="P252" s="5">
        <f t="shared" si="25"/>
        <v>89</v>
      </c>
      <c r="Q252" s="5">
        <f t="shared" si="25"/>
        <v>89</v>
      </c>
      <c r="R252" s="5">
        <f t="shared" si="29"/>
        <v>86</v>
      </c>
      <c r="U252" s="8">
        <f t="shared" si="26"/>
        <v>0</v>
      </c>
      <c r="V252" s="8">
        <f>IFERROR(INDEX('Payment 1 through 9'!$A$1:$B$330,MATCH(CONCATENATE(FinalPayment!$F252,"0000"),'Payment 1 through 9'!$A$1:$A$330,0),2)*9,0)</f>
        <v>0</v>
      </c>
      <c r="W252" s="8">
        <f>IFERROR(INDEX('FinalPayment 10'!$A$1:$B$330,MATCH(CONCATENATE(FinalPayment!$F252,"0000"),'FinalPayment 10'!$A$1:$A$330,0),2),0)</f>
        <v>0</v>
      </c>
      <c r="X252" s="8">
        <f t="shared" si="30"/>
        <v>0</v>
      </c>
      <c r="Y252" s="8">
        <f t="shared" si="31"/>
        <v>887</v>
      </c>
    </row>
    <row r="253" spans="1:25" x14ac:dyDescent="0.55000000000000004">
      <c r="A253">
        <v>2021</v>
      </c>
      <c r="B253" t="s">
        <v>690</v>
      </c>
      <c r="C253" t="s">
        <v>419</v>
      </c>
      <c r="D253" t="s">
        <v>1207</v>
      </c>
      <c r="E253" t="s">
        <v>1207</v>
      </c>
      <c r="F253" t="s">
        <v>419</v>
      </c>
      <c r="G253" t="s">
        <v>257</v>
      </c>
      <c r="H253" s="5">
        <f>SUMPRODUCT(SUMIF(FinalPayment_NoReorg!$F$2:$F$331,FinalPayment!$D253:$F253,FinalPayment_NoReorg!$L$2:$L$331))+SUMPRODUCT(SUMIF(FinalPayment_NoReorg!$F$2:$F$331,FinalPayment!$D253:$F253,FinalPayment_NoReorg!$N$2:$N$331))</f>
        <v>14845</v>
      </c>
      <c r="I253" s="5">
        <f t="shared" si="27"/>
        <v>1485</v>
      </c>
      <c r="J253" s="5">
        <f t="shared" si="27"/>
        <v>1485</v>
      </c>
      <c r="K253" s="5">
        <f t="shared" si="27"/>
        <v>1485</v>
      </c>
      <c r="L253" s="5">
        <f t="shared" si="27"/>
        <v>1485</v>
      </c>
      <c r="M253" s="5">
        <f t="shared" si="28"/>
        <v>1485</v>
      </c>
      <c r="N253" s="5">
        <f t="shared" si="28"/>
        <v>1485</v>
      </c>
      <c r="O253" s="5">
        <f t="shared" si="28"/>
        <v>1485</v>
      </c>
      <c r="P253" s="5">
        <f t="shared" si="25"/>
        <v>1485</v>
      </c>
      <c r="Q253" s="5">
        <f t="shared" si="25"/>
        <v>1485</v>
      </c>
      <c r="R253" s="5">
        <f t="shared" si="29"/>
        <v>1480</v>
      </c>
      <c r="U253" s="8">
        <f t="shared" si="26"/>
        <v>0</v>
      </c>
      <c r="V253" s="8">
        <f>IFERROR(INDEX('Payment 1 through 9'!$A$1:$B$330,MATCH(CONCATENATE(FinalPayment!$F253,"0000"),'Payment 1 through 9'!$A$1:$A$330,0),2)*9,0)</f>
        <v>3357</v>
      </c>
      <c r="W253" s="8">
        <f>IFERROR(INDEX('FinalPayment 10'!$A$1:$B$330,MATCH(CONCATENATE(FinalPayment!$F253,"0000"),'FinalPayment 10'!$A$1:$A$330,0),2),0)</f>
        <v>369</v>
      </c>
      <c r="X253" s="8">
        <f t="shared" si="30"/>
        <v>3726</v>
      </c>
      <c r="Y253" s="8">
        <f t="shared" si="31"/>
        <v>11119</v>
      </c>
    </row>
    <row r="254" spans="1:25" x14ac:dyDescent="0.55000000000000004">
      <c r="A254">
        <v>2021</v>
      </c>
      <c r="B254" t="s">
        <v>692</v>
      </c>
      <c r="C254" t="s">
        <v>418</v>
      </c>
      <c r="D254" t="s">
        <v>1207</v>
      </c>
      <c r="E254" t="s">
        <v>1207</v>
      </c>
      <c r="F254" t="s">
        <v>418</v>
      </c>
      <c r="G254" t="s">
        <v>258</v>
      </c>
      <c r="H254" s="5">
        <f>SUMPRODUCT(SUMIF(FinalPayment_NoReorg!$F$2:$F$331,FinalPayment!$D254:$F254,FinalPayment_NoReorg!$L$2:$L$331))+SUMPRODUCT(SUMIF(FinalPayment_NoReorg!$F$2:$F$331,FinalPayment!$D254:$F254,FinalPayment_NoReorg!$N$2:$N$331))</f>
        <v>97307</v>
      </c>
      <c r="I254" s="5">
        <f t="shared" si="27"/>
        <v>9731</v>
      </c>
      <c r="J254" s="5">
        <f t="shared" si="27"/>
        <v>9731</v>
      </c>
      <c r="K254" s="5">
        <f t="shared" si="27"/>
        <v>9731</v>
      </c>
      <c r="L254" s="5">
        <f t="shared" si="27"/>
        <v>9731</v>
      </c>
      <c r="M254" s="5">
        <f t="shared" si="28"/>
        <v>9731</v>
      </c>
      <c r="N254" s="5">
        <f t="shared" si="28"/>
        <v>9731</v>
      </c>
      <c r="O254" s="5">
        <f t="shared" si="28"/>
        <v>9731</v>
      </c>
      <c r="P254" s="5">
        <f t="shared" si="25"/>
        <v>9731</v>
      </c>
      <c r="Q254" s="5">
        <f t="shared" si="25"/>
        <v>9731</v>
      </c>
      <c r="R254" s="5">
        <f t="shared" si="29"/>
        <v>9728</v>
      </c>
      <c r="U254" s="8">
        <f t="shared" si="26"/>
        <v>0</v>
      </c>
      <c r="V254" s="8">
        <f>IFERROR(INDEX('Payment 1 through 9'!$A$1:$B$330,MATCH(CONCATENATE(FinalPayment!$F254,"0000"),'Payment 1 through 9'!$A$1:$A$330,0),2)*9,0)</f>
        <v>80433</v>
      </c>
      <c r="W254" s="8">
        <f>IFERROR(INDEX('FinalPayment 10'!$A$1:$B$330,MATCH(CONCATENATE(FinalPayment!$F254,"0000"),'FinalPayment 10'!$A$1:$A$330,0),2),0)</f>
        <v>8936</v>
      </c>
      <c r="X254" s="8">
        <f t="shared" si="30"/>
        <v>89369</v>
      </c>
      <c r="Y254" s="8">
        <f t="shared" si="31"/>
        <v>7938</v>
      </c>
    </row>
    <row r="255" spans="1:25" x14ac:dyDescent="0.55000000000000004">
      <c r="A255">
        <v>2021</v>
      </c>
      <c r="B255" t="s">
        <v>690</v>
      </c>
      <c r="C255" t="s">
        <v>417</v>
      </c>
      <c r="D255" t="s">
        <v>1207</v>
      </c>
      <c r="E255" t="s">
        <v>1207</v>
      </c>
      <c r="F255" t="s">
        <v>417</v>
      </c>
      <c r="G255" t="s">
        <v>259</v>
      </c>
      <c r="H255" s="5">
        <f>SUMPRODUCT(SUMIF(FinalPayment_NoReorg!$F$2:$F$331,FinalPayment!$D255:$F255,FinalPayment_NoReorg!$L$2:$L$331))+SUMPRODUCT(SUMIF(FinalPayment_NoReorg!$F$2:$F$331,FinalPayment!$D255:$F255,FinalPayment_NoReorg!$N$2:$N$331))</f>
        <v>137328</v>
      </c>
      <c r="I255" s="5">
        <f t="shared" si="27"/>
        <v>13733</v>
      </c>
      <c r="J255" s="5">
        <f t="shared" si="27"/>
        <v>13733</v>
      </c>
      <c r="K255" s="5">
        <f t="shared" si="27"/>
        <v>13733</v>
      </c>
      <c r="L255" s="5">
        <f t="shared" si="27"/>
        <v>13733</v>
      </c>
      <c r="M255" s="5">
        <f t="shared" si="28"/>
        <v>13733</v>
      </c>
      <c r="N255" s="5">
        <f t="shared" si="28"/>
        <v>13733</v>
      </c>
      <c r="O255" s="5">
        <f t="shared" si="28"/>
        <v>13733</v>
      </c>
      <c r="P255" s="5">
        <f t="shared" si="25"/>
        <v>13733</v>
      </c>
      <c r="Q255" s="5">
        <f t="shared" si="25"/>
        <v>13733</v>
      </c>
      <c r="R255" s="5">
        <f t="shared" si="29"/>
        <v>13731</v>
      </c>
      <c r="U255" s="8">
        <f t="shared" si="26"/>
        <v>0</v>
      </c>
      <c r="V255" s="8">
        <f>IFERROR(INDEX('Payment 1 through 9'!$A$1:$B$330,MATCH(CONCATENATE(FinalPayment!$F255,"0000"),'Payment 1 through 9'!$A$1:$A$330,0),2)*9,0)</f>
        <v>120033</v>
      </c>
      <c r="W255" s="8">
        <f>IFERROR(INDEX('FinalPayment 10'!$A$1:$B$330,MATCH(CONCATENATE(FinalPayment!$F255,"0000"),'FinalPayment 10'!$A$1:$A$330,0),2),0)</f>
        <v>13341</v>
      </c>
      <c r="X255" s="8">
        <f t="shared" si="30"/>
        <v>133374</v>
      </c>
      <c r="Y255" s="8">
        <f t="shared" si="31"/>
        <v>3954</v>
      </c>
    </row>
    <row r="256" spans="1:25" x14ac:dyDescent="0.55000000000000004">
      <c r="A256">
        <v>2021</v>
      </c>
      <c r="B256" t="s">
        <v>696</v>
      </c>
      <c r="C256" t="s">
        <v>416</v>
      </c>
      <c r="D256" t="s">
        <v>1207</v>
      </c>
      <c r="E256" t="s">
        <v>1207</v>
      </c>
      <c r="F256" t="s">
        <v>416</v>
      </c>
      <c r="G256" t="s">
        <v>260</v>
      </c>
      <c r="H256" s="5">
        <f>SUMPRODUCT(SUMIF(FinalPayment_NoReorg!$F$2:$F$331,FinalPayment!$D256:$F256,FinalPayment_NoReorg!$L$2:$L$331))+SUMPRODUCT(SUMIF(FinalPayment_NoReorg!$F$2:$F$331,FinalPayment!$D256:$F256,FinalPayment_NoReorg!$N$2:$N$331))</f>
        <v>454</v>
      </c>
      <c r="I256" s="5">
        <f t="shared" si="27"/>
        <v>45</v>
      </c>
      <c r="J256" s="5">
        <f t="shared" si="27"/>
        <v>45</v>
      </c>
      <c r="K256" s="5">
        <f t="shared" si="27"/>
        <v>45</v>
      </c>
      <c r="L256" s="5">
        <f t="shared" si="27"/>
        <v>45</v>
      </c>
      <c r="M256" s="5">
        <f t="shared" si="28"/>
        <v>45</v>
      </c>
      <c r="N256" s="5">
        <f t="shared" si="28"/>
        <v>45</v>
      </c>
      <c r="O256" s="5">
        <f t="shared" si="28"/>
        <v>45</v>
      </c>
      <c r="P256" s="5">
        <f t="shared" si="25"/>
        <v>45</v>
      </c>
      <c r="Q256" s="5">
        <f t="shared" si="25"/>
        <v>45</v>
      </c>
      <c r="R256" s="5">
        <f t="shared" si="29"/>
        <v>49</v>
      </c>
      <c r="U256" s="8">
        <f t="shared" si="26"/>
        <v>0</v>
      </c>
      <c r="V256" s="8">
        <f>IFERROR(INDEX('Payment 1 through 9'!$A$1:$B$330,MATCH(CONCATENATE(FinalPayment!$F256,"0000"),'Payment 1 through 9'!$A$1:$A$330,0),2)*9,0)</f>
        <v>0</v>
      </c>
      <c r="W256" s="8">
        <f>IFERROR(INDEX('FinalPayment 10'!$A$1:$B$330,MATCH(CONCATENATE(FinalPayment!$F256,"0000"),'FinalPayment 10'!$A$1:$A$330,0),2),0)</f>
        <v>0</v>
      </c>
      <c r="X256" s="8">
        <f t="shared" si="30"/>
        <v>0</v>
      </c>
      <c r="Y256" s="8">
        <f t="shared" si="31"/>
        <v>454</v>
      </c>
    </row>
    <row r="257" spans="1:25" x14ac:dyDescent="0.55000000000000004">
      <c r="A257">
        <v>2021</v>
      </c>
      <c r="B257" t="s">
        <v>692</v>
      </c>
      <c r="C257" t="s">
        <v>415</v>
      </c>
      <c r="D257" t="s">
        <v>1207</v>
      </c>
      <c r="E257" t="s">
        <v>1207</v>
      </c>
      <c r="F257" t="s">
        <v>415</v>
      </c>
      <c r="G257" t="s">
        <v>261</v>
      </c>
      <c r="H257" s="5">
        <f>SUMPRODUCT(SUMIF(FinalPayment_NoReorg!$F$2:$F$331,FinalPayment!$D257:$F257,FinalPayment_NoReorg!$L$2:$L$331))+SUMPRODUCT(SUMIF(FinalPayment_NoReorg!$F$2:$F$331,FinalPayment!$D257:$F257,FinalPayment_NoReorg!$N$2:$N$331))</f>
        <v>1093</v>
      </c>
      <c r="I257" s="5">
        <f t="shared" si="27"/>
        <v>109</v>
      </c>
      <c r="J257" s="5">
        <f t="shared" si="27"/>
        <v>109</v>
      </c>
      <c r="K257" s="5">
        <f t="shared" si="27"/>
        <v>109</v>
      </c>
      <c r="L257" s="5">
        <f t="shared" si="27"/>
        <v>109</v>
      </c>
      <c r="M257" s="5">
        <f t="shared" si="28"/>
        <v>109</v>
      </c>
      <c r="N257" s="5">
        <f t="shared" si="28"/>
        <v>109</v>
      </c>
      <c r="O257" s="5">
        <f t="shared" si="28"/>
        <v>109</v>
      </c>
      <c r="P257" s="5">
        <f t="shared" si="25"/>
        <v>109</v>
      </c>
      <c r="Q257" s="5">
        <f t="shared" si="25"/>
        <v>109</v>
      </c>
      <c r="R257" s="5">
        <f t="shared" si="29"/>
        <v>112</v>
      </c>
      <c r="U257" s="8">
        <f t="shared" si="26"/>
        <v>0</v>
      </c>
      <c r="V257" s="8">
        <f>IFERROR(INDEX('Payment 1 through 9'!$A$1:$B$330,MATCH(CONCATENATE(FinalPayment!$F257,"0000"),'Payment 1 through 9'!$A$1:$A$330,0),2)*9,0)</f>
        <v>0</v>
      </c>
      <c r="W257" s="8">
        <f>IFERROR(INDEX('FinalPayment 10'!$A$1:$B$330,MATCH(CONCATENATE(FinalPayment!$F257,"0000"),'FinalPayment 10'!$A$1:$A$330,0),2),0)</f>
        <v>0</v>
      </c>
      <c r="X257" s="8">
        <f t="shared" si="30"/>
        <v>0</v>
      </c>
      <c r="Y257" s="8">
        <f t="shared" si="31"/>
        <v>1093</v>
      </c>
    </row>
    <row r="258" spans="1:25" x14ac:dyDescent="0.55000000000000004">
      <c r="A258">
        <v>2021</v>
      </c>
      <c r="B258" t="s">
        <v>694</v>
      </c>
      <c r="C258" t="s">
        <v>950</v>
      </c>
      <c r="D258" t="s">
        <v>1207</v>
      </c>
      <c r="E258" t="s">
        <v>1207</v>
      </c>
      <c r="F258" t="s">
        <v>414</v>
      </c>
      <c r="G258" t="s">
        <v>262</v>
      </c>
      <c r="H258" s="5">
        <f>SUMPRODUCT(SUMIF(FinalPayment_NoReorg!$F$2:$F$331,FinalPayment!$D258:$F258,FinalPayment_NoReorg!$L$2:$L$331))+SUMPRODUCT(SUMIF(FinalPayment_NoReorg!$F$2:$F$331,FinalPayment!$D258:$F258,FinalPayment_NoReorg!$N$2:$N$331))</f>
        <v>116011</v>
      </c>
      <c r="I258" s="5">
        <f t="shared" si="27"/>
        <v>11601</v>
      </c>
      <c r="J258" s="5">
        <f t="shared" si="27"/>
        <v>11601</v>
      </c>
      <c r="K258" s="5">
        <f t="shared" si="27"/>
        <v>11601</v>
      </c>
      <c r="L258" s="5">
        <f t="shared" ref="L258" si="32">ROUND($H258/10,0)</f>
        <v>11601</v>
      </c>
      <c r="M258" s="5">
        <f t="shared" si="28"/>
        <v>11601</v>
      </c>
      <c r="N258" s="5">
        <f t="shared" si="28"/>
        <v>11601</v>
      </c>
      <c r="O258" s="5">
        <f t="shared" si="28"/>
        <v>11601</v>
      </c>
      <c r="P258" s="5">
        <f t="shared" si="28"/>
        <v>11601</v>
      </c>
      <c r="Q258" s="5">
        <f t="shared" si="28"/>
        <v>11601</v>
      </c>
      <c r="R258" s="5">
        <f t="shared" si="29"/>
        <v>11602</v>
      </c>
      <c r="U258" s="8">
        <f t="shared" ref="U258:U321" si="33">SUM(I258:R258)-H258</f>
        <v>0</v>
      </c>
      <c r="V258" s="8">
        <f>IFERROR(INDEX('Payment 1 through 9'!$A$1:$B$330,MATCH(CONCATENATE(FinalPayment!$F258,"0000"),'Payment 1 through 9'!$A$1:$A$330,0),2)*9,0)</f>
        <v>99810</v>
      </c>
      <c r="W258" s="8">
        <f>IFERROR(INDEX('FinalPayment 10'!$A$1:$B$330,MATCH(CONCATENATE(FinalPayment!$F258,"0000"),'FinalPayment 10'!$A$1:$A$330,0),2),0)</f>
        <v>11090</v>
      </c>
      <c r="X258" s="8">
        <f t="shared" si="30"/>
        <v>110900</v>
      </c>
      <c r="Y258" s="8">
        <f t="shared" si="31"/>
        <v>5111</v>
      </c>
    </row>
    <row r="259" spans="1:25" x14ac:dyDescent="0.55000000000000004">
      <c r="A259">
        <v>2021</v>
      </c>
      <c r="B259" t="s">
        <v>692</v>
      </c>
      <c r="C259" t="s">
        <v>413</v>
      </c>
      <c r="D259" t="s">
        <v>1207</v>
      </c>
      <c r="E259" t="s">
        <v>1207</v>
      </c>
      <c r="F259" t="s">
        <v>413</v>
      </c>
      <c r="G259" t="s">
        <v>263</v>
      </c>
      <c r="H259" s="5">
        <f>SUMPRODUCT(SUMIF(FinalPayment_NoReorg!$F$2:$F$331,FinalPayment!$D259:$F259,FinalPayment_NoReorg!$L$2:$L$331))+SUMPRODUCT(SUMIF(FinalPayment_NoReorg!$F$2:$F$331,FinalPayment!$D259:$F259,FinalPayment_NoReorg!$N$2:$N$331))</f>
        <v>11915</v>
      </c>
      <c r="I259" s="5">
        <f t="shared" ref="I259:L322" si="34">ROUND($H259/10,0)</f>
        <v>1192</v>
      </c>
      <c r="J259" s="5">
        <f t="shared" si="34"/>
        <v>1192</v>
      </c>
      <c r="K259" s="5">
        <f t="shared" si="34"/>
        <v>1192</v>
      </c>
      <c r="L259" s="5">
        <f t="shared" si="34"/>
        <v>1192</v>
      </c>
      <c r="M259" s="5">
        <f t="shared" ref="M259:P322" si="35">ROUND($H259/10,0)</f>
        <v>1192</v>
      </c>
      <c r="N259" s="5">
        <f t="shared" si="35"/>
        <v>1192</v>
      </c>
      <c r="O259" s="5">
        <f t="shared" si="35"/>
        <v>1192</v>
      </c>
      <c r="P259" s="5">
        <f t="shared" si="35"/>
        <v>1192</v>
      </c>
      <c r="Q259" s="5">
        <f t="shared" ref="Q259:Q322" si="36">ROUND($H259/10,0)</f>
        <v>1192</v>
      </c>
      <c r="R259" s="5">
        <f t="shared" ref="R259:R322" si="37">$H259-SUM(I259:Q259)</f>
        <v>1187</v>
      </c>
      <c r="U259" s="8">
        <f t="shared" si="33"/>
        <v>0</v>
      </c>
      <c r="V259" s="8">
        <f>IFERROR(INDEX('Payment 1 through 9'!$A$1:$B$330,MATCH(CONCATENATE(FinalPayment!$F259,"0000"),'Payment 1 through 9'!$A$1:$A$330,0),2)*9,0)</f>
        <v>0</v>
      </c>
      <c r="W259" s="8">
        <f>IFERROR(INDEX('FinalPayment 10'!$A$1:$B$330,MATCH(CONCATENATE(FinalPayment!$F259,"0000"),'FinalPayment 10'!$A$1:$A$330,0),2),0)</f>
        <v>0</v>
      </c>
      <c r="X259" s="8">
        <f t="shared" ref="X259:X322" si="38">SUM(V259:W259)</f>
        <v>0</v>
      </c>
      <c r="Y259" s="8">
        <f t="shared" ref="Y259:Y322" si="39">H259-X259</f>
        <v>11915</v>
      </c>
    </row>
    <row r="260" spans="1:25" x14ac:dyDescent="0.55000000000000004">
      <c r="A260">
        <v>2021</v>
      </c>
      <c r="B260" t="s">
        <v>698</v>
      </c>
      <c r="C260" t="s">
        <v>411</v>
      </c>
      <c r="D260" t="s">
        <v>1207</v>
      </c>
      <c r="E260" t="s">
        <v>1207</v>
      </c>
      <c r="F260" t="s">
        <v>411</v>
      </c>
      <c r="G260" t="s">
        <v>264</v>
      </c>
      <c r="H260" s="5">
        <f>SUMPRODUCT(SUMIF(FinalPayment_NoReorg!$F$2:$F$331,FinalPayment!$D260:$F260,FinalPayment_NoReorg!$L$2:$L$331))+SUMPRODUCT(SUMIF(FinalPayment_NoReorg!$F$2:$F$331,FinalPayment!$D260:$F260,FinalPayment_NoReorg!$N$2:$N$331))</f>
        <v>1144</v>
      </c>
      <c r="I260" s="5">
        <f t="shared" si="34"/>
        <v>114</v>
      </c>
      <c r="J260" s="5">
        <f t="shared" si="34"/>
        <v>114</v>
      </c>
      <c r="K260" s="5">
        <f t="shared" si="34"/>
        <v>114</v>
      </c>
      <c r="L260" s="5">
        <f t="shared" si="34"/>
        <v>114</v>
      </c>
      <c r="M260" s="5">
        <f t="shared" si="35"/>
        <v>114</v>
      </c>
      <c r="N260" s="5">
        <f t="shared" si="35"/>
        <v>114</v>
      </c>
      <c r="O260" s="5">
        <f t="shared" si="35"/>
        <v>114</v>
      </c>
      <c r="P260" s="5">
        <f t="shared" si="35"/>
        <v>114</v>
      </c>
      <c r="Q260" s="5">
        <f t="shared" si="36"/>
        <v>114</v>
      </c>
      <c r="R260" s="5">
        <f t="shared" si="37"/>
        <v>118</v>
      </c>
      <c r="U260" s="8">
        <f t="shared" si="33"/>
        <v>0</v>
      </c>
      <c r="V260" s="8">
        <f>IFERROR(INDEX('Payment 1 through 9'!$A$1:$B$330,MATCH(CONCATENATE(FinalPayment!$F260,"0000"),'Payment 1 through 9'!$A$1:$A$330,0),2)*9,0)</f>
        <v>0</v>
      </c>
      <c r="W260" s="8">
        <f>IFERROR(INDEX('FinalPayment 10'!$A$1:$B$330,MATCH(CONCATENATE(FinalPayment!$F260,"0000"),'FinalPayment 10'!$A$1:$A$330,0),2),0)</f>
        <v>0</v>
      </c>
      <c r="X260" s="8">
        <f t="shared" si="38"/>
        <v>0</v>
      </c>
      <c r="Y260" s="8">
        <f t="shared" si="39"/>
        <v>1144</v>
      </c>
    </row>
    <row r="261" spans="1:25" x14ac:dyDescent="0.55000000000000004">
      <c r="A261">
        <v>2021</v>
      </c>
      <c r="B261" t="s">
        <v>694</v>
      </c>
      <c r="C261" t="s">
        <v>412</v>
      </c>
      <c r="D261" t="s">
        <v>1207</v>
      </c>
      <c r="E261" t="s">
        <v>1207</v>
      </c>
      <c r="F261" t="s">
        <v>412</v>
      </c>
      <c r="G261" t="s">
        <v>340</v>
      </c>
      <c r="H261" s="5">
        <f>SUMPRODUCT(SUMIF(FinalPayment_NoReorg!$F$2:$F$331,FinalPayment!$D261:$F261,FinalPayment_NoReorg!$L$2:$L$331))+SUMPRODUCT(SUMIF(FinalPayment_NoReorg!$F$2:$F$331,FinalPayment!$D261:$F261,FinalPayment_NoReorg!$N$2:$N$331))</f>
        <v>196554</v>
      </c>
      <c r="I261" s="5">
        <f t="shared" si="34"/>
        <v>19655</v>
      </c>
      <c r="J261" s="5">
        <f t="shared" si="34"/>
        <v>19655</v>
      </c>
      <c r="K261" s="5">
        <f t="shared" si="34"/>
        <v>19655</v>
      </c>
      <c r="L261" s="5">
        <f t="shared" si="34"/>
        <v>19655</v>
      </c>
      <c r="M261" s="5">
        <f t="shared" si="35"/>
        <v>19655</v>
      </c>
      <c r="N261" s="5">
        <f t="shared" si="35"/>
        <v>19655</v>
      </c>
      <c r="O261" s="5">
        <f t="shared" si="35"/>
        <v>19655</v>
      </c>
      <c r="P261" s="5">
        <f t="shared" si="35"/>
        <v>19655</v>
      </c>
      <c r="Q261" s="5">
        <f t="shared" si="36"/>
        <v>19655</v>
      </c>
      <c r="R261" s="5">
        <f t="shared" si="37"/>
        <v>19659</v>
      </c>
      <c r="U261" s="8">
        <f t="shared" si="33"/>
        <v>0</v>
      </c>
      <c r="V261" s="8">
        <f>IFERROR(INDEX('Payment 1 through 9'!$A$1:$B$330,MATCH(CONCATENATE(FinalPayment!$F261,"0000"),'Payment 1 through 9'!$A$1:$A$330,0),2)*9,0)</f>
        <v>167886</v>
      </c>
      <c r="W261" s="8">
        <f>IFERROR(INDEX('FinalPayment 10'!$A$1:$B$330,MATCH(CONCATENATE(FinalPayment!$F261,"0000"),'FinalPayment 10'!$A$1:$A$330,0),2),0)</f>
        <v>18649</v>
      </c>
      <c r="X261" s="8">
        <f t="shared" si="38"/>
        <v>186535</v>
      </c>
      <c r="Y261" s="8">
        <f t="shared" si="39"/>
        <v>10019</v>
      </c>
    </row>
    <row r="262" spans="1:25" x14ac:dyDescent="0.55000000000000004">
      <c r="A262">
        <v>2021</v>
      </c>
      <c r="B262" t="s">
        <v>694</v>
      </c>
      <c r="C262" t="s">
        <v>409</v>
      </c>
      <c r="D262" t="s">
        <v>1207</v>
      </c>
      <c r="E262" t="s">
        <v>1207</v>
      </c>
      <c r="F262" t="s">
        <v>409</v>
      </c>
      <c r="G262" t="s">
        <v>266</v>
      </c>
      <c r="H262" s="5">
        <f>SUMPRODUCT(SUMIF(FinalPayment_NoReorg!$F$2:$F$331,FinalPayment!$D262:$F262,FinalPayment_NoReorg!$L$2:$L$331))+SUMPRODUCT(SUMIF(FinalPayment_NoReorg!$F$2:$F$331,FinalPayment!$D262:$F262,FinalPayment_NoReorg!$N$2:$N$331))</f>
        <v>148423</v>
      </c>
      <c r="I262" s="5">
        <f t="shared" si="34"/>
        <v>14842</v>
      </c>
      <c r="J262" s="5">
        <f t="shared" si="34"/>
        <v>14842</v>
      </c>
      <c r="K262" s="5">
        <f t="shared" si="34"/>
        <v>14842</v>
      </c>
      <c r="L262" s="5">
        <f t="shared" si="34"/>
        <v>14842</v>
      </c>
      <c r="M262" s="5">
        <f t="shared" si="35"/>
        <v>14842</v>
      </c>
      <c r="N262" s="5">
        <f t="shared" si="35"/>
        <v>14842</v>
      </c>
      <c r="O262" s="5">
        <f t="shared" si="35"/>
        <v>14842</v>
      </c>
      <c r="P262" s="5">
        <f t="shared" si="35"/>
        <v>14842</v>
      </c>
      <c r="Q262" s="5">
        <f t="shared" si="36"/>
        <v>14842</v>
      </c>
      <c r="R262" s="5">
        <f t="shared" si="37"/>
        <v>14845</v>
      </c>
      <c r="U262" s="8">
        <f t="shared" si="33"/>
        <v>0</v>
      </c>
      <c r="V262" s="8">
        <f>IFERROR(INDEX('Payment 1 through 9'!$A$1:$B$330,MATCH(CONCATENATE(FinalPayment!$F262,"0000"),'Payment 1 through 9'!$A$1:$A$330,0),2)*9,0)</f>
        <v>127584</v>
      </c>
      <c r="W262" s="8">
        <f>IFERROR(INDEX('FinalPayment 10'!$A$1:$B$330,MATCH(CONCATENATE(FinalPayment!$F262,"0000"),'FinalPayment 10'!$A$1:$A$330,0),2),0)</f>
        <v>14173</v>
      </c>
      <c r="X262" s="8">
        <f t="shared" si="38"/>
        <v>141757</v>
      </c>
      <c r="Y262" s="8">
        <f t="shared" si="39"/>
        <v>6666</v>
      </c>
    </row>
    <row r="263" spans="1:25" x14ac:dyDescent="0.55000000000000004">
      <c r="A263">
        <v>2021</v>
      </c>
      <c r="B263" t="s">
        <v>692</v>
      </c>
      <c r="C263" t="s">
        <v>956</v>
      </c>
      <c r="D263" t="s">
        <v>1207</v>
      </c>
      <c r="E263" t="s">
        <v>1207</v>
      </c>
      <c r="F263" t="s">
        <v>405</v>
      </c>
      <c r="G263" t="s">
        <v>270</v>
      </c>
      <c r="H263" s="5">
        <f>SUMPRODUCT(SUMIF(FinalPayment_NoReorg!$F$2:$F$331,FinalPayment!$D263:$F263,FinalPayment_NoReorg!$L$2:$L$331))+SUMPRODUCT(SUMIF(FinalPayment_NoReorg!$F$2:$F$331,FinalPayment!$D263:$F263,FinalPayment_NoReorg!$N$2:$N$331))</f>
        <v>62366</v>
      </c>
      <c r="I263" s="5">
        <f t="shared" si="34"/>
        <v>6237</v>
      </c>
      <c r="J263" s="5">
        <f t="shared" si="34"/>
        <v>6237</v>
      </c>
      <c r="K263" s="5">
        <f t="shared" si="34"/>
        <v>6237</v>
      </c>
      <c r="L263" s="5">
        <f t="shared" si="34"/>
        <v>6237</v>
      </c>
      <c r="M263" s="5">
        <f t="shared" si="35"/>
        <v>6237</v>
      </c>
      <c r="N263" s="5">
        <f t="shared" si="35"/>
        <v>6237</v>
      </c>
      <c r="O263" s="5">
        <f t="shared" si="35"/>
        <v>6237</v>
      </c>
      <c r="P263" s="5">
        <f t="shared" si="35"/>
        <v>6237</v>
      </c>
      <c r="Q263" s="5">
        <f t="shared" si="36"/>
        <v>6237</v>
      </c>
      <c r="R263" s="5">
        <f t="shared" si="37"/>
        <v>6233</v>
      </c>
      <c r="U263" s="8">
        <f t="shared" si="33"/>
        <v>0</v>
      </c>
      <c r="V263" s="8">
        <f>IFERROR(INDEX('Payment 1 through 9'!$A$1:$B$330,MATCH(CONCATENATE(FinalPayment!$F263,"0000"),'Payment 1 through 9'!$A$1:$A$330,0),2)*9,0)</f>
        <v>50310</v>
      </c>
      <c r="W263" s="8">
        <f>IFERROR(INDEX('FinalPayment 10'!$A$1:$B$330,MATCH(CONCATENATE(FinalPayment!$F263,"0000"),'FinalPayment 10'!$A$1:$A$330,0),2),0)</f>
        <v>5585</v>
      </c>
      <c r="X263" s="8">
        <f t="shared" si="38"/>
        <v>55895</v>
      </c>
      <c r="Y263" s="8">
        <f t="shared" si="39"/>
        <v>6471</v>
      </c>
    </row>
    <row r="264" spans="1:25" x14ac:dyDescent="0.55000000000000004">
      <c r="A264">
        <v>2021</v>
      </c>
      <c r="B264" t="s">
        <v>690</v>
      </c>
      <c r="C264" t="s">
        <v>407</v>
      </c>
      <c r="D264" t="s">
        <v>1207</v>
      </c>
      <c r="E264" t="s">
        <v>1207</v>
      </c>
      <c r="F264" t="s">
        <v>407</v>
      </c>
      <c r="G264" t="s">
        <v>268</v>
      </c>
      <c r="H264" s="5">
        <f>SUMPRODUCT(SUMIF(FinalPayment_NoReorg!$F$2:$F$331,FinalPayment!$D264:$F264,FinalPayment_NoReorg!$L$2:$L$331))+SUMPRODUCT(SUMIF(FinalPayment_NoReorg!$F$2:$F$331,FinalPayment!$D264:$F264,FinalPayment_NoReorg!$N$2:$N$331))</f>
        <v>26319</v>
      </c>
      <c r="I264" s="5">
        <f t="shared" si="34"/>
        <v>2632</v>
      </c>
      <c r="J264" s="5">
        <f t="shared" si="34"/>
        <v>2632</v>
      </c>
      <c r="K264" s="5">
        <f t="shared" si="34"/>
        <v>2632</v>
      </c>
      <c r="L264" s="5">
        <f t="shared" si="34"/>
        <v>2632</v>
      </c>
      <c r="M264" s="5">
        <f t="shared" si="35"/>
        <v>2632</v>
      </c>
      <c r="N264" s="5">
        <f t="shared" si="35"/>
        <v>2632</v>
      </c>
      <c r="O264" s="5">
        <f t="shared" si="35"/>
        <v>2632</v>
      </c>
      <c r="P264" s="5">
        <f t="shared" si="35"/>
        <v>2632</v>
      </c>
      <c r="Q264" s="5">
        <f t="shared" si="36"/>
        <v>2632</v>
      </c>
      <c r="R264" s="5">
        <f t="shared" si="37"/>
        <v>2631</v>
      </c>
      <c r="U264" s="8">
        <f t="shared" si="33"/>
        <v>0</v>
      </c>
      <c r="V264" s="8">
        <f>IFERROR(INDEX('Payment 1 through 9'!$A$1:$B$330,MATCH(CONCATENATE(FinalPayment!$F264,"0000"),'Payment 1 through 9'!$A$1:$A$330,0),2)*9,0)</f>
        <v>21834</v>
      </c>
      <c r="W264" s="8">
        <f>IFERROR(INDEX('FinalPayment 10'!$A$1:$B$330,MATCH(CONCATENATE(FinalPayment!$F264,"0000"),'FinalPayment 10'!$A$1:$A$330,0),2),0)</f>
        <v>2421</v>
      </c>
      <c r="X264" s="8">
        <f t="shared" si="38"/>
        <v>24255</v>
      </c>
      <c r="Y264" s="8">
        <f t="shared" si="39"/>
        <v>2064</v>
      </c>
    </row>
    <row r="265" spans="1:25" x14ac:dyDescent="0.55000000000000004">
      <c r="A265">
        <v>2021</v>
      </c>
      <c r="B265" t="s">
        <v>689</v>
      </c>
      <c r="C265" t="s">
        <v>406</v>
      </c>
      <c r="D265" t="s">
        <v>1207</v>
      </c>
      <c r="E265" t="s">
        <v>1207</v>
      </c>
      <c r="F265" t="s">
        <v>406</v>
      </c>
      <c r="G265" t="s">
        <v>1232</v>
      </c>
      <c r="H265" s="5">
        <f>SUMPRODUCT(SUMIF(FinalPayment_NoReorg!$F$2:$F$331,FinalPayment!$D265:$F265,FinalPayment_NoReorg!$L$2:$L$331))+SUMPRODUCT(SUMIF(FinalPayment_NoReorg!$F$2:$F$331,FinalPayment!$D265:$F265,FinalPayment_NoReorg!$N$2:$N$331))</f>
        <v>105517</v>
      </c>
      <c r="I265" s="5">
        <f t="shared" si="34"/>
        <v>10552</v>
      </c>
      <c r="J265" s="5">
        <f t="shared" si="34"/>
        <v>10552</v>
      </c>
      <c r="K265" s="5">
        <f t="shared" si="34"/>
        <v>10552</v>
      </c>
      <c r="L265" s="5">
        <f t="shared" si="34"/>
        <v>10552</v>
      </c>
      <c r="M265" s="5">
        <f t="shared" si="35"/>
        <v>10552</v>
      </c>
      <c r="N265" s="5">
        <f t="shared" si="35"/>
        <v>10552</v>
      </c>
      <c r="O265" s="5">
        <f t="shared" si="35"/>
        <v>10552</v>
      </c>
      <c r="P265" s="5">
        <f t="shared" si="35"/>
        <v>10552</v>
      </c>
      <c r="Q265" s="5">
        <f t="shared" si="36"/>
        <v>10552</v>
      </c>
      <c r="R265" s="5">
        <f t="shared" si="37"/>
        <v>10549</v>
      </c>
      <c r="U265" s="8">
        <f t="shared" si="33"/>
        <v>0</v>
      </c>
      <c r="V265" s="8">
        <f>IFERROR(INDEX('Payment 1 through 9'!$A$1:$B$330,MATCH(CONCATENATE(FinalPayment!$F265,"0000"),'Payment 1 through 9'!$A$1:$A$330,0),2)*9,0)</f>
        <v>80289</v>
      </c>
      <c r="W265" s="8">
        <f>IFERROR(INDEX('FinalPayment 10'!$A$1:$B$330,MATCH(CONCATENATE(FinalPayment!$F265,"0000"),'FinalPayment 10'!$A$1:$A$330,0),2),0)</f>
        <v>8920</v>
      </c>
      <c r="X265" s="8">
        <f t="shared" si="38"/>
        <v>89209</v>
      </c>
      <c r="Y265" s="8">
        <f t="shared" si="39"/>
        <v>16308</v>
      </c>
    </row>
    <row r="266" spans="1:25" x14ac:dyDescent="0.55000000000000004">
      <c r="A266">
        <v>2021</v>
      </c>
      <c r="B266" t="s">
        <v>703</v>
      </c>
      <c r="C266" t="s">
        <v>404</v>
      </c>
      <c r="D266" t="s">
        <v>1207</v>
      </c>
      <c r="E266" t="s">
        <v>1207</v>
      </c>
      <c r="F266" t="s">
        <v>404</v>
      </c>
      <c r="G266" t="s">
        <v>271</v>
      </c>
      <c r="H266" s="5">
        <f>SUMPRODUCT(SUMIF(FinalPayment_NoReorg!$F$2:$F$331,FinalPayment!$D266:$F266,FinalPayment_NoReorg!$L$2:$L$331))+SUMPRODUCT(SUMIF(FinalPayment_NoReorg!$F$2:$F$331,FinalPayment!$D266:$F266,FinalPayment_NoReorg!$N$2:$N$331))</f>
        <v>79430</v>
      </c>
      <c r="I266" s="5">
        <f t="shared" si="34"/>
        <v>7943</v>
      </c>
      <c r="J266" s="5">
        <f t="shared" si="34"/>
        <v>7943</v>
      </c>
      <c r="K266" s="5">
        <f t="shared" si="34"/>
        <v>7943</v>
      </c>
      <c r="L266" s="5">
        <f t="shared" si="34"/>
        <v>7943</v>
      </c>
      <c r="M266" s="5">
        <f t="shared" si="35"/>
        <v>7943</v>
      </c>
      <c r="N266" s="5">
        <f t="shared" si="35"/>
        <v>7943</v>
      </c>
      <c r="O266" s="5">
        <f t="shared" si="35"/>
        <v>7943</v>
      </c>
      <c r="P266" s="5">
        <f t="shared" si="35"/>
        <v>7943</v>
      </c>
      <c r="Q266" s="5">
        <f t="shared" si="36"/>
        <v>7943</v>
      </c>
      <c r="R266" s="5">
        <f t="shared" si="37"/>
        <v>7943</v>
      </c>
      <c r="U266" s="8">
        <f t="shared" si="33"/>
        <v>0</v>
      </c>
      <c r="V266" s="8">
        <f>IFERROR(INDEX('Payment 1 through 9'!$A$1:$B$330,MATCH(CONCATENATE(FinalPayment!$F266,"0000"),'Payment 1 through 9'!$A$1:$A$330,0),2)*9,0)</f>
        <v>66735</v>
      </c>
      <c r="W266" s="8">
        <f>IFERROR(INDEX('FinalPayment 10'!$A$1:$B$330,MATCH(CONCATENATE(FinalPayment!$F266,"0000"),'FinalPayment 10'!$A$1:$A$330,0),2),0)</f>
        <v>7415</v>
      </c>
      <c r="X266" s="8">
        <f t="shared" si="38"/>
        <v>74150</v>
      </c>
      <c r="Y266" s="8">
        <f t="shared" si="39"/>
        <v>5280</v>
      </c>
    </row>
    <row r="267" spans="1:25" x14ac:dyDescent="0.55000000000000004">
      <c r="A267">
        <v>2021</v>
      </c>
      <c r="B267" t="s">
        <v>686</v>
      </c>
      <c r="C267" t="s">
        <v>403</v>
      </c>
      <c r="D267" t="s">
        <v>1207</v>
      </c>
      <c r="E267" t="s">
        <v>1207</v>
      </c>
      <c r="F267" t="s">
        <v>403</v>
      </c>
      <c r="G267" t="s">
        <v>272</v>
      </c>
      <c r="H267" s="5">
        <f>SUMPRODUCT(SUMIF(FinalPayment_NoReorg!$F$2:$F$331,FinalPayment!$D267:$F267,FinalPayment_NoReorg!$L$2:$L$331))+SUMPRODUCT(SUMIF(FinalPayment_NoReorg!$F$2:$F$331,FinalPayment!$D267:$F267,FinalPayment_NoReorg!$N$2:$N$331))</f>
        <v>5644</v>
      </c>
      <c r="I267" s="5">
        <f t="shared" si="34"/>
        <v>564</v>
      </c>
      <c r="J267" s="5">
        <f t="shared" si="34"/>
        <v>564</v>
      </c>
      <c r="K267" s="5">
        <f t="shared" si="34"/>
        <v>564</v>
      </c>
      <c r="L267" s="5">
        <f t="shared" si="34"/>
        <v>564</v>
      </c>
      <c r="M267" s="5">
        <f t="shared" si="35"/>
        <v>564</v>
      </c>
      <c r="N267" s="5">
        <f t="shared" si="35"/>
        <v>564</v>
      </c>
      <c r="O267" s="5">
        <f t="shared" si="35"/>
        <v>564</v>
      </c>
      <c r="P267" s="5">
        <f t="shared" si="35"/>
        <v>564</v>
      </c>
      <c r="Q267" s="5">
        <f t="shared" si="36"/>
        <v>564</v>
      </c>
      <c r="R267" s="5">
        <f t="shared" si="37"/>
        <v>568</v>
      </c>
      <c r="U267" s="8">
        <f t="shared" si="33"/>
        <v>0</v>
      </c>
      <c r="V267" s="8">
        <f>IFERROR(INDEX('Payment 1 through 9'!$A$1:$B$330,MATCH(CONCATENATE(FinalPayment!$F267,"0000"),'Payment 1 through 9'!$A$1:$A$330,0),2)*9,0)</f>
        <v>0</v>
      </c>
      <c r="W267" s="8">
        <f>IFERROR(INDEX('FinalPayment 10'!$A$1:$B$330,MATCH(CONCATENATE(FinalPayment!$F267,"0000"),'FinalPayment 10'!$A$1:$A$330,0),2),0)</f>
        <v>0</v>
      </c>
      <c r="X267" s="8">
        <f t="shared" si="38"/>
        <v>0</v>
      </c>
      <c r="Y267" s="8">
        <f t="shared" si="39"/>
        <v>5644</v>
      </c>
    </row>
    <row r="268" spans="1:25" x14ac:dyDescent="0.55000000000000004">
      <c r="A268">
        <v>2021</v>
      </c>
      <c r="B268" t="s">
        <v>686</v>
      </c>
      <c r="C268" t="s">
        <v>410</v>
      </c>
      <c r="D268" t="s">
        <v>1207</v>
      </c>
      <c r="E268" t="s">
        <v>1207</v>
      </c>
      <c r="F268" t="s">
        <v>410</v>
      </c>
      <c r="G268" t="s">
        <v>265</v>
      </c>
      <c r="H268" s="5">
        <f>SUMPRODUCT(SUMIF(FinalPayment_NoReorg!$F$2:$F$331,FinalPayment!$D268:$F268,FinalPayment_NoReorg!$L$2:$L$331))+SUMPRODUCT(SUMIF(FinalPayment_NoReorg!$F$2:$F$331,FinalPayment!$D268:$F268,FinalPayment_NoReorg!$N$2:$N$331))</f>
        <v>92693</v>
      </c>
      <c r="I268" s="5">
        <f t="shared" si="34"/>
        <v>9269</v>
      </c>
      <c r="J268" s="5">
        <f t="shared" si="34"/>
        <v>9269</v>
      </c>
      <c r="K268" s="5">
        <f t="shared" si="34"/>
        <v>9269</v>
      </c>
      <c r="L268" s="5">
        <f t="shared" si="34"/>
        <v>9269</v>
      </c>
      <c r="M268" s="5">
        <f t="shared" si="35"/>
        <v>9269</v>
      </c>
      <c r="N268" s="5">
        <f t="shared" si="35"/>
        <v>9269</v>
      </c>
      <c r="O268" s="5">
        <f t="shared" si="35"/>
        <v>9269</v>
      </c>
      <c r="P268" s="5">
        <f t="shared" si="35"/>
        <v>9269</v>
      </c>
      <c r="Q268" s="5">
        <f t="shared" si="36"/>
        <v>9269</v>
      </c>
      <c r="R268" s="5">
        <f t="shared" si="37"/>
        <v>9272</v>
      </c>
      <c r="U268" s="8">
        <f t="shared" si="33"/>
        <v>0</v>
      </c>
      <c r="V268" s="8">
        <f>IFERROR(INDEX('Payment 1 through 9'!$A$1:$B$330,MATCH(CONCATENATE(FinalPayment!$F268,"0000"),'Payment 1 through 9'!$A$1:$A$330,0),2)*9,0)</f>
        <v>78273</v>
      </c>
      <c r="W268" s="8">
        <f>IFERROR(INDEX('FinalPayment 10'!$A$1:$B$330,MATCH(CONCATENATE(FinalPayment!$F268,"0000"),'FinalPayment 10'!$A$1:$A$330,0),2),0)</f>
        <v>8696</v>
      </c>
      <c r="X268" s="8">
        <f t="shared" si="38"/>
        <v>86969</v>
      </c>
      <c r="Y268" s="8">
        <f t="shared" si="39"/>
        <v>5724</v>
      </c>
    </row>
    <row r="269" spans="1:25" x14ac:dyDescent="0.55000000000000004">
      <c r="A269">
        <v>2021</v>
      </c>
      <c r="B269" t="s">
        <v>694</v>
      </c>
      <c r="C269" t="s">
        <v>408</v>
      </c>
      <c r="D269" t="s">
        <v>1207</v>
      </c>
      <c r="E269" t="s">
        <v>1207</v>
      </c>
      <c r="F269" t="s">
        <v>408</v>
      </c>
      <c r="G269" t="s">
        <v>1233</v>
      </c>
      <c r="H269" s="5">
        <f>SUMPRODUCT(SUMIF(FinalPayment_NoReorg!$F$2:$F$331,FinalPayment!$D269:$F269,FinalPayment_NoReorg!$L$2:$L$331))+SUMPRODUCT(SUMIF(FinalPayment_NoReorg!$F$2:$F$331,FinalPayment!$D269:$F269,FinalPayment_NoReorg!$N$2:$N$331))</f>
        <v>245555</v>
      </c>
      <c r="I269" s="5">
        <f t="shared" si="34"/>
        <v>24556</v>
      </c>
      <c r="J269" s="5">
        <f t="shared" si="34"/>
        <v>24556</v>
      </c>
      <c r="K269" s="5">
        <f t="shared" si="34"/>
        <v>24556</v>
      </c>
      <c r="L269" s="5">
        <f t="shared" si="34"/>
        <v>24556</v>
      </c>
      <c r="M269" s="5">
        <f t="shared" si="35"/>
        <v>24556</v>
      </c>
      <c r="N269" s="5">
        <f t="shared" si="35"/>
        <v>24556</v>
      </c>
      <c r="O269" s="5">
        <f t="shared" si="35"/>
        <v>24556</v>
      </c>
      <c r="P269" s="5">
        <f t="shared" si="35"/>
        <v>24556</v>
      </c>
      <c r="Q269" s="5">
        <f t="shared" si="36"/>
        <v>24556</v>
      </c>
      <c r="R269" s="5">
        <f t="shared" si="37"/>
        <v>24551</v>
      </c>
      <c r="U269" s="8">
        <f t="shared" si="33"/>
        <v>0</v>
      </c>
      <c r="V269" s="8">
        <f>IFERROR(INDEX('Payment 1 through 9'!$A$1:$B$330,MATCH(CONCATENATE(FinalPayment!$F269,"0000"),'Payment 1 through 9'!$A$1:$A$330,0),2)*9,0)</f>
        <v>215532</v>
      </c>
      <c r="W269" s="8">
        <f>IFERROR(INDEX('FinalPayment 10'!$A$1:$B$330,MATCH(CONCATENATE(FinalPayment!$F269,"0000"),'FinalPayment 10'!$A$1:$A$330,0),2),0)</f>
        <v>23951</v>
      </c>
      <c r="X269" s="8">
        <f t="shared" si="38"/>
        <v>239483</v>
      </c>
      <c r="Y269" s="8">
        <f t="shared" si="39"/>
        <v>6072</v>
      </c>
    </row>
    <row r="270" spans="1:25" x14ac:dyDescent="0.55000000000000004">
      <c r="A270">
        <v>2021</v>
      </c>
      <c r="B270" t="s">
        <v>694</v>
      </c>
      <c r="C270" t="s">
        <v>402</v>
      </c>
      <c r="D270" t="s">
        <v>1207</v>
      </c>
      <c r="E270" t="s">
        <v>1207</v>
      </c>
      <c r="F270" t="s">
        <v>402</v>
      </c>
      <c r="G270" t="s">
        <v>273</v>
      </c>
      <c r="H270" s="5">
        <f>SUMPRODUCT(SUMIF(FinalPayment_NoReorg!$F$2:$F$331,FinalPayment!$D270:$F270,FinalPayment_NoReorg!$L$2:$L$331))+SUMPRODUCT(SUMIF(FinalPayment_NoReorg!$F$2:$F$331,FinalPayment!$D270:$F270,FinalPayment_NoReorg!$N$2:$N$331))</f>
        <v>1602</v>
      </c>
      <c r="I270" s="5">
        <f t="shared" si="34"/>
        <v>160</v>
      </c>
      <c r="J270" s="5">
        <f t="shared" si="34"/>
        <v>160</v>
      </c>
      <c r="K270" s="5">
        <f t="shared" si="34"/>
        <v>160</v>
      </c>
      <c r="L270" s="5">
        <f t="shared" si="34"/>
        <v>160</v>
      </c>
      <c r="M270" s="5">
        <f t="shared" si="35"/>
        <v>160</v>
      </c>
      <c r="N270" s="5">
        <f t="shared" si="35"/>
        <v>160</v>
      </c>
      <c r="O270" s="5">
        <f t="shared" si="35"/>
        <v>160</v>
      </c>
      <c r="P270" s="5">
        <f t="shared" si="35"/>
        <v>160</v>
      </c>
      <c r="Q270" s="5">
        <f t="shared" si="36"/>
        <v>160</v>
      </c>
      <c r="R270" s="5">
        <f t="shared" si="37"/>
        <v>162</v>
      </c>
      <c r="U270" s="8">
        <f t="shared" si="33"/>
        <v>0</v>
      </c>
      <c r="V270" s="8">
        <f>IFERROR(INDEX('Payment 1 through 9'!$A$1:$B$330,MATCH(CONCATENATE(FinalPayment!$F270,"0000"),'Payment 1 through 9'!$A$1:$A$330,0),2)*9,0)</f>
        <v>0</v>
      </c>
      <c r="W270" s="8">
        <f>IFERROR(INDEX('FinalPayment 10'!$A$1:$B$330,MATCH(CONCATENATE(FinalPayment!$F270,"0000"),'FinalPayment 10'!$A$1:$A$330,0),2),0)</f>
        <v>0</v>
      </c>
      <c r="X270" s="8">
        <f t="shared" si="38"/>
        <v>0</v>
      </c>
      <c r="Y270" s="8">
        <f t="shared" si="39"/>
        <v>1602</v>
      </c>
    </row>
    <row r="271" spans="1:25" x14ac:dyDescent="0.55000000000000004">
      <c r="A271">
        <v>2021</v>
      </c>
      <c r="B271" t="s">
        <v>694</v>
      </c>
      <c r="C271" t="s">
        <v>401</v>
      </c>
      <c r="D271" t="s">
        <v>1207</v>
      </c>
      <c r="E271" t="s">
        <v>1207</v>
      </c>
      <c r="F271" t="s">
        <v>401</v>
      </c>
      <c r="G271" t="s">
        <v>274</v>
      </c>
      <c r="H271" s="5">
        <f>SUMPRODUCT(SUMIF(FinalPayment_NoReorg!$F$2:$F$331,FinalPayment!$D271:$F271,FinalPayment_NoReorg!$L$2:$L$331))+SUMPRODUCT(SUMIF(FinalPayment_NoReorg!$F$2:$F$331,FinalPayment!$D271:$F271,FinalPayment_NoReorg!$N$2:$N$331))</f>
        <v>956</v>
      </c>
      <c r="I271" s="5">
        <f t="shared" si="34"/>
        <v>96</v>
      </c>
      <c r="J271" s="5">
        <f t="shared" si="34"/>
        <v>96</v>
      </c>
      <c r="K271" s="5">
        <f t="shared" si="34"/>
        <v>96</v>
      </c>
      <c r="L271" s="5">
        <f t="shared" si="34"/>
        <v>96</v>
      </c>
      <c r="M271" s="5">
        <f t="shared" si="35"/>
        <v>96</v>
      </c>
      <c r="N271" s="5">
        <f t="shared" si="35"/>
        <v>96</v>
      </c>
      <c r="O271" s="5">
        <f t="shared" si="35"/>
        <v>96</v>
      </c>
      <c r="P271" s="5">
        <f t="shared" si="35"/>
        <v>96</v>
      </c>
      <c r="Q271" s="5">
        <f t="shared" si="36"/>
        <v>96</v>
      </c>
      <c r="R271" s="5">
        <f t="shared" si="37"/>
        <v>92</v>
      </c>
      <c r="U271" s="8">
        <f t="shared" si="33"/>
        <v>0</v>
      </c>
      <c r="V271" s="8">
        <f>IFERROR(INDEX('Payment 1 through 9'!$A$1:$B$330,MATCH(CONCATENATE(FinalPayment!$F271,"0000"),'Payment 1 through 9'!$A$1:$A$330,0),2)*9,0)</f>
        <v>0</v>
      </c>
      <c r="W271" s="8">
        <f>IFERROR(INDEX('FinalPayment 10'!$A$1:$B$330,MATCH(CONCATENATE(FinalPayment!$F271,"0000"),'FinalPayment 10'!$A$1:$A$330,0),2),0)</f>
        <v>0</v>
      </c>
      <c r="X271" s="8">
        <f t="shared" si="38"/>
        <v>0</v>
      </c>
      <c r="Y271" s="8">
        <f t="shared" si="39"/>
        <v>956</v>
      </c>
    </row>
    <row r="272" spans="1:25" x14ac:dyDescent="0.55000000000000004">
      <c r="A272">
        <v>2021</v>
      </c>
      <c r="B272" t="s">
        <v>698</v>
      </c>
      <c r="C272" t="s">
        <v>400</v>
      </c>
      <c r="D272" t="s">
        <v>1207</v>
      </c>
      <c r="E272" t="s">
        <v>1207</v>
      </c>
      <c r="F272" t="s">
        <v>400</v>
      </c>
      <c r="G272" t="s">
        <v>275</v>
      </c>
      <c r="H272" s="5">
        <f>SUMPRODUCT(SUMIF(FinalPayment_NoReorg!$F$2:$F$331,FinalPayment!$D272:$F272,FinalPayment_NoReorg!$L$2:$L$331))+SUMPRODUCT(SUMIF(FinalPayment_NoReorg!$F$2:$F$331,FinalPayment!$D272:$F272,FinalPayment_NoReorg!$N$2:$N$331))</f>
        <v>313</v>
      </c>
      <c r="I272" s="5">
        <f t="shared" si="34"/>
        <v>31</v>
      </c>
      <c r="J272" s="5">
        <f t="shared" si="34"/>
        <v>31</v>
      </c>
      <c r="K272" s="5">
        <f t="shared" si="34"/>
        <v>31</v>
      </c>
      <c r="L272" s="5">
        <f t="shared" si="34"/>
        <v>31</v>
      </c>
      <c r="M272" s="5">
        <f t="shared" si="35"/>
        <v>31</v>
      </c>
      <c r="N272" s="5">
        <f t="shared" si="35"/>
        <v>31</v>
      </c>
      <c r="O272" s="5">
        <f t="shared" si="35"/>
        <v>31</v>
      </c>
      <c r="P272" s="5">
        <f t="shared" si="35"/>
        <v>31</v>
      </c>
      <c r="Q272" s="5">
        <f t="shared" si="36"/>
        <v>31</v>
      </c>
      <c r="R272" s="5">
        <f t="shared" si="37"/>
        <v>34</v>
      </c>
      <c r="U272" s="8">
        <f t="shared" si="33"/>
        <v>0</v>
      </c>
      <c r="V272" s="8">
        <f>IFERROR(INDEX('Payment 1 through 9'!$A$1:$B$330,MATCH(CONCATENATE(FinalPayment!$F272,"0000"),'Payment 1 through 9'!$A$1:$A$330,0),2)*9,0)</f>
        <v>0</v>
      </c>
      <c r="W272" s="8">
        <f>IFERROR(INDEX('FinalPayment 10'!$A$1:$B$330,MATCH(CONCATENATE(FinalPayment!$F272,"0000"),'FinalPayment 10'!$A$1:$A$330,0),2),0)</f>
        <v>0</v>
      </c>
      <c r="X272" s="8">
        <f t="shared" si="38"/>
        <v>0</v>
      </c>
      <c r="Y272" s="8">
        <f t="shared" si="39"/>
        <v>313</v>
      </c>
    </row>
    <row r="273" spans="1:25" x14ac:dyDescent="0.55000000000000004">
      <c r="A273">
        <v>2021</v>
      </c>
      <c r="B273" t="s">
        <v>689</v>
      </c>
      <c r="C273" t="s">
        <v>427</v>
      </c>
      <c r="D273" t="s">
        <v>1207</v>
      </c>
      <c r="E273" t="s">
        <v>1207</v>
      </c>
      <c r="F273" t="s">
        <v>427</v>
      </c>
      <c r="G273" t="s">
        <v>250</v>
      </c>
      <c r="H273" s="5">
        <f>SUMPRODUCT(SUMIF(FinalPayment_NoReorg!$F$2:$F$331,FinalPayment!$D273:$F273,FinalPayment_NoReorg!$L$2:$L$331))+SUMPRODUCT(SUMIF(FinalPayment_NoReorg!$F$2:$F$331,FinalPayment!$D273:$F273,FinalPayment_NoReorg!$N$2:$N$331))</f>
        <v>142802</v>
      </c>
      <c r="I273" s="5">
        <f t="shared" si="34"/>
        <v>14280</v>
      </c>
      <c r="J273" s="5">
        <f t="shared" si="34"/>
        <v>14280</v>
      </c>
      <c r="K273" s="5">
        <f t="shared" si="34"/>
        <v>14280</v>
      </c>
      <c r="L273" s="5">
        <f t="shared" si="34"/>
        <v>14280</v>
      </c>
      <c r="M273" s="5">
        <f t="shared" si="35"/>
        <v>14280</v>
      </c>
      <c r="N273" s="5">
        <f t="shared" si="35"/>
        <v>14280</v>
      </c>
      <c r="O273" s="5">
        <f t="shared" si="35"/>
        <v>14280</v>
      </c>
      <c r="P273" s="5">
        <f t="shared" si="35"/>
        <v>14280</v>
      </c>
      <c r="Q273" s="5">
        <f t="shared" si="36"/>
        <v>14280</v>
      </c>
      <c r="R273" s="5">
        <f t="shared" si="37"/>
        <v>14282</v>
      </c>
      <c r="U273" s="8">
        <f t="shared" si="33"/>
        <v>0</v>
      </c>
      <c r="V273" s="8">
        <f>IFERROR(INDEX('Payment 1 through 9'!$A$1:$B$330,MATCH(CONCATENATE(FinalPayment!$F273,"0000"),'Payment 1 through 9'!$A$1:$A$330,0),2)*9,0)</f>
        <v>123021</v>
      </c>
      <c r="W273" s="8">
        <f>IFERROR(INDEX('FinalPayment 10'!$A$1:$B$330,MATCH(CONCATENATE(FinalPayment!$F273,"0000"),'FinalPayment 10'!$A$1:$A$330,0),2),0)</f>
        <v>13667</v>
      </c>
      <c r="X273" s="8">
        <f t="shared" si="38"/>
        <v>136688</v>
      </c>
      <c r="Y273" s="8">
        <f t="shared" si="39"/>
        <v>6114</v>
      </c>
    </row>
    <row r="274" spans="1:25" x14ac:dyDescent="0.55000000000000004">
      <c r="A274">
        <v>2021</v>
      </c>
      <c r="B274" t="s">
        <v>690</v>
      </c>
      <c r="C274" t="s">
        <v>399</v>
      </c>
      <c r="D274" t="s">
        <v>1207</v>
      </c>
      <c r="E274" t="s">
        <v>1207</v>
      </c>
      <c r="F274" t="s">
        <v>399</v>
      </c>
      <c r="G274" t="s">
        <v>276</v>
      </c>
      <c r="H274" s="5">
        <f>SUMPRODUCT(SUMIF(FinalPayment_NoReorg!$F$2:$F$331,FinalPayment!$D274:$F274,FinalPayment_NoReorg!$L$2:$L$331))+SUMPRODUCT(SUMIF(FinalPayment_NoReorg!$F$2:$F$331,FinalPayment!$D274:$F274,FinalPayment_NoReorg!$N$2:$N$331))</f>
        <v>141</v>
      </c>
      <c r="I274" s="5">
        <f t="shared" si="34"/>
        <v>14</v>
      </c>
      <c r="J274" s="5">
        <f t="shared" si="34"/>
        <v>14</v>
      </c>
      <c r="K274" s="5">
        <f t="shared" si="34"/>
        <v>14</v>
      </c>
      <c r="L274" s="5">
        <f t="shared" si="34"/>
        <v>14</v>
      </c>
      <c r="M274" s="5">
        <f t="shared" si="35"/>
        <v>14</v>
      </c>
      <c r="N274" s="5">
        <f t="shared" si="35"/>
        <v>14</v>
      </c>
      <c r="O274" s="5">
        <f t="shared" si="35"/>
        <v>14</v>
      </c>
      <c r="P274" s="5">
        <f t="shared" si="35"/>
        <v>14</v>
      </c>
      <c r="Q274" s="5">
        <f t="shared" si="36"/>
        <v>14</v>
      </c>
      <c r="R274" s="5">
        <f t="shared" si="37"/>
        <v>15</v>
      </c>
      <c r="U274" s="8">
        <f t="shared" si="33"/>
        <v>0</v>
      </c>
      <c r="V274" s="8">
        <f>IFERROR(INDEX('Payment 1 through 9'!$A$1:$B$330,MATCH(CONCATENATE(FinalPayment!$F274,"0000"),'Payment 1 through 9'!$A$1:$A$330,0),2)*9,0)</f>
        <v>0</v>
      </c>
      <c r="W274" s="8">
        <f>IFERROR(INDEX('FinalPayment 10'!$A$1:$B$330,MATCH(CONCATENATE(FinalPayment!$F274,"0000"),'FinalPayment 10'!$A$1:$A$330,0),2),0)</f>
        <v>0</v>
      </c>
      <c r="X274" s="8">
        <f t="shared" si="38"/>
        <v>0</v>
      </c>
      <c r="Y274" s="8">
        <f t="shared" si="39"/>
        <v>141</v>
      </c>
    </row>
    <row r="275" spans="1:25" x14ac:dyDescent="0.55000000000000004">
      <c r="A275">
        <v>2021</v>
      </c>
      <c r="B275" t="s">
        <v>703</v>
      </c>
      <c r="C275" t="s">
        <v>398</v>
      </c>
      <c r="D275" t="s">
        <v>1207</v>
      </c>
      <c r="E275" t="s">
        <v>1207</v>
      </c>
      <c r="F275" t="s">
        <v>398</v>
      </c>
      <c r="G275" t="s">
        <v>277</v>
      </c>
      <c r="H275" s="5">
        <f>SUMPRODUCT(SUMIF(FinalPayment_NoReorg!$F$2:$F$331,FinalPayment!$D275:$F275,FinalPayment_NoReorg!$L$2:$L$331))+SUMPRODUCT(SUMIF(FinalPayment_NoReorg!$F$2:$F$331,FinalPayment!$D275:$F275,FinalPayment_NoReorg!$N$2:$N$331))</f>
        <v>27834</v>
      </c>
      <c r="I275" s="5">
        <f t="shared" si="34"/>
        <v>2783</v>
      </c>
      <c r="J275" s="5">
        <f t="shared" si="34"/>
        <v>2783</v>
      </c>
      <c r="K275" s="5">
        <f t="shared" si="34"/>
        <v>2783</v>
      </c>
      <c r="L275" s="5">
        <f t="shared" si="34"/>
        <v>2783</v>
      </c>
      <c r="M275" s="5">
        <f t="shared" si="35"/>
        <v>2783</v>
      </c>
      <c r="N275" s="5">
        <f t="shared" si="35"/>
        <v>2783</v>
      </c>
      <c r="O275" s="5">
        <f t="shared" si="35"/>
        <v>2783</v>
      </c>
      <c r="P275" s="5">
        <f t="shared" si="35"/>
        <v>2783</v>
      </c>
      <c r="Q275" s="5">
        <f t="shared" si="36"/>
        <v>2783</v>
      </c>
      <c r="R275" s="5">
        <f t="shared" si="37"/>
        <v>2787</v>
      </c>
      <c r="U275" s="8">
        <f t="shared" si="33"/>
        <v>0</v>
      </c>
      <c r="V275" s="8">
        <f>IFERROR(INDEX('Payment 1 through 9'!$A$1:$B$330,MATCH(CONCATENATE(FinalPayment!$F275,"0000"),'Payment 1 through 9'!$A$1:$A$330,0),2)*9,0)</f>
        <v>19350</v>
      </c>
      <c r="W275" s="8">
        <f>IFERROR(INDEX('FinalPayment 10'!$A$1:$B$330,MATCH(CONCATENATE(FinalPayment!$F275,"0000"),'FinalPayment 10'!$A$1:$A$330,0),2),0)</f>
        <v>2146</v>
      </c>
      <c r="X275" s="8">
        <f t="shared" si="38"/>
        <v>21496</v>
      </c>
      <c r="Y275" s="8">
        <f t="shared" si="39"/>
        <v>6338</v>
      </c>
    </row>
    <row r="276" spans="1:25" x14ac:dyDescent="0.55000000000000004">
      <c r="A276">
        <v>2021</v>
      </c>
      <c r="B276" t="s">
        <v>694</v>
      </c>
      <c r="C276" t="s">
        <v>397</v>
      </c>
      <c r="D276" t="s">
        <v>1207</v>
      </c>
      <c r="E276" t="s">
        <v>1207</v>
      </c>
      <c r="F276" t="s">
        <v>397</v>
      </c>
      <c r="G276" t="s">
        <v>278</v>
      </c>
      <c r="H276" s="5">
        <f>SUMPRODUCT(SUMIF(FinalPayment_NoReorg!$F$2:$F$331,FinalPayment!$D276:$F276,FinalPayment_NoReorg!$L$2:$L$331))+SUMPRODUCT(SUMIF(FinalPayment_NoReorg!$F$2:$F$331,FinalPayment!$D276:$F276,FinalPayment_NoReorg!$N$2:$N$331))</f>
        <v>1953</v>
      </c>
      <c r="I276" s="5">
        <f t="shared" si="34"/>
        <v>195</v>
      </c>
      <c r="J276" s="5">
        <f t="shared" si="34"/>
        <v>195</v>
      </c>
      <c r="K276" s="5">
        <f t="shared" si="34"/>
        <v>195</v>
      </c>
      <c r="L276" s="5">
        <f t="shared" si="34"/>
        <v>195</v>
      </c>
      <c r="M276" s="5">
        <f t="shared" si="35"/>
        <v>195</v>
      </c>
      <c r="N276" s="5">
        <f t="shared" si="35"/>
        <v>195</v>
      </c>
      <c r="O276" s="5">
        <f t="shared" si="35"/>
        <v>195</v>
      </c>
      <c r="P276" s="5">
        <f t="shared" si="35"/>
        <v>195</v>
      </c>
      <c r="Q276" s="5">
        <f t="shared" si="36"/>
        <v>195</v>
      </c>
      <c r="R276" s="5">
        <f t="shared" si="37"/>
        <v>198</v>
      </c>
      <c r="U276" s="8">
        <f t="shared" si="33"/>
        <v>0</v>
      </c>
      <c r="V276" s="8">
        <f>IFERROR(INDEX('Payment 1 through 9'!$A$1:$B$330,MATCH(CONCATENATE(FinalPayment!$F276,"0000"),'Payment 1 through 9'!$A$1:$A$330,0),2)*9,0)</f>
        <v>0</v>
      </c>
      <c r="W276" s="8">
        <f>IFERROR(INDEX('FinalPayment 10'!$A$1:$B$330,MATCH(CONCATENATE(FinalPayment!$F276,"0000"),'FinalPayment 10'!$A$1:$A$330,0),2),0)</f>
        <v>0</v>
      </c>
      <c r="X276" s="8">
        <f t="shared" si="38"/>
        <v>0</v>
      </c>
      <c r="Y276" s="8">
        <f t="shared" si="39"/>
        <v>1953</v>
      </c>
    </row>
    <row r="277" spans="1:25" x14ac:dyDescent="0.55000000000000004">
      <c r="A277">
        <v>2021</v>
      </c>
      <c r="B277" t="s">
        <v>694</v>
      </c>
      <c r="C277" t="s">
        <v>396</v>
      </c>
      <c r="D277" t="s">
        <v>1207</v>
      </c>
      <c r="E277" t="s">
        <v>1207</v>
      </c>
      <c r="F277" t="s">
        <v>396</v>
      </c>
      <c r="G277" t="s">
        <v>279</v>
      </c>
      <c r="H277" s="5">
        <f>SUMPRODUCT(SUMIF(FinalPayment_NoReorg!$F$2:$F$331,FinalPayment!$D277:$F277,FinalPayment_NoReorg!$L$2:$L$331))+SUMPRODUCT(SUMIF(FinalPayment_NoReorg!$F$2:$F$331,FinalPayment!$D277:$F277,FinalPayment_NoReorg!$N$2:$N$331))</f>
        <v>28650</v>
      </c>
      <c r="I277" s="5">
        <f t="shared" si="34"/>
        <v>2865</v>
      </c>
      <c r="J277" s="5">
        <f t="shared" si="34"/>
        <v>2865</v>
      </c>
      <c r="K277" s="5">
        <f t="shared" si="34"/>
        <v>2865</v>
      </c>
      <c r="L277" s="5">
        <f t="shared" si="34"/>
        <v>2865</v>
      </c>
      <c r="M277" s="5">
        <f t="shared" si="35"/>
        <v>2865</v>
      </c>
      <c r="N277" s="5">
        <f t="shared" si="35"/>
        <v>2865</v>
      </c>
      <c r="O277" s="5">
        <f t="shared" si="35"/>
        <v>2865</v>
      </c>
      <c r="P277" s="5">
        <f t="shared" si="35"/>
        <v>2865</v>
      </c>
      <c r="Q277" s="5">
        <f t="shared" si="36"/>
        <v>2865</v>
      </c>
      <c r="R277" s="5">
        <f t="shared" si="37"/>
        <v>2865</v>
      </c>
      <c r="U277" s="8">
        <f t="shared" si="33"/>
        <v>0</v>
      </c>
      <c r="V277" s="8">
        <f>IFERROR(INDEX('Payment 1 through 9'!$A$1:$B$330,MATCH(CONCATENATE(FinalPayment!$F277,"0000"),'Payment 1 through 9'!$A$1:$A$330,0),2)*9,0)</f>
        <v>24435</v>
      </c>
      <c r="W277" s="8">
        <f>IFERROR(INDEX('FinalPayment 10'!$A$1:$B$330,MATCH(CONCATENATE(FinalPayment!$F277,"0000"),'FinalPayment 10'!$A$1:$A$330,0),2),0)</f>
        <v>2716</v>
      </c>
      <c r="X277" s="8">
        <f t="shared" si="38"/>
        <v>27151</v>
      </c>
      <c r="Y277" s="8">
        <f t="shared" si="39"/>
        <v>1499</v>
      </c>
    </row>
    <row r="278" spans="1:25" x14ac:dyDescent="0.55000000000000004">
      <c r="A278">
        <v>2021</v>
      </c>
      <c r="B278" t="s">
        <v>689</v>
      </c>
      <c r="C278" t="s">
        <v>394</v>
      </c>
      <c r="D278" t="s">
        <v>1207</v>
      </c>
      <c r="E278" t="s">
        <v>1207</v>
      </c>
      <c r="F278" t="s">
        <v>394</v>
      </c>
      <c r="G278" t="s">
        <v>341</v>
      </c>
      <c r="H278" s="5">
        <f>SUMPRODUCT(SUMIF(FinalPayment_NoReorg!$F$2:$F$331,FinalPayment!$D278:$F278,FinalPayment_NoReorg!$L$2:$L$331))+SUMPRODUCT(SUMIF(FinalPayment_NoReorg!$F$2:$F$331,FinalPayment!$D278:$F278,FinalPayment_NoReorg!$N$2:$N$331))</f>
        <v>161253</v>
      </c>
      <c r="I278" s="5">
        <f t="shared" si="34"/>
        <v>16125</v>
      </c>
      <c r="J278" s="5">
        <f t="shared" si="34"/>
        <v>16125</v>
      </c>
      <c r="K278" s="5">
        <f t="shared" si="34"/>
        <v>16125</v>
      </c>
      <c r="L278" s="5">
        <f t="shared" si="34"/>
        <v>16125</v>
      </c>
      <c r="M278" s="5">
        <f t="shared" si="35"/>
        <v>16125</v>
      </c>
      <c r="N278" s="5">
        <f t="shared" si="35"/>
        <v>16125</v>
      </c>
      <c r="O278" s="5">
        <f t="shared" si="35"/>
        <v>16125</v>
      </c>
      <c r="P278" s="5">
        <f t="shared" si="35"/>
        <v>16125</v>
      </c>
      <c r="Q278" s="5">
        <f t="shared" si="36"/>
        <v>16125</v>
      </c>
      <c r="R278" s="5">
        <f t="shared" si="37"/>
        <v>16128</v>
      </c>
      <c r="U278" s="8">
        <f t="shared" si="33"/>
        <v>0</v>
      </c>
      <c r="V278" s="8">
        <f>IFERROR(INDEX('Payment 1 through 9'!$A$1:$B$330,MATCH(CONCATENATE(FinalPayment!$F278,"0000"),'Payment 1 through 9'!$A$1:$A$330,0),2)*9,0)</f>
        <v>137331</v>
      </c>
      <c r="W278" s="8">
        <f>IFERROR(INDEX('FinalPayment 10'!$A$1:$B$330,MATCH(CONCATENATE(FinalPayment!$F278,"0000"),'FinalPayment 10'!$A$1:$A$330,0),2),0)</f>
        <v>15258</v>
      </c>
      <c r="X278" s="8">
        <f t="shared" si="38"/>
        <v>152589</v>
      </c>
      <c r="Y278" s="8">
        <f t="shared" si="39"/>
        <v>8664</v>
      </c>
    </row>
    <row r="279" spans="1:25" x14ac:dyDescent="0.55000000000000004">
      <c r="A279">
        <v>2021</v>
      </c>
      <c r="B279" t="s">
        <v>698</v>
      </c>
      <c r="C279" t="s">
        <v>393</v>
      </c>
      <c r="D279" t="s">
        <v>1207</v>
      </c>
      <c r="E279" t="s">
        <v>1207</v>
      </c>
      <c r="F279" t="s">
        <v>393</v>
      </c>
      <c r="G279" t="s">
        <v>281</v>
      </c>
      <c r="H279" s="5">
        <f>SUMPRODUCT(SUMIF(FinalPayment_NoReorg!$F$2:$F$331,FinalPayment!$D279:$F279,FinalPayment_NoReorg!$L$2:$L$331))+SUMPRODUCT(SUMIF(FinalPayment_NoReorg!$F$2:$F$331,FinalPayment!$D279:$F279,FinalPayment_NoReorg!$N$2:$N$331))</f>
        <v>718</v>
      </c>
      <c r="I279" s="5">
        <f t="shared" si="34"/>
        <v>72</v>
      </c>
      <c r="J279" s="5">
        <f t="shared" si="34"/>
        <v>72</v>
      </c>
      <c r="K279" s="5">
        <f t="shared" si="34"/>
        <v>72</v>
      </c>
      <c r="L279" s="5">
        <f t="shared" si="34"/>
        <v>72</v>
      </c>
      <c r="M279" s="5">
        <f t="shared" si="35"/>
        <v>72</v>
      </c>
      <c r="N279" s="5">
        <f t="shared" si="35"/>
        <v>72</v>
      </c>
      <c r="O279" s="5">
        <f t="shared" si="35"/>
        <v>72</v>
      </c>
      <c r="P279" s="5">
        <f t="shared" si="35"/>
        <v>72</v>
      </c>
      <c r="Q279" s="5">
        <f t="shared" si="36"/>
        <v>72</v>
      </c>
      <c r="R279" s="5">
        <f t="shared" si="37"/>
        <v>70</v>
      </c>
      <c r="U279" s="8">
        <f t="shared" si="33"/>
        <v>0</v>
      </c>
      <c r="V279" s="8">
        <f>IFERROR(INDEX('Payment 1 through 9'!$A$1:$B$330,MATCH(CONCATENATE(FinalPayment!$F279,"0000"),'Payment 1 through 9'!$A$1:$A$330,0),2)*9,0)</f>
        <v>0</v>
      </c>
      <c r="W279" s="8">
        <f>IFERROR(INDEX('FinalPayment 10'!$A$1:$B$330,MATCH(CONCATENATE(FinalPayment!$F279,"0000"),'FinalPayment 10'!$A$1:$A$330,0),2),0)</f>
        <v>0</v>
      </c>
      <c r="X279" s="8">
        <f t="shared" si="38"/>
        <v>0</v>
      </c>
      <c r="Y279" s="8">
        <f t="shared" si="39"/>
        <v>718</v>
      </c>
    </row>
    <row r="280" spans="1:25" x14ac:dyDescent="0.55000000000000004">
      <c r="A280">
        <v>2021</v>
      </c>
      <c r="B280" t="s">
        <v>690</v>
      </c>
      <c r="C280" t="s">
        <v>392</v>
      </c>
      <c r="D280" t="s">
        <v>1207</v>
      </c>
      <c r="E280" t="s">
        <v>1207</v>
      </c>
      <c r="F280" t="s">
        <v>392</v>
      </c>
      <c r="G280" t="s">
        <v>282</v>
      </c>
      <c r="H280" s="5">
        <f>SUMPRODUCT(SUMIF(FinalPayment_NoReorg!$F$2:$F$331,FinalPayment!$D280:$F280,FinalPayment_NoReorg!$L$2:$L$331))+SUMPRODUCT(SUMIF(FinalPayment_NoReorg!$F$2:$F$331,FinalPayment!$D280:$F280,FinalPayment_NoReorg!$N$2:$N$331))</f>
        <v>78168</v>
      </c>
      <c r="I280" s="5">
        <f t="shared" si="34"/>
        <v>7817</v>
      </c>
      <c r="J280" s="5">
        <f t="shared" si="34"/>
        <v>7817</v>
      </c>
      <c r="K280" s="5">
        <f t="shared" si="34"/>
        <v>7817</v>
      </c>
      <c r="L280" s="5">
        <f t="shared" si="34"/>
        <v>7817</v>
      </c>
      <c r="M280" s="5">
        <f t="shared" si="35"/>
        <v>7817</v>
      </c>
      <c r="N280" s="5">
        <f t="shared" si="35"/>
        <v>7817</v>
      </c>
      <c r="O280" s="5">
        <f t="shared" si="35"/>
        <v>7817</v>
      </c>
      <c r="P280" s="5">
        <f t="shared" si="35"/>
        <v>7817</v>
      </c>
      <c r="Q280" s="5">
        <f t="shared" si="36"/>
        <v>7817</v>
      </c>
      <c r="R280" s="5">
        <f t="shared" si="37"/>
        <v>7815</v>
      </c>
      <c r="U280" s="8">
        <f t="shared" si="33"/>
        <v>0</v>
      </c>
      <c r="V280" s="8">
        <f>IFERROR(INDEX('Payment 1 through 9'!$A$1:$B$330,MATCH(CONCATENATE(FinalPayment!$F280,"0000"),'Payment 1 through 9'!$A$1:$A$330,0),2)*9,0)</f>
        <v>64341</v>
      </c>
      <c r="W280" s="8">
        <f>IFERROR(INDEX('FinalPayment 10'!$A$1:$B$330,MATCH(CONCATENATE(FinalPayment!$F280,"0000"),'FinalPayment 10'!$A$1:$A$330,0),2),0)</f>
        <v>7148</v>
      </c>
      <c r="X280" s="8">
        <f t="shared" si="38"/>
        <v>71489</v>
      </c>
      <c r="Y280" s="8">
        <f t="shared" si="39"/>
        <v>6679</v>
      </c>
    </row>
    <row r="281" spans="1:25" x14ac:dyDescent="0.55000000000000004">
      <c r="A281">
        <v>2021</v>
      </c>
      <c r="B281" t="s">
        <v>690</v>
      </c>
      <c r="C281" t="s">
        <v>391</v>
      </c>
      <c r="D281" t="s">
        <v>1207</v>
      </c>
      <c r="E281" t="s">
        <v>1207</v>
      </c>
      <c r="F281" t="s">
        <v>391</v>
      </c>
      <c r="G281" t="s">
        <v>283</v>
      </c>
      <c r="H281" s="5">
        <f>SUMPRODUCT(SUMIF(FinalPayment_NoReorg!$F$2:$F$331,FinalPayment!$D281:$F281,FinalPayment_NoReorg!$L$2:$L$331))+SUMPRODUCT(SUMIF(FinalPayment_NoReorg!$F$2:$F$331,FinalPayment!$D281:$F281,FinalPayment_NoReorg!$N$2:$N$331))</f>
        <v>134186</v>
      </c>
      <c r="I281" s="5">
        <f t="shared" si="34"/>
        <v>13419</v>
      </c>
      <c r="J281" s="5">
        <f t="shared" si="34"/>
        <v>13419</v>
      </c>
      <c r="K281" s="5">
        <f t="shared" si="34"/>
        <v>13419</v>
      </c>
      <c r="L281" s="5">
        <f t="shared" si="34"/>
        <v>13419</v>
      </c>
      <c r="M281" s="5">
        <f t="shared" si="35"/>
        <v>13419</v>
      </c>
      <c r="N281" s="5">
        <f t="shared" si="35"/>
        <v>13419</v>
      </c>
      <c r="O281" s="5">
        <f t="shared" si="35"/>
        <v>13419</v>
      </c>
      <c r="P281" s="5">
        <f t="shared" si="35"/>
        <v>13419</v>
      </c>
      <c r="Q281" s="5">
        <f t="shared" si="36"/>
        <v>13419</v>
      </c>
      <c r="R281" s="5">
        <f t="shared" si="37"/>
        <v>13415</v>
      </c>
      <c r="U281" s="8">
        <f t="shared" si="33"/>
        <v>0</v>
      </c>
      <c r="V281" s="8">
        <f>IFERROR(INDEX('Payment 1 through 9'!$A$1:$B$330,MATCH(CONCATENATE(FinalPayment!$F281,"0000"),'Payment 1 through 9'!$A$1:$A$330,0),2)*9,0)</f>
        <v>114660</v>
      </c>
      <c r="W281" s="8">
        <f>IFERROR(INDEX('FinalPayment 10'!$A$1:$B$330,MATCH(CONCATENATE(FinalPayment!$F281,"0000"),'FinalPayment 10'!$A$1:$A$330,0),2),0)</f>
        <v>12743</v>
      </c>
      <c r="X281" s="8">
        <f t="shared" si="38"/>
        <v>127403</v>
      </c>
      <c r="Y281" s="8">
        <f t="shared" si="39"/>
        <v>6783</v>
      </c>
    </row>
    <row r="282" spans="1:25" x14ac:dyDescent="0.55000000000000004">
      <c r="A282">
        <v>2021</v>
      </c>
      <c r="B282" t="s">
        <v>696</v>
      </c>
      <c r="C282" t="s">
        <v>390</v>
      </c>
      <c r="D282" t="s">
        <v>1207</v>
      </c>
      <c r="E282" t="s">
        <v>1207</v>
      </c>
      <c r="F282" t="s">
        <v>390</v>
      </c>
      <c r="G282" t="s">
        <v>284</v>
      </c>
      <c r="H282" s="5">
        <f>SUMPRODUCT(SUMIF(FinalPayment_NoReorg!$F$2:$F$331,FinalPayment!$D282:$F282,FinalPayment_NoReorg!$L$2:$L$331))+SUMPRODUCT(SUMIF(FinalPayment_NoReorg!$F$2:$F$331,FinalPayment!$D282:$F282,FinalPayment_NoReorg!$N$2:$N$331))</f>
        <v>56054</v>
      </c>
      <c r="I282" s="5">
        <f t="shared" si="34"/>
        <v>5605</v>
      </c>
      <c r="J282" s="5">
        <f t="shared" si="34"/>
        <v>5605</v>
      </c>
      <c r="K282" s="5">
        <f t="shared" si="34"/>
        <v>5605</v>
      </c>
      <c r="L282" s="5">
        <f t="shared" si="34"/>
        <v>5605</v>
      </c>
      <c r="M282" s="5">
        <f t="shared" si="35"/>
        <v>5605</v>
      </c>
      <c r="N282" s="5">
        <f t="shared" si="35"/>
        <v>5605</v>
      </c>
      <c r="O282" s="5">
        <f t="shared" si="35"/>
        <v>5605</v>
      </c>
      <c r="P282" s="5">
        <f t="shared" si="35"/>
        <v>5605</v>
      </c>
      <c r="Q282" s="5">
        <f t="shared" si="36"/>
        <v>5605</v>
      </c>
      <c r="R282" s="5">
        <f t="shared" si="37"/>
        <v>5609</v>
      </c>
      <c r="U282" s="8">
        <f t="shared" si="33"/>
        <v>0</v>
      </c>
      <c r="V282" s="8">
        <f>IFERROR(INDEX('Payment 1 through 9'!$A$1:$B$330,MATCH(CONCATENATE(FinalPayment!$F282,"0000"),'Payment 1 through 9'!$A$1:$A$330,0),2)*9,0)</f>
        <v>47727</v>
      </c>
      <c r="W282" s="8">
        <f>IFERROR(INDEX('FinalPayment 10'!$A$1:$B$330,MATCH(CONCATENATE(FinalPayment!$F282,"0000"),'FinalPayment 10'!$A$1:$A$330,0),2),0)</f>
        <v>5302</v>
      </c>
      <c r="X282" s="8">
        <f t="shared" si="38"/>
        <v>53029</v>
      </c>
      <c r="Y282" s="8">
        <f t="shared" si="39"/>
        <v>3025</v>
      </c>
    </row>
    <row r="283" spans="1:25" x14ac:dyDescent="0.55000000000000004">
      <c r="A283">
        <v>2021</v>
      </c>
      <c r="B283" t="s">
        <v>689</v>
      </c>
      <c r="C283" t="s">
        <v>389</v>
      </c>
      <c r="D283" t="s">
        <v>1207</v>
      </c>
      <c r="E283" t="s">
        <v>1207</v>
      </c>
      <c r="F283" t="s">
        <v>389</v>
      </c>
      <c r="G283" t="s">
        <v>285</v>
      </c>
      <c r="H283" s="5">
        <f>SUMPRODUCT(SUMIF(FinalPayment_NoReorg!$F$2:$F$331,FinalPayment!$D283:$F283,FinalPayment_NoReorg!$L$2:$L$331))+SUMPRODUCT(SUMIF(FinalPayment_NoReorg!$F$2:$F$331,FinalPayment!$D283:$F283,FinalPayment_NoReorg!$N$2:$N$331))</f>
        <v>336</v>
      </c>
      <c r="I283" s="5">
        <f t="shared" si="34"/>
        <v>34</v>
      </c>
      <c r="J283" s="5">
        <f t="shared" si="34"/>
        <v>34</v>
      </c>
      <c r="K283" s="5">
        <f t="shared" si="34"/>
        <v>34</v>
      </c>
      <c r="L283" s="5">
        <f t="shared" si="34"/>
        <v>34</v>
      </c>
      <c r="M283" s="5">
        <f t="shared" si="35"/>
        <v>34</v>
      </c>
      <c r="N283" s="5">
        <f t="shared" si="35"/>
        <v>34</v>
      </c>
      <c r="O283" s="5">
        <f t="shared" si="35"/>
        <v>34</v>
      </c>
      <c r="P283" s="5">
        <f t="shared" si="35"/>
        <v>34</v>
      </c>
      <c r="Q283" s="5">
        <f t="shared" si="36"/>
        <v>34</v>
      </c>
      <c r="R283" s="5">
        <f t="shared" si="37"/>
        <v>30</v>
      </c>
      <c r="U283" s="8">
        <f t="shared" si="33"/>
        <v>0</v>
      </c>
      <c r="V283" s="8">
        <f>IFERROR(INDEX('Payment 1 through 9'!$A$1:$B$330,MATCH(CONCATENATE(FinalPayment!$F283,"0000"),'Payment 1 through 9'!$A$1:$A$330,0),2)*9,0)</f>
        <v>0</v>
      </c>
      <c r="W283" s="8">
        <f>IFERROR(INDEX('FinalPayment 10'!$A$1:$B$330,MATCH(CONCATENATE(FinalPayment!$F283,"0000"),'FinalPayment 10'!$A$1:$A$330,0),2),0)</f>
        <v>0</v>
      </c>
      <c r="X283" s="8">
        <f t="shared" si="38"/>
        <v>0</v>
      </c>
      <c r="Y283" s="8">
        <f t="shared" si="39"/>
        <v>336</v>
      </c>
    </row>
    <row r="284" spans="1:25" x14ac:dyDescent="0.55000000000000004">
      <c r="A284">
        <v>2021</v>
      </c>
      <c r="B284" t="s">
        <v>703</v>
      </c>
      <c r="C284" t="s">
        <v>388</v>
      </c>
      <c r="D284" t="s">
        <v>1207</v>
      </c>
      <c r="E284" t="s">
        <v>1207</v>
      </c>
      <c r="F284" t="s">
        <v>388</v>
      </c>
      <c r="G284" t="s">
        <v>286</v>
      </c>
      <c r="H284" s="5">
        <f>SUMPRODUCT(SUMIF(FinalPayment_NoReorg!$F$2:$F$331,FinalPayment!$D284:$F284,FinalPayment_NoReorg!$L$2:$L$331))+SUMPRODUCT(SUMIF(FinalPayment_NoReorg!$F$2:$F$331,FinalPayment!$D284:$F284,FinalPayment_NoReorg!$N$2:$N$331))</f>
        <v>125675</v>
      </c>
      <c r="I284" s="5">
        <f t="shared" si="34"/>
        <v>12568</v>
      </c>
      <c r="J284" s="5">
        <f t="shared" si="34"/>
        <v>12568</v>
      </c>
      <c r="K284" s="5">
        <f t="shared" si="34"/>
        <v>12568</v>
      </c>
      <c r="L284" s="5">
        <f t="shared" si="34"/>
        <v>12568</v>
      </c>
      <c r="M284" s="5">
        <f t="shared" si="35"/>
        <v>12568</v>
      </c>
      <c r="N284" s="5">
        <f t="shared" si="35"/>
        <v>12568</v>
      </c>
      <c r="O284" s="5">
        <f t="shared" si="35"/>
        <v>12568</v>
      </c>
      <c r="P284" s="5">
        <f t="shared" si="35"/>
        <v>12568</v>
      </c>
      <c r="Q284" s="5">
        <f t="shared" si="36"/>
        <v>12568</v>
      </c>
      <c r="R284" s="5">
        <f t="shared" si="37"/>
        <v>12563</v>
      </c>
      <c r="U284" s="8">
        <f t="shared" si="33"/>
        <v>0</v>
      </c>
      <c r="V284" s="8">
        <f>IFERROR(INDEX('Payment 1 through 9'!$A$1:$B$330,MATCH(CONCATENATE(FinalPayment!$F284,"0000"),'Payment 1 through 9'!$A$1:$A$330,0),2)*9,0)</f>
        <v>109845</v>
      </c>
      <c r="W284" s="8">
        <f>IFERROR(INDEX('FinalPayment 10'!$A$1:$B$330,MATCH(CONCATENATE(FinalPayment!$F284,"0000"),'FinalPayment 10'!$A$1:$A$330,0),2),0)</f>
        <v>12200</v>
      </c>
      <c r="X284" s="8">
        <f t="shared" si="38"/>
        <v>122045</v>
      </c>
      <c r="Y284" s="8">
        <f t="shared" si="39"/>
        <v>3630</v>
      </c>
    </row>
    <row r="285" spans="1:25" x14ac:dyDescent="0.55000000000000004">
      <c r="A285">
        <v>2021</v>
      </c>
      <c r="B285" t="s">
        <v>686</v>
      </c>
      <c r="C285" t="s">
        <v>387</v>
      </c>
      <c r="D285" t="s">
        <v>1207</v>
      </c>
      <c r="E285" t="s">
        <v>1207</v>
      </c>
      <c r="F285" t="s">
        <v>387</v>
      </c>
      <c r="G285" t="s">
        <v>287</v>
      </c>
      <c r="H285" s="5">
        <f>SUMPRODUCT(SUMIF(FinalPayment_NoReorg!$F$2:$F$331,FinalPayment!$D285:$F285,FinalPayment_NoReorg!$L$2:$L$331))+SUMPRODUCT(SUMIF(FinalPayment_NoReorg!$F$2:$F$331,FinalPayment!$D285:$F285,FinalPayment_NoReorg!$N$2:$N$331))</f>
        <v>57162</v>
      </c>
      <c r="I285" s="5">
        <f t="shared" si="34"/>
        <v>5716</v>
      </c>
      <c r="J285" s="5">
        <f t="shared" si="34"/>
        <v>5716</v>
      </c>
      <c r="K285" s="5">
        <f t="shared" si="34"/>
        <v>5716</v>
      </c>
      <c r="L285" s="5">
        <f t="shared" si="34"/>
        <v>5716</v>
      </c>
      <c r="M285" s="5">
        <f t="shared" si="35"/>
        <v>5716</v>
      </c>
      <c r="N285" s="5">
        <f t="shared" si="35"/>
        <v>5716</v>
      </c>
      <c r="O285" s="5">
        <f t="shared" si="35"/>
        <v>5716</v>
      </c>
      <c r="P285" s="5">
        <f t="shared" si="35"/>
        <v>5716</v>
      </c>
      <c r="Q285" s="5">
        <f t="shared" si="36"/>
        <v>5716</v>
      </c>
      <c r="R285" s="5">
        <f t="shared" si="37"/>
        <v>5718</v>
      </c>
      <c r="U285" s="8">
        <f t="shared" si="33"/>
        <v>0</v>
      </c>
      <c r="V285" s="8">
        <f>IFERROR(INDEX('Payment 1 through 9'!$A$1:$B$330,MATCH(CONCATENATE(FinalPayment!$F285,"0000"),'Payment 1 through 9'!$A$1:$A$330,0),2)*9,0)</f>
        <v>48285</v>
      </c>
      <c r="W285" s="8">
        <f>IFERROR(INDEX('FinalPayment 10'!$A$1:$B$330,MATCH(CONCATENATE(FinalPayment!$F285,"0000"),'FinalPayment 10'!$A$1:$A$330,0),2),0)</f>
        <v>5360</v>
      </c>
      <c r="X285" s="8">
        <f t="shared" si="38"/>
        <v>53645</v>
      </c>
      <c r="Y285" s="8">
        <f t="shared" si="39"/>
        <v>3517</v>
      </c>
    </row>
    <row r="286" spans="1:25" x14ac:dyDescent="0.55000000000000004">
      <c r="A286">
        <v>2021</v>
      </c>
      <c r="B286" t="s">
        <v>694</v>
      </c>
      <c r="C286" t="s">
        <v>386</v>
      </c>
      <c r="D286" t="s">
        <v>1207</v>
      </c>
      <c r="E286" t="s">
        <v>1207</v>
      </c>
      <c r="F286" t="s">
        <v>386</v>
      </c>
      <c r="G286" t="s">
        <v>288</v>
      </c>
      <c r="H286" s="5">
        <f>SUMPRODUCT(SUMIF(FinalPayment_NoReorg!$F$2:$F$331,FinalPayment!$D286:$F286,FinalPayment_NoReorg!$L$2:$L$331))+SUMPRODUCT(SUMIF(FinalPayment_NoReorg!$F$2:$F$331,FinalPayment!$D286:$F286,FinalPayment_NoReorg!$N$2:$N$331))</f>
        <v>67789</v>
      </c>
      <c r="I286" s="5">
        <f t="shared" si="34"/>
        <v>6779</v>
      </c>
      <c r="J286" s="5">
        <f t="shared" si="34"/>
        <v>6779</v>
      </c>
      <c r="K286" s="5">
        <f t="shared" si="34"/>
        <v>6779</v>
      </c>
      <c r="L286" s="5">
        <f t="shared" si="34"/>
        <v>6779</v>
      </c>
      <c r="M286" s="5">
        <f t="shared" si="35"/>
        <v>6779</v>
      </c>
      <c r="N286" s="5">
        <f t="shared" si="35"/>
        <v>6779</v>
      </c>
      <c r="O286" s="5">
        <f t="shared" si="35"/>
        <v>6779</v>
      </c>
      <c r="P286" s="5">
        <f t="shared" si="35"/>
        <v>6779</v>
      </c>
      <c r="Q286" s="5">
        <f t="shared" si="36"/>
        <v>6779</v>
      </c>
      <c r="R286" s="5">
        <f t="shared" si="37"/>
        <v>6778</v>
      </c>
      <c r="U286" s="8">
        <f t="shared" si="33"/>
        <v>0</v>
      </c>
      <c r="V286" s="8">
        <f>IFERROR(INDEX('Payment 1 through 9'!$A$1:$B$330,MATCH(CONCATENATE(FinalPayment!$F286,"0000"),'Payment 1 through 9'!$A$1:$A$330,0),2)*9,0)</f>
        <v>59724</v>
      </c>
      <c r="W286" s="8">
        <f>IFERROR(INDEX('FinalPayment 10'!$A$1:$B$330,MATCH(CONCATENATE(FinalPayment!$F286,"0000"),'FinalPayment 10'!$A$1:$A$330,0),2),0)</f>
        <v>6636</v>
      </c>
      <c r="X286" s="8">
        <f t="shared" si="38"/>
        <v>66360</v>
      </c>
      <c r="Y286" s="8">
        <f t="shared" si="39"/>
        <v>1429</v>
      </c>
    </row>
    <row r="287" spans="1:25" x14ac:dyDescent="0.55000000000000004">
      <c r="A287">
        <v>2021</v>
      </c>
      <c r="B287" t="s">
        <v>690</v>
      </c>
      <c r="C287" t="s">
        <v>385</v>
      </c>
      <c r="D287" t="s">
        <v>1207</v>
      </c>
      <c r="E287" t="s">
        <v>1207</v>
      </c>
      <c r="F287" t="s">
        <v>385</v>
      </c>
      <c r="G287" t="s">
        <v>289</v>
      </c>
      <c r="H287" s="5">
        <f>SUMPRODUCT(SUMIF(FinalPayment_NoReorg!$F$2:$F$331,FinalPayment!$D287:$F287,FinalPayment_NoReorg!$L$2:$L$331))+SUMPRODUCT(SUMIF(FinalPayment_NoReorg!$F$2:$F$331,FinalPayment!$D287:$F287,FinalPayment_NoReorg!$N$2:$N$331))</f>
        <v>93620</v>
      </c>
      <c r="I287" s="5">
        <f t="shared" si="34"/>
        <v>9362</v>
      </c>
      <c r="J287" s="5">
        <f t="shared" si="34"/>
        <v>9362</v>
      </c>
      <c r="K287" s="5">
        <f t="shared" si="34"/>
        <v>9362</v>
      </c>
      <c r="L287" s="5">
        <f t="shared" si="34"/>
        <v>9362</v>
      </c>
      <c r="M287" s="5">
        <f t="shared" si="35"/>
        <v>9362</v>
      </c>
      <c r="N287" s="5">
        <f t="shared" si="35"/>
        <v>9362</v>
      </c>
      <c r="O287" s="5">
        <f t="shared" si="35"/>
        <v>9362</v>
      </c>
      <c r="P287" s="5">
        <f t="shared" si="35"/>
        <v>9362</v>
      </c>
      <c r="Q287" s="5">
        <f t="shared" si="36"/>
        <v>9362</v>
      </c>
      <c r="R287" s="5">
        <f t="shared" si="37"/>
        <v>9362</v>
      </c>
      <c r="U287" s="8">
        <f t="shared" si="33"/>
        <v>0</v>
      </c>
      <c r="V287" s="8">
        <f>IFERROR(INDEX('Payment 1 through 9'!$A$1:$B$330,MATCH(CONCATENATE(FinalPayment!$F287,"0000"),'Payment 1 through 9'!$A$1:$A$330,0),2)*9,0)</f>
        <v>77409</v>
      </c>
      <c r="W287" s="8">
        <f>IFERROR(INDEX('FinalPayment 10'!$A$1:$B$330,MATCH(CONCATENATE(FinalPayment!$F287,"0000"),'FinalPayment 10'!$A$1:$A$330,0),2),0)</f>
        <v>8602</v>
      </c>
      <c r="X287" s="8">
        <f t="shared" si="38"/>
        <v>86011</v>
      </c>
      <c r="Y287" s="8">
        <f t="shared" si="39"/>
        <v>7609</v>
      </c>
    </row>
    <row r="288" spans="1:25" x14ac:dyDescent="0.55000000000000004">
      <c r="A288">
        <v>2021</v>
      </c>
      <c r="B288" t="s">
        <v>689</v>
      </c>
      <c r="C288" t="s">
        <v>982</v>
      </c>
      <c r="D288" t="s">
        <v>1207</v>
      </c>
      <c r="E288" t="s">
        <v>1207</v>
      </c>
      <c r="F288" t="s">
        <v>384</v>
      </c>
      <c r="G288" t="s">
        <v>290</v>
      </c>
      <c r="H288" s="5">
        <f>SUMPRODUCT(SUMIF(FinalPayment_NoReorg!$F$2:$F$331,FinalPayment!$D288:$F288,FinalPayment_NoReorg!$L$2:$L$331))+SUMPRODUCT(SUMIF(FinalPayment_NoReorg!$F$2:$F$331,FinalPayment!$D288:$F288,FinalPayment_NoReorg!$N$2:$N$331))</f>
        <v>83876</v>
      </c>
      <c r="I288" s="5">
        <f t="shared" si="34"/>
        <v>8388</v>
      </c>
      <c r="J288" s="5">
        <f t="shared" si="34"/>
        <v>8388</v>
      </c>
      <c r="K288" s="5">
        <f t="shared" si="34"/>
        <v>8388</v>
      </c>
      <c r="L288" s="5">
        <f t="shared" si="34"/>
        <v>8388</v>
      </c>
      <c r="M288" s="5">
        <f t="shared" si="35"/>
        <v>8388</v>
      </c>
      <c r="N288" s="5">
        <f t="shared" si="35"/>
        <v>8388</v>
      </c>
      <c r="O288" s="5">
        <f t="shared" si="35"/>
        <v>8388</v>
      </c>
      <c r="P288" s="5">
        <f t="shared" si="35"/>
        <v>8388</v>
      </c>
      <c r="Q288" s="5">
        <f t="shared" si="36"/>
        <v>8388</v>
      </c>
      <c r="R288" s="5">
        <f t="shared" si="37"/>
        <v>8384</v>
      </c>
      <c r="U288" s="8">
        <f t="shared" si="33"/>
        <v>0</v>
      </c>
      <c r="V288" s="8">
        <f>IFERROR(INDEX('Payment 1 through 9'!$A$1:$B$330,MATCH(CONCATENATE(FinalPayment!$F288,"0000"),'Payment 1 through 9'!$A$1:$A$330,0),2)*9,0)</f>
        <v>65448</v>
      </c>
      <c r="W288" s="8">
        <f>IFERROR(INDEX('FinalPayment 10'!$A$1:$B$330,MATCH(CONCATENATE(FinalPayment!$F288,"0000"),'FinalPayment 10'!$A$1:$A$330,0),2),0)</f>
        <v>7270</v>
      </c>
      <c r="X288" s="8">
        <f t="shared" si="38"/>
        <v>72718</v>
      </c>
      <c r="Y288" s="8">
        <f t="shared" si="39"/>
        <v>11158</v>
      </c>
    </row>
    <row r="289" spans="1:25" x14ac:dyDescent="0.55000000000000004">
      <c r="A289">
        <v>2021</v>
      </c>
      <c r="B289" t="s">
        <v>686</v>
      </c>
      <c r="C289" t="s">
        <v>383</v>
      </c>
      <c r="D289" t="s">
        <v>1207</v>
      </c>
      <c r="E289" t="s">
        <v>1207</v>
      </c>
      <c r="F289" t="s">
        <v>383</v>
      </c>
      <c r="G289" t="s">
        <v>291</v>
      </c>
      <c r="H289" s="5">
        <f>SUMPRODUCT(SUMIF(FinalPayment_NoReorg!$F$2:$F$331,FinalPayment!$D289:$F289,FinalPayment_NoReorg!$L$2:$L$331))+SUMPRODUCT(SUMIF(FinalPayment_NoReorg!$F$2:$F$331,FinalPayment!$D289:$F289,FinalPayment_NoReorg!$N$2:$N$331))</f>
        <v>81174</v>
      </c>
      <c r="I289" s="5">
        <f t="shared" si="34"/>
        <v>8117</v>
      </c>
      <c r="J289" s="5">
        <f t="shared" si="34"/>
        <v>8117</v>
      </c>
      <c r="K289" s="5">
        <f t="shared" si="34"/>
        <v>8117</v>
      </c>
      <c r="L289" s="5">
        <f t="shared" si="34"/>
        <v>8117</v>
      </c>
      <c r="M289" s="5">
        <f t="shared" si="35"/>
        <v>8117</v>
      </c>
      <c r="N289" s="5">
        <f t="shared" si="35"/>
        <v>8117</v>
      </c>
      <c r="O289" s="5">
        <f t="shared" si="35"/>
        <v>8117</v>
      </c>
      <c r="P289" s="5">
        <f t="shared" si="35"/>
        <v>8117</v>
      </c>
      <c r="Q289" s="5">
        <f t="shared" si="36"/>
        <v>8117</v>
      </c>
      <c r="R289" s="5">
        <f t="shared" si="37"/>
        <v>8121</v>
      </c>
      <c r="U289" s="8">
        <f t="shared" si="33"/>
        <v>0</v>
      </c>
      <c r="V289" s="8">
        <f>IFERROR(INDEX('Payment 1 through 9'!$A$1:$B$330,MATCH(CONCATENATE(FinalPayment!$F289,"0000"),'Payment 1 through 9'!$A$1:$A$330,0),2)*9,0)</f>
        <v>69309</v>
      </c>
      <c r="W289" s="8">
        <f>IFERROR(INDEX('FinalPayment 10'!$A$1:$B$330,MATCH(CONCATENATE(FinalPayment!$F289,"0000"),'FinalPayment 10'!$A$1:$A$330,0),2),0)</f>
        <v>7702</v>
      </c>
      <c r="X289" s="8">
        <f t="shared" si="38"/>
        <v>77011</v>
      </c>
      <c r="Y289" s="8">
        <f t="shared" si="39"/>
        <v>4163</v>
      </c>
    </row>
    <row r="290" spans="1:25" x14ac:dyDescent="0.55000000000000004">
      <c r="A290">
        <v>2021</v>
      </c>
      <c r="B290" t="s">
        <v>686</v>
      </c>
      <c r="C290" t="s">
        <v>382</v>
      </c>
      <c r="D290" t="s">
        <v>1207</v>
      </c>
      <c r="E290" t="s">
        <v>1207</v>
      </c>
      <c r="F290" t="s">
        <v>382</v>
      </c>
      <c r="G290" t="s">
        <v>292</v>
      </c>
      <c r="H290" s="5">
        <f>SUMPRODUCT(SUMIF(FinalPayment_NoReorg!$F$2:$F$331,FinalPayment!$D290:$F290,FinalPayment_NoReorg!$L$2:$L$331))+SUMPRODUCT(SUMIF(FinalPayment_NoReorg!$F$2:$F$331,FinalPayment!$D290:$F290,FinalPayment_NoReorg!$N$2:$N$331))</f>
        <v>2761</v>
      </c>
      <c r="I290" s="5">
        <f t="shared" si="34"/>
        <v>276</v>
      </c>
      <c r="J290" s="5">
        <f t="shared" si="34"/>
        <v>276</v>
      </c>
      <c r="K290" s="5">
        <f t="shared" si="34"/>
        <v>276</v>
      </c>
      <c r="L290" s="5">
        <f t="shared" si="34"/>
        <v>276</v>
      </c>
      <c r="M290" s="5">
        <f t="shared" si="35"/>
        <v>276</v>
      </c>
      <c r="N290" s="5">
        <f t="shared" si="35"/>
        <v>276</v>
      </c>
      <c r="O290" s="5">
        <f t="shared" si="35"/>
        <v>276</v>
      </c>
      <c r="P290" s="5">
        <f t="shared" si="35"/>
        <v>276</v>
      </c>
      <c r="Q290" s="5">
        <f t="shared" si="36"/>
        <v>276</v>
      </c>
      <c r="R290" s="5">
        <f t="shared" si="37"/>
        <v>277</v>
      </c>
      <c r="U290" s="8">
        <f t="shared" si="33"/>
        <v>0</v>
      </c>
      <c r="V290" s="8">
        <f>IFERROR(INDEX('Payment 1 through 9'!$A$1:$B$330,MATCH(CONCATENATE(FinalPayment!$F290,"0000"),'Payment 1 through 9'!$A$1:$A$330,0),2)*9,0)</f>
        <v>0</v>
      </c>
      <c r="W290" s="8">
        <f>IFERROR(INDEX('FinalPayment 10'!$A$1:$B$330,MATCH(CONCATENATE(FinalPayment!$F290,"0000"),'FinalPayment 10'!$A$1:$A$330,0),2),0)</f>
        <v>0</v>
      </c>
      <c r="X290" s="8">
        <f t="shared" si="38"/>
        <v>0</v>
      </c>
      <c r="Y290" s="8">
        <f t="shared" si="39"/>
        <v>2761</v>
      </c>
    </row>
    <row r="291" spans="1:25" x14ac:dyDescent="0.55000000000000004">
      <c r="A291">
        <v>2021</v>
      </c>
      <c r="B291" t="s">
        <v>696</v>
      </c>
      <c r="C291" t="s">
        <v>380</v>
      </c>
      <c r="D291" t="s">
        <v>542</v>
      </c>
      <c r="E291" t="s">
        <v>1207</v>
      </c>
      <c r="F291" t="s">
        <v>380</v>
      </c>
      <c r="G291" t="s">
        <v>1234</v>
      </c>
      <c r="H291" s="5">
        <f>SUMPRODUCT(SUMIF(FinalPayment_NoReorg!$F$2:$F$331,FinalPayment!$D291:$F291,FinalPayment_NoReorg!$L$2:$L$331))+SUMPRODUCT(SUMIF(FinalPayment_NoReorg!$F$2:$F$331,FinalPayment!$D291:$F291,FinalPayment_NoReorg!$N$2:$N$331))</f>
        <v>565906</v>
      </c>
      <c r="I291" s="5">
        <f t="shared" si="34"/>
        <v>56591</v>
      </c>
      <c r="J291" s="5">
        <f t="shared" si="34"/>
        <v>56591</v>
      </c>
      <c r="K291" s="5">
        <f t="shared" si="34"/>
        <v>56591</v>
      </c>
      <c r="L291" s="5">
        <f t="shared" si="34"/>
        <v>56591</v>
      </c>
      <c r="M291" s="5">
        <f t="shared" si="35"/>
        <v>56591</v>
      </c>
      <c r="N291" s="5">
        <f t="shared" si="35"/>
        <v>56591</v>
      </c>
      <c r="O291" s="5">
        <f t="shared" si="35"/>
        <v>56591</v>
      </c>
      <c r="P291" s="5">
        <f t="shared" si="35"/>
        <v>56591</v>
      </c>
      <c r="Q291" s="5">
        <f t="shared" si="36"/>
        <v>56591</v>
      </c>
      <c r="R291" s="5">
        <f t="shared" si="37"/>
        <v>56587</v>
      </c>
      <c r="U291" s="8">
        <f t="shared" si="33"/>
        <v>0</v>
      </c>
      <c r="V291" s="8">
        <f>IFERROR(INDEX('Payment 1 through 9'!$A$1:$B$330,MATCH(CONCATENATE(FinalPayment!$F291,"0000"),'Payment 1 through 9'!$A$1:$A$330,0),2)*9,0)</f>
        <v>499797</v>
      </c>
      <c r="W291" s="8">
        <f>IFERROR(INDEX('FinalPayment 10'!$A$1:$B$330,MATCH(CONCATENATE(FinalPayment!$F291,"0000"),'FinalPayment 10'!$A$1:$A$330,0),2),0)</f>
        <v>55536</v>
      </c>
      <c r="X291" s="8">
        <f t="shared" si="38"/>
        <v>555333</v>
      </c>
      <c r="Y291" s="8">
        <f t="shared" si="39"/>
        <v>10573</v>
      </c>
    </row>
    <row r="292" spans="1:25" x14ac:dyDescent="0.55000000000000004">
      <c r="A292">
        <v>2021</v>
      </c>
      <c r="B292" t="s">
        <v>686</v>
      </c>
      <c r="C292" t="s">
        <v>379</v>
      </c>
      <c r="D292" t="s">
        <v>1207</v>
      </c>
      <c r="E292" t="s">
        <v>1207</v>
      </c>
      <c r="F292" t="s">
        <v>379</v>
      </c>
      <c r="G292" t="s">
        <v>295</v>
      </c>
      <c r="H292" s="5">
        <f>SUMPRODUCT(SUMIF(FinalPayment_NoReorg!$F$2:$F$331,FinalPayment!$D292:$F292,FinalPayment_NoReorg!$L$2:$L$331))+SUMPRODUCT(SUMIF(FinalPayment_NoReorg!$F$2:$F$331,FinalPayment!$D292:$F292,FinalPayment_NoReorg!$N$2:$N$331))</f>
        <v>593</v>
      </c>
      <c r="I292" s="5">
        <f t="shared" si="34"/>
        <v>59</v>
      </c>
      <c r="J292" s="5">
        <f t="shared" si="34"/>
        <v>59</v>
      </c>
      <c r="K292" s="5">
        <f t="shared" si="34"/>
        <v>59</v>
      </c>
      <c r="L292" s="5">
        <f t="shared" si="34"/>
        <v>59</v>
      </c>
      <c r="M292" s="5">
        <f t="shared" si="35"/>
        <v>59</v>
      </c>
      <c r="N292" s="5">
        <f t="shared" si="35"/>
        <v>59</v>
      </c>
      <c r="O292" s="5">
        <f t="shared" si="35"/>
        <v>59</v>
      </c>
      <c r="P292" s="5">
        <f t="shared" si="35"/>
        <v>59</v>
      </c>
      <c r="Q292" s="5">
        <f t="shared" si="36"/>
        <v>59</v>
      </c>
      <c r="R292" s="5">
        <f t="shared" si="37"/>
        <v>62</v>
      </c>
      <c r="U292" s="8">
        <f t="shared" si="33"/>
        <v>0</v>
      </c>
      <c r="V292" s="8">
        <f>IFERROR(INDEX('Payment 1 through 9'!$A$1:$B$330,MATCH(CONCATENATE(FinalPayment!$F292,"0000"),'Payment 1 through 9'!$A$1:$A$330,0),2)*9,0)</f>
        <v>0</v>
      </c>
      <c r="W292" s="8">
        <f>IFERROR(INDEX('FinalPayment 10'!$A$1:$B$330,MATCH(CONCATENATE(FinalPayment!$F292,"0000"),'FinalPayment 10'!$A$1:$A$330,0),2),0)</f>
        <v>0</v>
      </c>
      <c r="X292" s="8">
        <f t="shared" si="38"/>
        <v>0</v>
      </c>
      <c r="Y292" s="8">
        <f t="shared" si="39"/>
        <v>593</v>
      </c>
    </row>
    <row r="293" spans="1:25" x14ac:dyDescent="0.55000000000000004">
      <c r="A293">
        <v>2021</v>
      </c>
      <c r="B293" t="s">
        <v>690</v>
      </c>
      <c r="C293" t="s">
        <v>378</v>
      </c>
      <c r="D293" t="s">
        <v>1207</v>
      </c>
      <c r="E293" t="s">
        <v>1207</v>
      </c>
      <c r="F293" t="s">
        <v>378</v>
      </c>
      <c r="G293" t="s">
        <v>296</v>
      </c>
      <c r="H293" s="5">
        <f>SUMPRODUCT(SUMIF(FinalPayment_NoReorg!$F$2:$F$331,FinalPayment!$D293:$F293,FinalPayment_NoReorg!$L$2:$L$331))+SUMPRODUCT(SUMIF(FinalPayment_NoReorg!$F$2:$F$331,FinalPayment!$D293:$F293,FinalPayment_NoReorg!$N$2:$N$331))</f>
        <v>163189</v>
      </c>
      <c r="I293" s="5">
        <f t="shared" si="34"/>
        <v>16319</v>
      </c>
      <c r="J293" s="5">
        <f t="shared" si="34"/>
        <v>16319</v>
      </c>
      <c r="K293" s="5">
        <f t="shared" si="34"/>
        <v>16319</v>
      </c>
      <c r="L293" s="5">
        <f t="shared" si="34"/>
        <v>16319</v>
      </c>
      <c r="M293" s="5">
        <f t="shared" si="35"/>
        <v>16319</v>
      </c>
      <c r="N293" s="5">
        <f t="shared" si="35"/>
        <v>16319</v>
      </c>
      <c r="O293" s="5">
        <f t="shared" si="35"/>
        <v>16319</v>
      </c>
      <c r="P293" s="5">
        <f t="shared" si="35"/>
        <v>16319</v>
      </c>
      <c r="Q293" s="5">
        <f t="shared" si="36"/>
        <v>16319</v>
      </c>
      <c r="R293" s="5">
        <f t="shared" si="37"/>
        <v>16318</v>
      </c>
      <c r="U293" s="8">
        <f t="shared" si="33"/>
        <v>0</v>
      </c>
      <c r="V293" s="8">
        <f>IFERROR(INDEX('Payment 1 through 9'!$A$1:$B$330,MATCH(CONCATENATE(FinalPayment!$F293,"0000"),'Payment 1 through 9'!$A$1:$A$330,0),2)*9,0)</f>
        <v>143982</v>
      </c>
      <c r="W293" s="8">
        <f>IFERROR(INDEX('FinalPayment 10'!$A$1:$B$330,MATCH(CONCATENATE(FinalPayment!$F293,"0000"),'FinalPayment 10'!$A$1:$A$330,0),2),0)</f>
        <v>16001</v>
      </c>
      <c r="X293" s="8">
        <f t="shared" si="38"/>
        <v>159983</v>
      </c>
      <c r="Y293" s="8">
        <f t="shared" si="39"/>
        <v>3206</v>
      </c>
    </row>
    <row r="294" spans="1:25" x14ac:dyDescent="0.55000000000000004">
      <c r="A294">
        <v>2021</v>
      </c>
      <c r="B294" t="s">
        <v>698</v>
      </c>
      <c r="C294" t="s">
        <v>377</v>
      </c>
      <c r="D294" t="s">
        <v>1207</v>
      </c>
      <c r="E294" t="s">
        <v>1207</v>
      </c>
      <c r="F294" t="s">
        <v>377</v>
      </c>
      <c r="G294" t="s">
        <v>297</v>
      </c>
      <c r="H294" s="5">
        <f>SUMPRODUCT(SUMIF(FinalPayment_NoReorg!$F$2:$F$331,FinalPayment!$D294:$F294,FinalPayment_NoReorg!$L$2:$L$331))+SUMPRODUCT(SUMIF(FinalPayment_NoReorg!$F$2:$F$331,FinalPayment!$D294:$F294,FinalPayment_NoReorg!$N$2:$N$331))</f>
        <v>1232</v>
      </c>
      <c r="I294" s="5">
        <f t="shared" si="34"/>
        <v>123</v>
      </c>
      <c r="J294" s="5">
        <f t="shared" si="34"/>
        <v>123</v>
      </c>
      <c r="K294" s="5">
        <f t="shared" si="34"/>
        <v>123</v>
      </c>
      <c r="L294" s="5">
        <f t="shared" si="34"/>
        <v>123</v>
      </c>
      <c r="M294" s="5">
        <f t="shared" si="35"/>
        <v>123</v>
      </c>
      <c r="N294" s="5">
        <f t="shared" si="35"/>
        <v>123</v>
      </c>
      <c r="O294" s="5">
        <f t="shared" si="35"/>
        <v>123</v>
      </c>
      <c r="P294" s="5">
        <f t="shared" si="35"/>
        <v>123</v>
      </c>
      <c r="Q294" s="5">
        <f t="shared" si="36"/>
        <v>123</v>
      </c>
      <c r="R294" s="5">
        <f t="shared" si="37"/>
        <v>125</v>
      </c>
      <c r="U294" s="8">
        <f t="shared" si="33"/>
        <v>0</v>
      </c>
      <c r="V294" s="8">
        <f>IFERROR(INDEX('Payment 1 through 9'!$A$1:$B$330,MATCH(CONCATENATE(FinalPayment!$F294,"0000"),'Payment 1 through 9'!$A$1:$A$330,0),2)*9,0)</f>
        <v>0</v>
      </c>
      <c r="W294" s="8">
        <f>IFERROR(INDEX('FinalPayment 10'!$A$1:$B$330,MATCH(CONCATENATE(FinalPayment!$F294,"0000"),'FinalPayment 10'!$A$1:$A$330,0),2),0)</f>
        <v>0</v>
      </c>
      <c r="X294" s="8">
        <f t="shared" si="38"/>
        <v>0</v>
      </c>
      <c r="Y294" s="8">
        <f t="shared" si="39"/>
        <v>1232</v>
      </c>
    </row>
    <row r="295" spans="1:25" x14ac:dyDescent="0.55000000000000004">
      <c r="A295">
        <v>2021</v>
      </c>
      <c r="B295" t="s">
        <v>696</v>
      </c>
      <c r="C295" t="s">
        <v>376</v>
      </c>
      <c r="D295" t="s">
        <v>1207</v>
      </c>
      <c r="E295" t="s">
        <v>1207</v>
      </c>
      <c r="F295" t="s">
        <v>376</v>
      </c>
      <c r="G295" t="s">
        <v>298</v>
      </c>
      <c r="H295" s="5">
        <f>SUMPRODUCT(SUMIF(FinalPayment_NoReorg!$F$2:$F$331,FinalPayment!$D295:$F295,FinalPayment_NoReorg!$L$2:$L$331))+SUMPRODUCT(SUMIF(FinalPayment_NoReorg!$F$2:$F$331,FinalPayment!$D295:$F295,FinalPayment_NoReorg!$N$2:$N$331))</f>
        <v>395</v>
      </c>
      <c r="I295" s="5">
        <f t="shared" si="34"/>
        <v>40</v>
      </c>
      <c r="J295" s="5">
        <f t="shared" si="34"/>
        <v>40</v>
      </c>
      <c r="K295" s="5">
        <f t="shared" si="34"/>
        <v>40</v>
      </c>
      <c r="L295" s="5">
        <f t="shared" si="34"/>
        <v>40</v>
      </c>
      <c r="M295" s="5">
        <f t="shared" si="35"/>
        <v>40</v>
      </c>
      <c r="N295" s="5">
        <f t="shared" si="35"/>
        <v>40</v>
      </c>
      <c r="O295" s="5">
        <f t="shared" si="35"/>
        <v>40</v>
      </c>
      <c r="P295" s="5">
        <f t="shared" si="35"/>
        <v>40</v>
      </c>
      <c r="Q295" s="5">
        <f t="shared" si="36"/>
        <v>40</v>
      </c>
      <c r="R295" s="5">
        <f t="shared" si="37"/>
        <v>35</v>
      </c>
      <c r="U295" s="8">
        <f t="shared" si="33"/>
        <v>0</v>
      </c>
      <c r="V295" s="8">
        <f>IFERROR(INDEX('Payment 1 through 9'!$A$1:$B$330,MATCH(CONCATENATE(FinalPayment!$F295,"0000"),'Payment 1 through 9'!$A$1:$A$330,0),2)*9,0)</f>
        <v>0</v>
      </c>
      <c r="W295" s="8">
        <f>IFERROR(INDEX('FinalPayment 10'!$A$1:$B$330,MATCH(CONCATENATE(FinalPayment!$F295,"0000"),'FinalPayment 10'!$A$1:$A$330,0),2),0)</f>
        <v>0</v>
      </c>
      <c r="X295" s="8">
        <f t="shared" si="38"/>
        <v>0</v>
      </c>
      <c r="Y295" s="8">
        <f t="shared" si="39"/>
        <v>395</v>
      </c>
    </row>
    <row r="296" spans="1:25" x14ac:dyDescent="0.55000000000000004">
      <c r="A296">
        <v>2021</v>
      </c>
      <c r="B296" t="s">
        <v>696</v>
      </c>
      <c r="C296" t="s">
        <v>374</v>
      </c>
      <c r="D296" t="s">
        <v>1207</v>
      </c>
      <c r="E296" t="s">
        <v>1207</v>
      </c>
      <c r="F296" t="s">
        <v>374</v>
      </c>
      <c r="G296" t="s">
        <v>299</v>
      </c>
      <c r="H296" s="5">
        <f>SUMPRODUCT(SUMIF(FinalPayment_NoReorg!$F$2:$F$331,FinalPayment!$D296:$F296,FinalPayment_NoReorg!$L$2:$L$331))+SUMPRODUCT(SUMIF(FinalPayment_NoReorg!$F$2:$F$331,FinalPayment!$D296:$F296,FinalPayment_NoReorg!$N$2:$N$331))</f>
        <v>507</v>
      </c>
      <c r="I296" s="5">
        <f t="shared" si="34"/>
        <v>51</v>
      </c>
      <c r="J296" s="5">
        <f t="shared" si="34"/>
        <v>51</v>
      </c>
      <c r="K296" s="5">
        <f t="shared" si="34"/>
        <v>51</v>
      </c>
      <c r="L296" s="5">
        <f t="shared" si="34"/>
        <v>51</v>
      </c>
      <c r="M296" s="5">
        <f t="shared" si="35"/>
        <v>51</v>
      </c>
      <c r="N296" s="5">
        <f t="shared" si="35"/>
        <v>51</v>
      </c>
      <c r="O296" s="5">
        <f t="shared" si="35"/>
        <v>51</v>
      </c>
      <c r="P296" s="5">
        <f t="shared" si="35"/>
        <v>51</v>
      </c>
      <c r="Q296" s="5">
        <f t="shared" si="36"/>
        <v>51</v>
      </c>
      <c r="R296" s="5">
        <f t="shared" si="37"/>
        <v>48</v>
      </c>
      <c r="U296" s="8">
        <f t="shared" si="33"/>
        <v>0</v>
      </c>
      <c r="V296" s="8">
        <f>IFERROR(INDEX('Payment 1 through 9'!$A$1:$B$330,MATCH(CONCATENATE(FinalPayment!$F296,"0000"),'Payment 1 through 9'!$A$1:$A$330,0),2)*9,0)</f>
        <v>0</v>
      </c>
      <c r="W296" s="8">
        <f>IFERROR(INDEX('FinalPayment 10'!$A$1:$B$330,MATCH(CONCATENATE(FinalPayment!$F296,"0000"),'FinalPayment 10'!$A$1:$A$330,0),2),0)</f>
        <v>0</v>
      </c>
      <c r="X296" s="8">
        <f t="shared" si="38"/>
        <v>0</v>
      </c>
      <c r="Y296" s="8">
        <f t="shared" si="39"/>
        <v>507</v>
      </c>
    </row>
    <row r="297" spans="1:25" x14ac:dyDescent="0.55000000000000004">
      <c r="A297">
        <v>2021</v>
      </c>
      <c r="B297" t="s">
        <v>689</v>
      </c>
      <c r="C297" t="s">
        <v>373</v>
      </c>
      <c r="D297" t="s">
        <v>1207</v>
      </c>
      <c r="E297" t="s">
        <v>1207</v>
      </c>
      <c r="F297" t="s">
        <v>373</v>
      </c>
      <c r="G297" t="s">
        <v>300</v>
      </c>
      <c r="H297" s="5">
        <f>SUMPRODUCT(SUMIF(FinalPayment_NoReorg!$F$2:$F$331,FinalPayment!$D297:$F297,FinalPayment_NoReorg!$L$2:$L$331))+SUMPRODUCT(SUMIF(FinalPayment_NoReorg!$F$2:$F$331,FinalPayment!$D297:$F297,FinalPayment_NoReorg!$N$2:$N$331))</f>
        <v>555</v>
      </c>
      <c r="I297" s="5">
        <f t="shared" si="34"/>
        <v>56</v>
      </c>
      <c r="J297" s="5">
        <f t="shared" si="34"/>
        <v>56</v>
      </c>
      <c r="K297" s="5">
        <f t="shared" si="34"/>
        <v>56</v>
      </c>
      <c r="L297" s="5">
        <f t="shared" si="34"/>
        <v>56</v>
      </c>
      <c r="M297" s="5">
        <f t="shared" si="35"/>
        <v>56</v>
      </c>
      <c r="N297" s="5">
        <f t="shared" si="35"/>
        <v>56</v>
      </c>
      <c r="O297" s="5">
        <f t="shared" si="35"/>
        <v>56</v>
      </c>
      <c r="P297" s="5">
        <f t="shared" si="35"/>
        <v>56</v>
      </c>
      <c r="Q297" s="5">
        <f t="shared" si="36"/>
        <v>56</v>
      </c>
      <c r="R297" s="5">
        <f t="shared" si="37"/>
        <v>51</v>
      </c>
      <c r="U297" s="8">
        <f t="shared" si="33"/>
        <v>0</v>
      </c>
      <c r="V297" s="8">
        <f>IFERROR(INDEX('Payment 1 through 9'!$A$1:$B$330,MATCH(CONCATENATE(FinalPayment!$F297,"0000"),'Payment 1 through 9'!$A$1:$A$330,0),2)*9,0)</f>
        <v>0</v>
      </c>
      <c r="W297" s="8">
        <f>IFERROR(INDEX('FinalPayment 10'!$A$1:$B$330,MATCH(CONCATENATE(FinalPayment!$F297,"0000"),'FinalPayment 10'!$A$1:$A$330,0),2),0)</f>
        <v>0</v>
      </c>
      <c r="X297" s="8">
        <f t="shared" si="38"/>
        <v>0</v>
      </c>
      <c r="Y297" s="8">
        <f t="shared" si="39"/>
        <v>555</v>
      </c>
    </row>
    <row r="298" spans="1:25" x14ac:dyDescent="0.55000000000000004">
      <c r="A298">
        <v>2021</v>
      </c>
      <c r="B298" t="s">
        <v>698</v>
      </c>
      <c r="C298" t="s">
        <v>372</v>
      </c>
      <c r="D298" t="s">
        <v>1207</v>
      </c>
      <c r="E298" t="s">
        <v>1207</v>
      </c>
      <c r="F298" t="s">
        <v>372</v>
      </c>
      <c r="G298" t="s">
        <v>301</v>
      </c>
      <c r="H298" s="5">
        <f>SUMPRODUCT(SUMIF(FinalPayment_NoReorg!$F$2:$F$331,FinalPayment!$D298:$F298,FinalPayment_NoReorg!$L$2:$L$331))+SUMPRODUCT(SUMIF(FinalPayment_NoReorg!$F$2:$F$331,FinalPayment!$D298:$F298,FinalPayment_NoReorg!$N$2:$N$331))</f>
        <v>1403</v>
      </c>
      <c r="I298" s="5">
        <f t="shared" si="34"/>
        <v>140</v>
      </c>
      <c r="J298" s="5">
        <f t="shared" si="34"/>
        <v>140</v>
      </c>
      <c r="K298" s="5">
        <f t="shared" si="34"/>
        <v>140</v>
      </c>
      <c r="L298" s="5">
        <f t="shared" si="34"/>
        <v>140</v>
      </c>
      <c r="M298" s="5">
        <f t="shared" si="35"/>
        <v>140</v>
      </c>
      <c r="N298" s="5">
        <f t="shared" si="35"/>
        <v>140</v>
      </c>
      <c r="O298" s="5">
        <f t="shared" si="35"/>
        <v>140</v>
      </c>
      <c r="P298" s="5">
        <f t="shared" si="35"/>
        <v>140</v>
      </c>
      <c r="Q298" s="5">
        <f t="shared" si="36"/>
        <v>140</v>
      </c>
      <c r="R298" s="5">
        <f t="shared" si="37"/>
        <v>143</v>
      </c>
      <c r="U298" s="8">
        <f t="shared" si="33"/>
        <v>0</v>
      </c>
      <c r="V298" s="8">
        <f>IFERROR(INDEX('Payment 1 through 9'!$A$1:$B$330,MATCH(CONCATENATE(FinalPayment!$F298,"0000"),'Payment 1 through 9'!$A$1:$A$330,0),2)*9,0)</f>
        <v>0</v>
      </c>
      <c r="W298" s="8">
        <f>IFERROR(INDEX('FinalPayment 10'!$A$1:$B$330,MATCH(CONCATENATE(FinalPayment!$F298,"0000"),'FinalPayment 10'!$A$1:$A$330,0),2),0)</f>
        <v>0</v>
      </c>
      <c r="X298" s="8">
        <f t="shared" si="38"/>
        <v>0</v>
      </c>
      <c r="Y298" s="8">
        <f t="shared" si="39"/>
        <v>1403</v>
      </c>
    </row>
    <row r="299" spans="1:25" x14ac:dyDescent="0.55000000000000004">
      <c r="A299">
        <v>2021</v>
      </c>
      <c r="B299" t="s">
        <v>689</v>
      </c>
      <c r="C299" t="s">
        <v>371</v>
      </c>
      <c r="D299" t="s">
        <v>1207</v>
      </c>
      <c r="E299" t="s">
        <v>1207</v>
      </c>
      <c r="F299" t="s">
        <v>371</v>
      </c>
      <c r="G299" t="s">
        <v>302</v>
      </c>
      <c r="H299" s="5">
        <f>SUMPRODUCT(SUMIF(FinalPayment_NoReorg!$F$2:$F$331,FinalPayment!$D299:$F299,FinalPayment_NoReorg!$L$2:$L$331))+SUMPRODUCT(SUMIF(FinalPayment_NoReorg!$F$2:$F$331,FinalPayment!$D299:$F299,FinalPayment_NoReorg!$N$2:$N$331))</f>
        <v>534736</v>
      </c>
      <c r="I299" s="5">
        <f t="shared" si="34"/>
        <v>53474</v>
      </c>
      <c r="J299" s="5">
        <f t="shared" si="34"/>
        <v>53474</v>
      </c>
      <c r="K299" s="5">
        <f t="shared" si="34"/>
        <v>53474</v>
      </c>
      <c r="L299" s="5">
        <f t="shared" si="34"/>
        <v>53474</v>
      </c>
      <c r="M299" s="5">
        <f t="shared" si="35"/>
        <v>53474</v>
      </c>
      <c r="N299" s="5">
        <f t="shared" si="35"/>
        <v>53474</v>
      </c>
      <c r="O299" s="5">
        <f t="shared" si="35"/>
        <v>53474</v>
      </c>
      <c r="P299" s="5">
        <f t="shared" si="35"/>
        <v>53474</v>
      </c>
      <c r="Q299" s="5">
        <f t="shared" si="36"/>
        <v>53474</v>
      </c>
      <c r="R299" s="5">
        <f t="shared" si="37"/>
        <v>53470</v>
      </c>
      <c r="U299" s="8">
        <f t="shared" si="33"/>
        <v>0</v>
      </c>
      <c r="V299" s="8">
        <f>IFERROR(INDEX('Payment 1 through 9'!$A$1:$B$330,MATCH(CONCATENATE(FinalPayment!$F299,"0000"),'Payment 1 through 9'!$A$1:$A$330,0),2)*9,0)</f>
        <v>378666</v>
      </c>
      <c r="W299" s="8">
        <f>IFERROR(INDEX('FinalPayment 10'!$A$1:$B$330,MATCH(CONCATENATE(FinalPayment!$F299,"0000"),'FinalPayment 10'!$A$1:$A$330,0),2),0)</f>
        <v>42074</v>
      </c>
      <c r="X299" s="8">
        <f t="shared" si="38"/>
        <v>420740</v>
      </c>
      <c r="Y299" s="8">
        <f t="shared" si="39"/>
        <v>113996</v>
      </c>
    </row>
    <row r="300" spans="1:25" x14ac:dyDescent="0.55000000000000004">
      <c r="A300">
        <v>2021</v>
      </c>
      <c r="B300" t="s">
        <v>686</v>
      </c>
      <c r="C300" t="s">
        <v>370</v>
      </c>
      <c r="D300" t="s">
        <v>1207</v>
      </c>
      <c r="E300" t="s">
        <v>1207</v>
      </c>
      <c r="F300" t="s">
        <v>370</v>
      </c>
      <c r="G300" t="s">
        <v>303</v>
      </c>
      <c r="H300" s="5">
        <f>SUMPRODUCT(SUMIF(FinalPayment_NoReorg!$F$2:$F$331,FinalPayment!$D300:$F300,FinalPayment_NoReorg!$L$2:$L$331))+SUMPRODUCT(SUMIF(FinalPayment_NoReorg!$F$2:$F$331,FinalPayment!$D300:$F300,FinalPayment_NoReorg!$N$2:$N$331))</f>
        <v>9166</v>
      </c>
      <c r="I300" s="5">
        <f t="shared" si="34"/>
        <v>917</v>
      </c>
      <c r="J300" s="5">
        <f t="shared" si="34"/>
        <v>917</v>
      </c>
      <c r="K300" s="5">
        <f t="shared" si="34"/>
        <v>917</v>
      </c>
      <c r="L300" s="5">
        <f t="shared" si="34"/>
        <v>917</v>
      </c>
      <c r="M300" s="5">
        <f t="shared" si="35"/>
        <v>917</v>
      </c>
      <c r="N300" s="5">
        <f t="shared" si="35"/>
        <v>917</v>
      </c>
      <c r="O300" s="5">
        <f t="shared" si="35"/>
        <v>917</v>
      </c>
      <c r="P300" s="5">
        <f t="shared" si="35"/>
        <v>917</v>
      </c>
      <c r="Q300" s="5">
        <f t="shared" si="36"/>
        <v>917</v>
      </c>
      <c r="R300" s="5">
        <f t="shared" si="37"/>
        <v>913</v>
      </c>
      <c r="U300" s="8">
        <f t="shared" si="33"/>
        <v>0</v>
      </c>
      <c r="V300" s="8">
        <f>IFERROR(INDEX('Payment 1 through 9'!$A$1:$B$330,MATCH(CONCATENATE(FinalPayment!$F300,"0000"),'Payment 1 through 9'!$A$1:$A$330,0),2)*9,0)</f>
        <v>0</v>
      </c>
      <c r="W300" s="8">
        <f>IFERROR(INDEX('FinalPayment 10'!$A$1:$B$330,MATCH(CONCATENATE(FinalPayment!$F300,"0000"),'FinalPayment 10'!$A$1:$A$330,0),2),0)</f>
        <v>0</v>
      </c>
      <c r="X300" s="8">
        <f t="shared" si="38"/>
        <v>0</v>
      </c>
      <c r="Y300" s="8">
        <f t="shared" si="39"/>
        <v>9166</v>
      </c>
    </row>
    <row r="301" spans="1:25" x14ac:dyDescent="0.55000000000000004">
      <c r="A301">
        <v>2021</v>
      </c>
      <c r="B301" t="s">
        <v>689</v>
      </c>
      <c r="C301" t="s">
        <v>369</v>
      </c>
      <c r="D301" t="s">
        <v>1207</v>
      </c>
      <c r="E301" t="s">
        <v>1207</v>
      </c>
      <c r="F301" t="s">
        <v>369</v>
      </c>
      <c r="G301" t="s">
        <v>304</v>
      </c>
      <c r="H301" s="5">
        <f>SUMPRODUCT(SUMIF(FinalPayment_NoReorg!$F$2:$F$331,FinalPayment!$D301:$F301,FinalPayment_NoReorg!$L$2:$L$331))+SUMPRODUCT(SUMIF(FinalPayment_NoReorg!$F$2:$F$331,FinalPayment!$D301:$F301,FinalPayment_NoReorg!$N$2:$N$331))</f>
        <v>1732</v>
      </c>
      <c r="I301" s="5">
        <f t="shared" si="34"/>
        <v>173</v>
      </c>
      <c r="J301" s="5">
        <f t="shared" si="34"/>
        <v>173</v>
      </c>
      <c r="K301" s="5">
        <f t="shared" si="34"/>
        <v>173</v>
      </c>
      <c r="L301" s="5">
        <f t="shared" si="34"/>
        <v>173</v>
      </c>
      <c r="M301" s="5">
        <f t="shared" si="35"/>
        <v>173</v>
      </c>
      <c r="N301" s="5">
        <f t="shared" si="35"/>
        <v>173</v>
      </c>
      <c r="O301" s="5">
        <f t="shared" si="35"/>
        <v>173</v>
      </c>
      <c r="P301" s="5">
        <f t="shared" si="35"/>
        <v>173</v>
      </c>
      <c r="Q301" s="5">
        <f t="shared" si="36"/>
        <v>173</v>
      </c>
      <c r="R301" s="5">
        <f t="shared" si="37"/>
        <v>175</v>
      </c>
      <c r="U301" s="8">
        <f t="shared" si="33"/>
        <v>0</v>
      </c>
      <c r="V301" s="8">
        <f>IFERROR(INDEX('Payment 1 through 9'!$A$1:$B$330,MATCH(CONCATENATE(FinalPayment!$F301,"0000"),'Payment 1 through 9'!$A$1:$A$330,0),2)*9,0)</f>
        <v>0</v>
      </c>
      <c r="W301" s="8">
        <f>IFERROR(INDEX('FinalPayment 10'!$A$1:$B$330,MATCH(CONCATENATE(FinalPayment!$F301,"0000"),'FinalPayment 10'!$A$1:$A$330,0),2),0)</f>
        <v>0</v>
      </c>
      <c r="X301" s="8">
        <f t="shared" si="38"/>
        <v>0</v>
      </c>
      <c r="Y301" s="8">
        <f t="shared" si="39"/>
        <v>1732</v>
      </c>
    </row>
    <row r="302" spans="1:25" x14ac:dyDescent="0.55000000000000004">
      <c r="A302">
        <v>2021</v>
      </c>
      <c r="B302" t="s">
        <v>696</v>
      </c>
      <c r="C302" t="s">
        <v>368</v>
      </c>
      <c r="D302" t="s">
        <v>1207</v>
      </c>
      <c r="E302" t="s">
        <v>1207</v>
      </c>
      <c r="F302" t="s">
        <v>368</v>
      </c>
      <c r="G302" t="s">
        <v>305</v>
      </c>
      <c r="H302" s="5">
        <f>SUMPRODUCT(SUMIF(FinalPayment_NoReorg!$F$2:$F$331,FinalPayment!$D302:$F302,FinalPayment_NoReorg!$L$2:$L$331))+SUMPRODUCT(SUMIF(FinalPayment_NoReorg!$F$2:$F$331,FinalPayment!$D302:$F302,FinalPayment_NoReorg!$N$2:$N$331))</f>
        <v>85271</v>
      </c>
      <c r="I302" s="5">
        <f t="shared" si="34"/>
        <v>8527</v>
      </c>
      <c r="J302" s="5">
        <f t="shared" si="34"/>
        <v>8527</v>
      </c>
      <c r="K302" s="5">
        <f t="shared" si="34"/>
        <v>8527</v>
      </c>
      <c r="L302" s="5">
        <f t="shared" si="34"/>
        <v>8527</v>
      </c>
      <c r="M302" s="5">
        <f t="shared" si="35"/>
        <v>8527</v>
      </c>
      <c r="N302" s="5">
        <f t="shared" si="35"/>
        <v>8527</v>
      </c>
      <c r="O302" s="5">
        <f t="shared" si="35"/>
        <v>8527</v>
      </c>
      <c r="P302" s="5">
        <f t="shared" si="35"/>
        <v>8527</v>
      </c>
      <c r="Q302" s="5">
        <f t="shared" si="36"/>
        <v>8527</v>
      </c>
      <c r="R302" s="5">
        <f t="shared" si="37"/>
        <v>8528</v>
      </c>
      <c r="U302" s="8">
        <f t="shared" si="33"/>
        <v>0</v>
      </c>
      <c r="V302" s="8">
        <f>IFERROR(INDEX('Payment 1 through 9'!$A$1:$B$330,MATCH(CONCATENATE(FinalPayment!$F302,"0000"),'Payment 1 through 9'!$A$1:$A$330,0),2)*9,0)</f>
        <v>71298</v>
      </c>
      <c r="W302" s="8">
        <f>IFERROR(INDEX('FinalPayment 10'!$A$1:$B$330,MATCH(CONCATENATE(FinalPayment!$F302,"0000"),'FinalPayment 10'!$A$1:$A$330,0),2),0)</f>
        <v>7918</v>
      </c>
      <c r="X302" s="8">
        <f t="shared" si="38"/>
        <v>79216</v>
      </c>
      <c r="Y302" s="8">
        <f t="shared" si="39"/>
        <v>6055</v>
      </c>
    </row>
    <row r="303" spans="1:25" x14ac:dyDescent="0.55000000000000004">
      <c r="A303">
        <v>2021</v>
      </c>
      <c r="B303" t="s">
        <v>694</v>
      </c>
      <c r="C303" t="s">
        <v>367</v>
      </c>
      <c r="D303" t="s">
        <v>465</v>
      </c>
      <c r="E303" t="s">
        <v>1207</v>
      </c>
      <c r="F303" t="s">
        <v>367</v>
      </c>
      <c r="G303" t="s">
        <v>306</v>
      </c>
      <c r="H303" s="5">
        <f>SUMPRODUCT(SUMIF(FinalPayment_NoReorg!$F$2:$F$331,FinalPayment!$D303:$F303,FinalPayment_NoReorg!$L$2:$L$331))+SUMPRODUCT(SUMIF(FinalPayment_NoReorg!$F$2:$F$331,FinalPayment!$D303:$F303,FinalPayment_NoReorg!$N$2:$N$331))</f>
        <v>186983</v>
      </c>
      <c r="I303" s="5">
        <f t="shared" si="34"/>
        <v>18698</v>
      </c>
      <c r="J303" s="5">
        <f t="shared" si="34"/>
        <v>18698</v>
      </c>
      <c r="K303" s="5">
        <f t="shared" si="34"/>
        <v>18698</v>
      </c>
      <c r="L303" s="5">
        <f t="shared" si="34"/>
        <v>18698</v>
      </c>
      <c r="M303" s="5">
        <f t="shared" si="35"/>
        <v>18698</v>
      </c>
      <c r="N303" s="5">
        <f t="shared" si="35"/>
        <v>18698</v>
      </c>
      <c r="O303" s="5">
        <f t="shared" si="35"/>
        <v>18698</v>
      </c>
      <c r="P303" s="5">
        <f t="shared" si="35"/>
        <v>18698</v>
      </c>
      <c r="Q303" s="5">
        <f t="shared" si="36"/>
        <v>18698</v>
      </c>
      <c r="R303" s="5">
        <f t="shared" si="37"/>
        <v>18701</v>
      </c>
      <c r="U303" s="8">
        <f t="shared" si="33"/>
        <v>0</v>
      </c>
      <c r="V303" s="8">
        <f>IFERROR(INDEX('Payment 1 through 9'!$A$1:$B$330,MATCH(CONCATENATE(FinalPayment!$F303,"0000"),'Payment 1 through 9'!$A$1:$A$330,0),2)*9,0)</f>
        <v>151929</v>
      </c>
      <c r="W303" s="8">
        <f>IFERROR(INDEX('FinalPayment 10'!$A$1:$B$330,MATCH(CONCATENATE(FinalPayment!$F303,"0000"),'FinalPayment 10'!$A$1:$A$330,0),2),0)</f>
        <v>16883</v>
      </c>
      <c r="X303" s="8">
        <f t="shared" si="38"/>
        <v>168812</v>
      </c>
      <c r="Y303" s="8">
        <f t="shared" si="39"/>
        <v>18171</v>
      </c>
    </row>
    <row r="304" spans="1:25" x14ac:dyDescent="0.55000000000000004">
      <c r="A304">
        <v>2021</v>
      </c>
      <c r="B304" t="s">
        <v>694</v>
      </c>
      <c r="C304" t="s">
        <v>366</v>
      </c>
      <c r="D304" t="s">
        <v>1207</v>
      </c>
      <c r="E304" t="s">
        <v>1207</v>
      </c>
      <c r="F304" t="s">
        <v>366</v>
      </c>
      <c r="G304" t="s">
        <v>307</v>
      </c>
      <c r="H304" s="5">
        <f>SUMPRODUCT(SUMIF(FinalPayment_NoReorg!$F$2:$F$331,FinalPayment!$D304:$F304,FinalPayment_NoReorg!$L$2:$L$331))+SUMPRODUCT(SUMIF(FinalPayment_NoReorg!$F$2:$F$331,FinalPayment!$D304:$F304,FinalPayment_NoReorg!$N$2:$N$331))</f>
        <v>118651</v>
      </c>
      <c r="I304" s="5">
        <f t="shared" si="34"/>
        <v>11865</v>
      </c>
      <c r="J304" s="5">
        <f t="shared" si="34"/>
        <v>11865</v>
      </c>
      <c r="K304" s="5">
        <f t="shared" si="34"/>
        <v>11865</v>
      </c>
      <c r="L304" s="5">
        <f t="shared" si="34"/>
        <v>11865</v>
      </c>
      <c r="M304" s="5">
        <f t="shared" si="35"/>
        <v>11865</v>
      </c>
      <c r="N304" s="5">
        <f t="shared" si="35"/>
        <v>11865</v>
      </c>
      <c r="O304" s="5">
        <f t="shared" si="35"/>
        <v>11865</v>
      </c>
      <c r="P304" s="5">
        <f t="shared" si="35"/>
        <v>11865</v>
      </c>
      <c r="Q304" s="5">
        <f t="shared" si="36"/>
        <v>11865</v>
      </c>
      <c r="R304" s="5">
        <f t="shared" si="37"/>
        <v>11866</v>
      </c>
      <c r="U304" s="8">
        <f t="shared" si="33"/>
        <v>0</v>
      </c>
      <c r="V304" s="8">
        <f>IFERROR(INDEX('Payment 1 through 9'!$A$1:$B$330,MATCH(CONCATENATE(FinalPayment!$F304,"0000"),'Payment 1 through 9'!$A$1:$A$330,0),2)*9,0)</f>
        <v>104076</v>
      </c>
      <c r="W304" s="8">
        <f>IFERROR(INDEX('FinalPayment 10'!$A$1:$B$330,MATCH(CONCATENATE(FinalPayment!$F304,"0000"),'FinalPayment 10'!$A$1:$A$330,0),2),0)</f>
        <v>11566</v>
      </c>
      <c r="X304" s="8">
        <f t="shared" si="38"/>
        <v>115642</v>
      </c>
      <c r="Y304" s="8">
        <f t="shared" si="39"/>
        <v>3009</v>
      </c>
    </row>
    <row r="305" spans="1:25" x14ac:dyDescent="0.55000000000000004">
      <c r="A305">
        <v>2021</v>
      </c>
      <c r="B305" t="s">
        <v>698</v>
      </c>
      <c r="C305" t="s">
        <v>365</v>
      </c>
      <c r="D305" t="s">
        <v>1207</v>
      </c>
      <c r="E305" t="s">
        <v>1207</v>
      </c>
      <c r="F305" t="s">
        <v>365</v>
      </c>
      <c r="G305" t="s">
        <v>308</v>
      </c>
      <c r="H305" s="5">
        <f>SUMPRODUCT(SUMIF(FinalPayment_NoReorg!$F$2:$F$331,FinalPayment!$D305:$F305,FinalPayment_NoReorg!$L$2:$L$331))+SUMPRODUCT(SUMIF(FinalPayment_NoReorg!$F$2:$F$331,FinalPayment!$D305:$F305,FinalPayment_NoReorg!$N$2:$N$331))</f>
        <v>43575</v>
      </c>
      <c r="I305" s="5">
        <f t="shared" si="34"/>
        <v>4358</v>
      </c>
      <c r="J305" s="5">
        <f t="shared" si="34"/>
        <v>4358</v>
      </c>
      <c r="K305" s="5">
        <f t="shared" si="34"/>
        <v>4358</v>
      </c>
      <c r="L305" s="5">
        <f t="shared" si="34"/>
        <v>4358</v>
      </c>
      <c r="M305" s="5">
        <f t="shared" si="35"/>
        <v>4358</v>
      </c>
      <c r="N305" s="5">
        <f t="shared" si="35"/>
        <v>4358</v>
      </c>
      <c r="O305" s="5">
        <f t="shared" si="35"/>
        <v>4358</v>
      </c>
      <c r="P305" s="5">
        <f t="shared" si="35"/>
        <v>4358</v>
      </c>
      <c r="Q305" s="5">
        <f t="shared" si="36"/>
        <v>4358</v>
      </c>
      <c r="R305" s="5">
        <f t="shared" si="37"/>
        <v>4353</v>
      </c>
      <c r="U305" s="8">
        <f t="shared" si="33"/>
        <v>0</v>
      </c>
      <c r="V305" s="8">
        <f>IFERROR(INDEX('Payment 1 through 9'!$A$1:$B$330,MATCH(CONCATENATE(FinalPayment!$F305,"0000"),'Payment 1 through 9'!$A$1:$A$330,0),2)*9,0)</f>
        <v>32202</v>
      </c>
      <c r="W305" s="8">
        <f>IFERROR(INDEX('FinalPayment 10'!$A$1:$B$330,MATCH(CONCATENATE(FinalPayment!$F305,"0000"),'FinalPayment 10'!$A$1:$A$330,0),2),0)</f>
        <v>3582</v>
      </c>
      <c r="X305" s="8">
        <f t="shared" si="38"/>
        <v>35784</v>
      </c>
      <c r="Y305" s="8">
        <f t="shared" si="39"/>
        <v>7791</v>
      </c>
    </row>
    <row r="306" spans="1:25" x14ac:dyDescent="0.55000000000000004">
      <c r="A306">
        <v>2021</v>
      </c>
      <c r="B306" t="s">
        <v>696</v>
      </c>
      <c r="C306" t="s">
        <v>364</v>
      </c>
      <c r="D306" t="s">
        <v>1207</v>
      </c>
      <c r="E306" t="s">
        <v>1207</v>
      </c>
      <c r="F306" t="s">
        <v>364</v>
      </c>
      <c r="G306" t="s">
        <v>1235</v>
      </c>
      <c r="H306" s="5">
        <f>SUMPRODUCT(SUMIF(FinalPayment_NoReorg!$F$2:$F$331,FinalPayment!$D306:$F306,FinalPayment_NoReorg!$L$2:$L$331))+SUMPRODUCT(SUMIF(FinalPayment_NoReorg!$F$2:$F$331,FinalPayment!$D306:$F306,FinalPayment_NoReorg!$N$2:$N$331))</f>
        <v>387</v>
      </c>
      <c r="I306" s="5">
        <f t="shared" si="34"/>
        <v>39</v>
      </c>
      <c r="J306" s="5">
        <f t="shared" si="34"/>
        <v>39</v>
      </c>
      <c r="K306" s="5">
        <f t="shared" si="34"/>
        <v>39</v>
      </c>
      <c r="L306" s="5">
        <f t="shared" si="34"/>
        <v>39</v>
      </c>
      <c r="M306" s="5">
        <f t="shared" si="35"/>
        <v>39</v>
      </c>
      <c r="N306" s="5">
        <f t="shared" si="35"/>
        <v>39</v>
      </c>
      <c r="O306" s="5">
        <f t="shared" si="35"/>
        <v>39</v>
      </c>
      <c r="P306" s="5">
        <f t="shared" si="35"/>
        <v>39</v>
      </c>
      <c r="Q306" s="5">
        <f t="shared" si="36"/>
        <v>39</v>
      </c>
      <c r="R306" s="5">
        <f t="shared" si="37"/>
        <v>36</v>
      </c>
      <c r="U306" s="8">
        <f t="shared" si="33"/>
        <v>0</v>
      </c>
      <c r="V306" s="8">
        <f>IFERROR(INDEX('Payment 1 through 9'!$A$1:$B$330,MATCH(CONCATENATE(FinalPayment!$F306,"0000"),'Payment 1 through 9'!$A$1:$A$330,0),2)*9,0)</f>
        <v>0</v>
      </c>
      <c r="W306" s="8">
        <f>IFERROR(INDEX('FinalPayment 10'!$A$1:$B$330,MATCH(CONCATENATE(FinalPayment!$F306,"0000"),'FinalPayment 10'!$A$1:$A$330,0),2),0)</f>
        <v>0</v>
      </c>
      <c r="X306" s="8">
        <f t="shared" si="38"/>
        <v>0</v>
      </c>
      <c r="Y306" s="8">
        <f t="shared" si="39"/>
        <v>387</v>
      </c>
    </row>
    <row r="307" spans="1:25" x14ac:dyDescent="0.55000000000000004">
      <c r="A307">
        <v>2021</v>
      </c>
      <c r="B307" t="s">
        <v>703</v>
      </c>
      <c r="C307" t="s">
        <v>363</v>
      </c>
      <c r="D307" t="s">
        <v>1207</v>
      </c>
      <c r="E307" t="s">
        <v>1207</v>
      </c>
      <c r="F307" t="s">
        <v>363</v>
      </c>
      <c r="G307" t="s">
        <v>310</v>
      </c>
      <c r="H307" s="5">
        <f>SUMPRODUCT(SUMIF(FinalPayment_NoReorg!$F$2:$F$331,FinalPayment!$D307:$F307,FinalPayment_NoReorg!$L$2:$L$331))+SUMPRODUCT(SUMIF(FinalPayment_NoReorg!$F$2:$F$331,FinalPayment!$D307:$F307,FinalPayment_NoReorg!$N$2:$N$331))</f>
        <v>22550</v>
      </c>
      <c r="I307" s="5">
        <f t="shared" si="34"/>
        <v>2255</v>
      </c>
      <c r="J307" s="5">
        <f t="shared" si="34"/>
        <v>2255</v>
      </c>
      <c r="K307" s="5">
        <f t="shared" si="34"/>
        <v>2255</v>
      </c>
      <c r="L307" s="5">
        <f t="shared" si="34"/>
        <v>2255</v>
      </c>
      <c r="M307" s="5">
        <f t="shared" si="35"/>
        <v>2255</v>
      </c>
      <c r="N307" s="5">
        <f t="shared" si="35"/>
        <v>2255</v>
      </c>
      <c r="O307" s="5">
        <f t="shared" si="35"/>
        <v>2255</v>
      </c>
      <c r="P307" s="5">
        <f t="shared" si="35"/>
        <v>2255</v>
      </c>
      <c r="Q307" s="5">
        <f t="shared" si="36"/>
        <v>2255</v>
      </c>
      <c r="R307" s="5">
        <f t="shared" si="37"/>
        <v>2255</v>
      </c>
      <c r="U307" s="8">
        <f t="shared" si="33"/>
        <v>0</v>
      </c>
      <c r="V307" s="8">
        <f>IFERROR(INDEX('Payment 1 through 9'!$A$1:$B$330,MATCH(CONCATENATE(FinalPayment!$F307,"0000"),'Payment 1 through 9'!$A$1:$A$330,0),2)*9,0)</f>
        <v>17874</v>
      </c>
      <c r="W307" s="8">
        <f>IFERROR(INDEX('FinalPayment 10'!$A$1:$B$330,MATCH(CONCATENATE(FinalPayment!$F307,"0000"),'FinalPayment 10'!$A$1:$A$330,0),2),0)</f>
        <v>1988</v>
      </c>
      <c r="X307" s="8">
        <f t="shared" si="38"/>
        <v>19862</v>
      </c>
      <c r="Y307" s="8">
        <f t="shared" si="39"/>
        <v>2688</v>
      </c>
    </row>
    <row r="308" spans="1:25" x14ac:dyDescent="0.55000000000000004">
      <c r="A308">
        <v>2021</v>
      </c>
      <c r="B308" t="s">
        <v>686</v>
      </c>
      <c r="C308" t="s">
        <v>395</v>
      </c>
      <c r="D308" t="s">
        <v>1207</v>
      </c>
      <c r="E308" t="s">
        <v>1207</v>
      </c>
      <c r="F308" t="s">
        <v>395</v>
      </c>
      <c r="G308" t="s">
        <v>280</v>
      </c>
      <c r="H308" s="5">
        <f>SUMPRODUCT(SUMIF(FinalPayment_NoReorg!$F$2:$F$331,FinalPayment!$D308:$F308,FinalPayment_NoReorg!$L$2:$L$331))+SUMPRODUCT(SUMIF(FinalPayment_NoReorg!$F$2:$F$331,FinalPayment!$D308:$F308,FinalPayment_NoReorg!$N$2:$N$331))</f>
        <v>74671</v>
      </c>
      <c r="I308" s="5">
        <f t="shared" si="34"/>
        <v>7467</v>
      </c>
      <c r="J308" s="5">
        <f t="shared" si="34"/>
        <v>7467</v>
      </c>
      <c r="K308" s="5">
        <f t="shared" si="34"/>
        <v>7467</v>
      </c>
      <c r="L308" s="5">
        <f t="shared" si="34"/>
        <v>7467</v>
      </c>
      <c r="M308" s="5">
        <f t="shared" si="35"/>
        <v>7467</v>
      </c>
      <c r="N308" s="5">
        <f t="shared" si="35"/>
        <v>7467</v>
      </c>
      <c r="O308" s="5">
        <f t="shared" si="35"/>
        <v>7467</v>
      </c>
      <c r="P308" s="5">
        <f t="shared" si="35"/>
        <v>7467</v>
      </c>
      <c r="Q308" s="5">
        <f t="shared" si="36"/>
        <v>7467</v>
      </c>
      <c r="R308" s="5">
        <f t="shared" si="37"/>
        <v>7468</v>
      </c>
      <c r="U308" s="8">
        <f t="shared" si="33"/>
        <v>0</v>
      </c>
      <c r="V308" s="8">
        <f>IFERROR(INDEX('Payment 1 through 9'!$A$1:$B$330,MATCH(CONCATENATE(FinalPayment!$F308,"0000"),'Payment 1 through 9'!$A$1:$A$330,0),2)*9,0)</f>
        <v>58041</v>
      </c>
      <c r="W308" s="8">
        <f>IFERROR(INDEX('FinalPayment 10'!$A$1:$B$330,MATCH(CONCATENATE(FinalPayment!$F308,"0000"),'FinalPayment 10'!$A$1:$A$330,0),2),0)</f>
        <v>6446</v>
      </c>
      <c r="X308" s="8">
        <f t="shared" si="38"/>
        <v>64487</v>
      </c>
      <c r="Y308" s="8">
        <f t="shared" si="39"/>
        <v>10184</v>
      </c>
    </row>
    <row r="309" spans="1:25" x14ac:dyDescent="0.55000000000000004">
      <c r="A309">
        <v>2021</v>
      </c>
      <c r="B309" t="s">
        <v>703</v>
      </c>
      <c r="C309" t="s">
        <v>362</v>
      </c>
      <c r="D309" t="s">
        <v>1207</v>
      </c>
      <c r="E309" t="s">
        <v>1207</v>
      </c>
      <c r="F309" t="s">
        <v>362</v>
      </c>
      <c r="G309" t="s">
        <v>1236</v>
      </c>
      <c r="H309" s="5">
        <f>SUMPRODUCT(SUMIF(FinalPayment_NoReorg!$F$2:$F$331,FinalPayment!$D309:$F309,FinalPayment_NoReorg!$L$2:$L$331))+SUMPRODUCT(SUMIF(FinalPayment_NoReorg!$F$2:$F$331,FinalPayment!$D309:$F309,FinalPayment_NoReorg!$N$2:$N$331))</f>
        <v>15434</v>
      </c>
      <c r="I309" s="5">
        <f t="shared" si="34"/>
        <v>1543</v>
      </c>
      <c r="J309" s="5">
        <f t="shared" si="34"/>
        <v>1543</v>
      </c>
      <c r="K309" s="5">
        <f t="shared" si="34"/>
        <v>1543</v>
      </c>
      <c r="L309" s="5">
        <f t="shared" si="34"/>
        <v>1543</v>
      </c>
      <c r="M309" s="5">
        <f t="shared" si="35"/>
        <v>1543</v>
      </c>
      <c r="N309" s="5">
        <f t="shared" si="35"/>
        <v>1543</v>
      </c>
      <c r="O309" s="5">
        <f t="shared" si="35"/>
        <v>1543</v>
      </c>
      <c r="P309" s="5">
        <f t="shared" si="35"/>
        <v>1543</v>
      </c>
      <c r="Q309" s="5">
        <f t="shared" si="36"/>
        <v>1543</v>
      </c>
      <c r="R309" s="5">
        <f t="shared" si="37"/>
        <v>1547</v>
      </c>
      <c r="U309" s="8">
        <f t="shared" si="33"/>
        <v>0</v>
      </c>
      <c r="V309" s="8">
        <f>IFERROR(INDEX('Payment 1 through 9'!$A$1:$B$330,MATCH(CONCATENATE(FinalPayment!$F309,"0000"),'Payment 1 through 9'!$A$1:$A$330,0),2)*9,0)</f>
        <v>189</v>
      </c>
      <c r="W309" s="8">
        <f>IFERROR(INDEX('FinalPayment 10'!$A$1:$B$330,MATCH(CONCATENATE(FinalPayment!$F309,"0000"),'FinalPayment 10'!$A$1:$A$330,0),2),0)</f>
        <v>22</v>
      </c>
      <c r="X309" s="8">
        <f t="shared" si="38"/>
        <v>211</v>
      </c>
      <c r="Y309" s="8">
        <f t="shared" si="39"/>
        <v>15223</v>
      </c>
    </row>
    <row r="310" spans="1:25" x14ac:dyDescent="0.55000000000000004">
      <c r="A310">
        <v>2021</v>
      </c>
      <c r="B310" t="s">
        <v>686</v>
      </c>
      <c r="C310" t="s">
        <v>361</v>
      </c>
      <c r="D310" t="s">
        <v>1207</v>
      </c>
      <c r="E310" t="s">
        <v>1207</v>
      </c>
      <c r="F310" t="s">
        <v>361</v>
      </c>
      <c r="G310" t="s">
        <v>312</v>
      </c>
      <c r="H310" s="5">
        <f>SUMPRODUCT(SUMIF(FinalPayment_NoReorg!$F$2:$F$331,FinalPayment!$D310:$F310,FinalPayment_NoReorg!$L$2:$L$331))+SUMPRODUCT(SUMIF(FinalPayment_NoReorg!$F$2:$F$331,FinalPayment!$D310:$F310,FinalPayment_NoReorg!$N$2:$N$331))</f>
        <v>7316</v>
      </c>
      <c r="I310" s="5">
        <f t="shared" si="34"/>
        <v>732</v>
      </c>
      <c r="J310" s="5">
        <f t="shared" si="34"/>
        <v>732</v>
      </c>
      <c r="K310" s="5">
        <f t="shared" si="34"/>
        <v>732</v>
      </c>
      <c r="L310" s="5">
        <f t="shared" si="34"/>
        <v>732</v>
      </c>
      <c r="M310" s="5">
        <f t="shared" si="35"/>
        <v>732</v>
      </c>
      <c r="N310" s="5">
        <f t="shared" si="35"/>
        <v>732</v>
      </c>
      <c r="O310" s="5">
        <f t="shared" si="35"/>
        <v>732</v>
      </c>
      <c r="P310" s="5">
        <f t="shared" si="35"/>
        <v>732</v>
      </c>
      <c r="Q310" s="5">
        <f t="shared" si="36"/>
        <v>732</v>
      </c>
      <c r="R310" s="5">
        <f t="shared" si="37"/>
        <v>728</v>
      </c>
      <c r="U310" s="8">
        <f t="shared" si="33"/>
        <v>0</v>
      </c>
      <c r="V310" s="8">
        <f>IFERROR(INDEX('Payment 1 through 9'!$A$1:$B$330,MATCH(CONCATENATE(FinalPayment!$F310,"0000"),'Payment 1 through 9'!$A$1:$A$330,0),2)*9,0)</f>
        <v>0</v>
      </c>
      <c r="W310" s="8">
        <f>IFERROR(INDEX('FinalPayment 10'!$A$1:$B$330,MATCH(CONCATENATE(FinalPayment!$F310,"0000"),'FinalPayment 10'!$A$1:$A$330,0),2),0)</f>
        <v>0</v>
      </c>
      <c r="X310" s="8">
        <f t="shared" si="38"/>
        <v>0</v>
      </c>
      <c r="Y310" s="8">
        <f t="shared" si="39"/>
        <v>7316</v>
      </c>
    </row>
    <row r="311" spans="1:25" x14ac:dyDescent="0.55000000000000004">
      <c r="A311">
        <v>2021</v>
      </c>
      <c r="B311" t="s">
        <v>689</v>
      </c>
      <c r="C311" t="s">
        <v>421</v>
      </c>
      <c r="D311" t="s">
        <v>1207</v>
      </c>
      <c r="E311" t="s">
        <v>1207</v>
      </c>
      <c r="F311" t="s">
        <v>421</v>
      </c>
      <c r="G311" t="s">
        <v>1196</v>
      </c>
      <c r="H311" s="5">
        <f>SUMPRODUCT(SUMIF(FinalPayment_NoReorg!$F$2:$F$331,FinalPayment!$D311:$F311,FinalPayment_NoReorg!$L$2:$L$331))+SUMPRODUCT(SUMIF(FinalPayment_NoReorg!$F$2:$F$331,FinalPayment!$D311:$F311,FinalPayment_NoReorg!$N$2:$N$331))</f>
        <v>181236</v>
      </c>
      <c r="I311" s="5">
        <f t="shared" si="34"/>
        <v>18124</v>
      </c>
      <c r="J311" s="5">
        <f t="shared" si="34"/>
        <v>18124</v>
      </c>
      <c r="K311" s="5">
        <f t="shared" si="34"/>
        <v>18124</v>
      </c>
      <c r="L311" s="5">
        <f t="shared" si="34"/>
        <v>18124</v>
      </c>
      <c r="M311" s="5">
        <f t="shared" si="35"/>
        <v>18124</v>
      </c>
      <c r="N311" s="5">
        <f t="shared" si="35"/>
        <v>18124</v>
      </c>
      <c r="O311" s="5">
        <f t="shared" si="35"/>
        <v>18124</v>
      </c>
      <c r="P311" s="5">
        <f t="shared" si="35"/>
        <v>18124</v>
      </c>
      <c r="Q311" s="5">
        <f t="shared" si="36"/>
        <v>18124</v>
      </c>
      <c r="R311" s="5">
        <f t="shared" si="37"/>
        <v>18120</v>
      </c>
      <c r="U311" s="8">
        <f t="shared" si="33"/>
        <v>0</v>
      </c>
      <c r="V311" s="8">
        <f>IFERROR(INDEX('Payment 1 through 9'!$A$1:$B$330,MATCH(CONCATENATE(FinalPayment!$F311,"0000"),'Payment 1 through 9'!$A$1:$A$330,0),2)*9,0)</f>
        <v>156411</v>
      </c>
      <c r="W311" s="8">
        <f>IFERROR(INDEX('FinalPayment 10'!$A$1:$B$330,MATCH(CONCATENATE(FinalPayment!$F311,"0000"),'FinalPayment 10'!$A$1:$A$330,0),2),0)</f>
        <v>17376</v>
      </c>
      <c r="X311" s="8">
        <f t="shared" si="38"/>
        <v>173787</v>
      </c>
      <c r="Y311" s="8">
        <f t="shared" si="39"/>
        <v>7449</v>
      </c>
    </row>
    <row r="312" spans="1:25" x14ac:dyDescent="0.55000000000000004">
      <c r="A312">
        <v>2021</v>
      </c>
      <c r="B312" t="s">
        <v>689</v>
      </c>
      <c r="C312" t="s">
        <v>644</v>
      </c>
      <c r="D312" t="s">
        <v>1207</v>
      </c>
      <c r="E312" t="s">
        <v>1207</v>
      </c>
      <c r="F312" t="s">
        <v>644</v>
      </c>
      <c r="G312" t="s">
        <v>51</v>
      </c>
      <c r="H312" s="5">
        <f>SUMPRODUCT(SUMIF(FinalPayment_NoReorg!$F$2:$F$331,FinalPayment!$D312:$F312,FinalPayment_NoReorg!$L$2:$L$331))+SUMPRODUCT(SUMIF(FinalPayment_NoReorg!$F$2:$F$331,FinalPayment!$D312:$F312,FinalPayment_NoReorg!$N$2:$N$331))</f>
        <v>65629</v>
      </c>
      <c r="I312" s="5">
        <f t="shared" si="34"/>
        <v>6563</v>
      </c>
      <c r="J312" s="5">
        <f t="shared" si="34"/>
        <v>6563</v>
      </c>
      <c r="K312" s="5">
        <f t="shared" si="34"/>
        <v>6563</v>
      </c>
      <c r="L312" s="5">
        <f t="shared" si="34"/>
        <v>6563</v>
      </c>
      <c r="M312" s="5">
        <f t="shared" si="35"/>
        <v>6563</v>
      </c>
      <c r="N312" s="5">
        <f t="shared" si="35"/>
        <v>6563</v>
      </c>
      <c r="O312" s="5">
        <f t="shared" si="35"/>
        <v>6563</v>
      </c>
      <c r="P312" s="5">
        <f t="shared" si="35"/>
        <v>6563</v>
      </c>
      <c r="Q312" s="5">
        <f t="shared" si="36"/>
        <v>6563</v>
      </c>
      <c r="R312" s="5">
        <f t="shared" si="37"/>
        <v>6562</v>
      </c>
      <c r="U312" s="8">
        <f t="shared" si="33"/>
        <v>0</v>
      </c>
      <c r="V312" s="8">
        <f>IFERROR(INDEX('Payment 1 through 9'!$A$1:$B$330,MATCH(CONCATENATE(FinalPayment!$F312,"0000"),'Payment 1 through 9'!$A$1:$A$330,0),2)*9,0)</f>
        <v>53928</v>
      </c>
      <c r="W312" s="8">
        <f>IFERROR(INDEX('FinalPayment 10'!$A$1:$B$330,MATCH(CONCATENATE(FinalPayment!$F312,"0000"),'FinalPayment 10'!$A$1:$A$330,0),2),0)</f>
        <v>5996</v>
      </c>
      <c r="X312" s="8">
        <f t="shared" si="38"/>
        <v>59924</v>
      </c>
      <c r="Y312" s="8">
        <f t="shared" si="39"/>
        <v>5705</v>
      </c>
    </row>
    <row r="313" spans="1:25" x14ac:dyDescent="0.55000000000000004">
      <c r="A313">
        <v>2021</v>
      </c>
      <c r="B313" t="s">
        <v>690</v>
      </c>
      <c r="C313" t="s">
        <v>359</v>
      </c>
      <c r="D313" t="s">
        <v>1207</v>
      </c>
      <c r="E313" t="s">
        <v>1207</v>
      </c>
      <c r="F313" t="s">
        <v>359</v>
      </c>
      <c r="G313" t="s">
        <v>314</v>
      </c>
      <c r="H313" s="5">
        <f>SUMPRODUCT(SUMIF(FinalPayment_NoReorg!$F$2:$F$331,FinalPayment!$D313:$F313,FinalPayment_NoReorg!$L$2:$L$331))+SUMPRODUCT(SUMIF(FinalPayment_NoReorg!$F$2:$F$331,FinalPayment!$D313:$F313,FinalPayment_NoReorg!$N$2:$N$331))</f>
        <v>36924</v>
      </c>
      <c r="I313" s="5">
        <f t="shared" si="34"/>
        <v>3692</v>
      </c>
      <c r="J313" s="5">
        <f t="shared" si="34"/>
        <v>3692</v>
      </c>
      <c r="K313" s="5">
        <f t="shared" si="34"/>
        <v>3692</v>
      </c>
      <c r="L313" s="5">
        <f t="shared" si="34"/>
        <v>3692</v>
      </c>
      <c r="M313" s="5">
        <f t="shared" si="35"/>
        <v>3692</v>
      </c>
      <c r="N313" s="5">
        <f t="shared" si="35"/>
        <v>3692</v>
      </c>
      <c r="O313" s="5">
        <f t="shared" si="35"/>
        <v>3692</v>
      </c>
      <c r="P313" s="5">
        <f t="shared" si="35"/>
        <v>3692</v>
      </c>
      <c r="Q313" s="5">
        <f t="shared" si="36"/>
        <v>3692</v>
      </c>
      <c r="R313" s="5">
        <f t="shared" si="37"/>
        <v>3696</v>
      </c>
      <c r="U313" s="8">
        <f t="shared" si="33"/>
        <v>0</v>
      </c>
      <c r="V313" s="8">
        <f>IFERROR(INDEX('Payment 1 through 9'!$A$1:$B$330,MATCH(CONCATENATE(FinalPayment!$F313,"0000"),'Payment 1 through 9'!$A$1:$A$330,0),2)*9,0)</f>
        <v>29979</v>
      </c>
      <c r="W313" s="8">
        <f>IFERROR(INDEX('FinalPayment 10'!$A$1:$B$330,MATCH(CONCATENATE(FinalPayment!$F313,"0000"),'FinalPayment 10'!$A$1:$A$330,0),2),0)</f>
        <v>3329</v>
      </c>
      <c r="X313" s="8">
        <f t="shared" si="38"/>
        <v>33308</v>
      </c>
      <c r="Y313" s="8">
        <f t="shared" si="39"/>
        <v>3616</v>
      </c>
    </row>
    <row r="314" spans="1:25" x14ac:dyDescent="0.55000000000000004">
      <c r="A314">
        <v>2021</v>
      </c>
      <c r="B314" t="s">
        <v>707</v>
      </c>
      <c r="C314" t="s">
        <v>358</v>
      </c>
      <c r="D314" t="s">
        <v>1207</v>
      </c>
      <c r="E314" t="s">
        <v>1207</v>
      </c>
      <c r="F314" t="s">
        <v>358</v>
      </c>
      <c r="G314" t="s">
        <v>315</v>
      </c>
      <c r="H314" s="5">
        <f>SUMPRODUCT(SUMIF(FinalPayment_NoReorg!$F$2:$F$331,FinalPayment!$D314:$F314,FinalPayment_NoReorg!$L$2:$L$331))+SUMPRODUCT(SUMIF(FinalPayment_NoReorg!$F$2:$F$331,FinalPayment!$D314:$F314,FinalPayment_NoReorg!$N$2:$N$331))</f>
        <v>1091</v>
      </c>
      <c r="I314" s="5">
        <f t="shared" si="34"/>
        <v>109</v>
      </c>
      <c r="J314" s="5">
        <f t="shared" si="34"/>
        <v>109</v>
      </c>
      <c r="K314" s="5">
        <f t="shared" si="34"/>
        <v>109</v>
      </c>
      <c r="L314" s="5">
        <f t="shared" si="34"/>
        <v>109</v>
      </c>
      <c r="M314" s="5">
        <f t="shared" si="35"/>
        <v>109</v>
      </c>
      <c r="N314" s="5">
        <f t="shared" si="35"/>
        <v>109</v>
      </c>
      <c r="O314" s="5">
        <f t="shared" si="35"/>
        <v>109</v>
      </c>
      <c r="P314" s="5">
        <f t="shared" si="35"/>
        <v>109</v>
      </c>
      <c r="Q314" s="5">
        <f t="shared" si="36"/>
        <v>109</v>
      </c>
      <c r="R314" s="5">
        <f t="shared" si="37"/>
        <v>110</v>
      </c>
      <c r="U314" s="8">
        <f t="shared" si="33"/>
        <v>0</v>
      </c>
      <c r="V314" s="8">
        <f>IFERROR(INDEX('Payment 1 through 9'!$A$1:$B$330,MATCH(CONCATENATE(FinalPayment!$F314,"0000"),'Payment 1 through 9'!$A$1:$A$330,0),2)*9,0)</f>
        <v>0</v>
      </c>
      <c r="W314" s="8">
        <f>IFERROR(INDEX('FinalPayment 10'!$A$1:$B$330,MATCH(CONCATENATE(FinalPayment!$F314,"0000"),'FinalPayment 10'!$A$1:$A$330,0),2),0)</f>
        <v>0</v>
      </c>
      <c r="X314" s="8">
        <f t="shared" si="38"/>
        <v>0</v>
      </c>
      <c r="Y314" s="8">
        <f t="shared" si="39"/>
        <v>1091</v>
      </c>
    </row>
    <row r="315" spans="1:25" x14ac:dyDescent="0.55000000000000004">
      <c r="A315">
        <v>2021</v>
      </c>
      <c r="B315" t="s">
        <v>692</v>
      </c>
      <c r="C315" t="s">
        <v>357</v>
      </c>
      <c r="D315" t="s">
        <v>1207</v>
      </c>
      <c r="E315" t="s">
        <v>1207</v>
      </c>
      <c r="F315" t="s">
        <v>357</v>
      </c>
      <c r="G315" t="s">
        <v>316</v>
      </c>
      <c r="H315" s="5">
        <f>SUMPRODUCT(SUMIF(FinalPayment_NoReorg!$F$2:$F$331,FinalPayment!$D315:$F315,FinalPayment_NoReorg!$L$2:$L$331))+SUMPRODUCT(SUMIF(FinalPayment_NoReorg!$F$2:$F$331,FinalPayment!$D315:$F315,FinalPayment_NoReorg!$N$2:$N$331))</f>
        <v>214424</v>
      </c>
      <c r="I315" s="5">
        <f t="shared" si="34"/>
        <v>21442</v>
      </c>
      <c r="J315" s="5">
        <f t="shared" si="34"/>
        <v>21442</v>
      </c>
      <c r="K315" s="5">
        <f t="shared" si="34"/>
        <v>21442</v>
      </c>
      <c r="L315" s="5">
        <f t="shared" si="34"/>
        <v>21442</v>
      </c>
      <c r="M315" s="5">
        <f t="shared" si="35"/>
        <v>21442</v>
      </c>
      <c r="N315" s="5">
        <f t="shared" si="35"/>
        <v>21442</v>
      </c>
      <c r="O315" s="5">
        <f t="shared" si="35"/>
        <v>21442</v>
      </c>
      <c r="P315" s="5">
        <f t="shared" si="35"/>
        <v>21442</v>
      </c>
      <c r="Q315" s="5">
        <f t="shared" si="36"/>
        <v>21442</v>
      </c>
      <c r="R315" s="5">
        <f t="shared" si="37"/>
        <v>21446</v>
      </c>
      <c r="U315" s="8">
        <f t="shared" si="33"/>
        <v>0</v>
      </c>
      <c r="V315" s="8">
        <f>IFERROR(INDEX('Payment 1 through 9'!$A$1:$B$330,MATCH(CONCATENATE(FinalPayment!$F315,"0000"),'Payment 1 through 9'!$A$1:$A$330,0),2)*9,0)</f>
        <v>184050</v>
      </c>
      <c r="W315" s="8">
        <f>IFERROR(INDEX('FinalPayment 10'!$A$1:$B$330,MATCH(CONCATENATE(FinalPayment!$F315,"0000"),'FinalPayment 10'!$A$1:$A$330,0),2),0)</f>
        <v>20446</v>
      </c>
      <c r="X315" s="8">
        <f t="shared" si="38"/>
        <v>204496</v>
      </c>
      <c r="Y315" s="8">
        <f t="shared" si="39"/>
        <v>9928</v>
      </c>
    </row>
    <row r="316" spans="1:25" x14ac:dyDescent="0.55000000000000004">
      <c r="A316">
        <v>2021</v>
      </c>
      <c r="B316" t="s">
        <v>689</v>
      </c>
      <c r="C316" t="s">
        <v>356</v>
      </c>
      <c r="D316" t="s">
        <v>1207</v>
      </c>
      <c r="E316" t="s">
        <v>1207</v>
      </c>
      <c r="F316" t="s">
        <v>356</v>
      </c>
      <c r="G316" t="s">
        <v>317</v>
      </c>
      <c r="H316" s="5">
        <f>SUMPRODUCT(SUMIF(FinalPayment_NoReorg!$F$2:$F$331,FinalPayment!$D316:$F316,FinalPayment_NoReorg!$L$2:$L$331))+SUMPRODUCT(SUMIF(FinalPayment_NoReorg!$F$2:$F$331,FinalPayment!$D316:$F316,FinalPayment_NoReorg!$N$2:$N$331))</f>
        <v>113712</v>
      </c>
      <c r="I316" s="5">
        <f t="shared" si="34"/>
        <v>11371</v>
      </c>
      <c r="J316" s="5">
        <f t="shared" si="34"/>
        <v>11371</v>
      </c>
      <c r="K316" s="5">
        <f t="shared" si="34"/>
        <v>11371</v>
      </c>
      <c r="L316" s="5">
        <f t="shared" si="34"/>
        <v>11371</v>
      </c>
      <c r="M316" s="5">
        <f t="shared" si="35"/>
        <v>11371</v>
      </c>
      <c r="N316" s="5">
        <f t="shared" si="35"/>
        <v>11371</v>
      </c>
      <c r="O316" s="5">
        <f t="shared" si="35"/>
        <v>11371</v>
      </c>
      <c r="P316" s="5">
        <f t="shared" si="35"/>
        <v>11371</v>
      </c>
      <c r="Q316" s="5">
        <f t="shared" si="36"/>
        <v>11371</v>
      </c>
      <c r="R316" s="5">
        <f t="shared" si="37"/>
        <v>11373</v>
      </c>
      <c r="U316" s="8">
        <f>SUM(I316:R316)-H316</f>
        <v>0</v>
      </c>
      <c r="V316" s="8">
        <f>IFERROR(INDEX('Payment 1 through 9'!$A$1:$B$330,MATCH(CONCATENATE(FinalPayment!$F316,"0000"),'Payment 1 through 9'!$A$1:$A$330,0),2)*9,0)</f>
        <v>94059</v>
      </c>
      <c r="W316" s="8">
        <f>IFERROR(INDEX('FinalPayment 10'!$A$1:$B$330,MATCH(CONCATENATE(FinalPayment!$F316,"0000"),'FinalPayment 10'!$A$1:$A$330,0),2),0)</f>
        <v>10446</v>
      </c>
      <c r="X316" s="8">
        <f t="shared" si="38"/>
        <v>104505</v>
      </c>
      <c r="Y316" s="8">
        <f t="shared" si="39"/>
        <v>9207</v>
      </c>
    </row>
    <row r="317" spans="1:25" x14ac:dyDescent="0.55000000000000004">
      <c r="A317">
        <v>2021</v>
      </c>
      <c r="B317" t="s">
        <v>692</v>
      </c>
      <c r="C317" t="s">
        <v>355</v>
      </c>
      <c r="D317" t="s">
        <v>1207</v>
      </c>
      <c r="E317" t="s">
        <v>1207</v>
      </c>
      <c r="F317" t="s">
        <v>355</v>
      </c>
      <c r="G317" t="s">
        <v>318</v>
      </c>
      <c r="H317" s="5">
        <f>SUMPRODUCT(SUMIF(FinalPayment_NoReorg!$F$2:$F$331,FinalPayment!$D317:$F317,FinalPayment_NoReorg!$L$2:$L$331))+SUMPRODUCT(SUMIF(FinalPayment_NoReorg!$F$2:$F$331,FinalPayment!$D317:$F317,FinalPayment_NoReorg!$N$2:$N$331))</f>
        <v>47022</v>
      </c>
      <c r="I317" s="5">
        <f t="shared" si="34"/>
        <v>4702</v>
      </c>
      <c r="J317" s="5">
        <f t="shared" si="34"/>
        <v>4702</v>
      </c>
      <c r="K317" s="5">
        <f t="shared" si="34"/>
        <v>4702</v>
      </c>
      <c r="L317" s="5">
        <f t="shared" si="34"/>
        <v>4702</v>
      </c>
      <c r="M317" s="5">
        <f t="shared" si="35"/>
        <v>4702</v>
      </c>
      <c r="N317" s="5">
        <f t="shared" si="35"/>
        <v>4702</v>
      </c>
      <c r="O317" s="5">
        <f t="shared" si="35"/>
        <v>4702</v>
      </c>
      <c r="P317" s="5">
        <f t="shared" si="35"/>
        <v>4702</v>
      </c>
      <c r="Q317" s="5">
        <f t="shared" si="36"/>
        <v>4702</v>
      </c>
      <c r="R317" s="5">
        <f t="shared" si="37"/>
        <v>4704</v>
      </c>
      <c r="U317" s="8">
        <f t="shared" si="33"/>
        <v>0</v>
      </c>
      <c r="V317" s="8">
        <f>IFERROR(INDEX('Payment 1 through 9'!$A$1:$B$330,MATCH(CONCATENATE(FinalPayment!$F317,"0000"),'Payment 1 through 9'!$A$1:$A$330,0),2)*9,0)</f>
        <v>36324</v>
      </c>
      <c r="W317" s="8">
        <f>IFERROR(INDEX('FinalPayment 10'!$A$1:$B$330,MATCH(CONCATENATE(FinalPayment!$F317,"0000"),'FinalPayment 10'!$A$1:$A$330,0),2),0)</f>
        <v>4031</v>
      </c>
      <c r="X317" s="8">
        <f t="shared" si="38"/>
        <v>40355</v>
      </c>
      <c r="Y317" s="8">
        <f t="shared" si="39"/>
        <v>6667</v>
      </c>
    </row>
    <row r="318" spans="1:25" x14ac:dyDescent="0.55000000000000004">
      <c r="A318">
        <v>2021</v>
      </c>
      <c r="B318" t="s">
        <v>692</v>
      </c>
      <c r="C318" t="s">
        <v>354</v>
      </c>
      <c r="D318" t="s">
        <v>1207</v>
      </c>
      <c r="E318" t="s">
        <v>1207</v>
      </c>
      <c r="F318" t="s">
        <v>354</v>
      </c>
      <c r="G318" t="s">
        <v>319</v>
      </c>
      <c r="H318" s="5">
        <f>SUMPRODUCT(SUMIF(FinalPayment_NoReorg!$F$2:$F$331,FinalPayment!$D318:$F318,FinalPayment_NoReorg!$L$2:$L$331))+SUMPRODUCT(SUMIF(FinalPayment_NoReorg!$F$2:$F$331,FinalPayment!$D318:$F318,FinalPayment_NoReorg!$N$2:$N$331))</f>
        <v>38070</v>
      </c>
      <c r="I318" s="5">
        <f t="shared" si="34"/>
        <v>3807</v>
      </c>
      <c r="J318" s="5">
        <f t="shared" si="34"/>
        <v>3807</v>
      </c>
      <c r="K318" s="5">
        <f t="shared" si="34"/>
        <v>3807</v>
      </c>
      <c r="L318" s="5">
        <f t="shared" si="34"/>
        <v>3807</v>
      </c>
      <c r="M318" s="5">
        <f t="shared" si="35"/>
        <v>3807</v>
      </c>
      <c r="N318" s="5">
        <f t="shared" si="35"/>
        <v>3807</v>
      </c>
      <c r="O318" s="5">
        <f t="shared" si="35"/>
        <v>3807</v>
      </c>
      <c r="P318" s="5">
        <f t="shared" si="35"/>
        <v>3807</v>
      </c>
      <c r="Q318" s="5">
        <f t="shared" si="36"/>
        <v>3807</v>
      </c>
      <c r="R318" s="5">
        <f t="shared" si="37"/>
        <v>3807</v>
      </c>
      <c r="U318" s="8">
        <f t="shared" si="33"/>
        <v>0</v>
      </c>
      <c r="V318" s="8">
        <f>IFERROR(INDEX('Payment 1 through 9'!$A$1:$B$330,MATCH(CONCATENATE(FinalPayment!$F318,"0000"),'Payment 1 through 9'!$A$1:$A$330,0),2)*9,0)</f>
        <v>26379</v>
      </c>
      <c r="W318" s="8">
        <f>IFERROR(INDEX('FinalPayment 10'!$A$1:$B$330,MATCH(CONCATENATE(FinalPayment!$F318,"0000"),'FinalPayment 10'!$A$1:$A$330,0),2),0)</f>
        <v>2931</v>
      </c>
      <c r="X318" s="8">
        <f t="shared" si="38"/>
        <v>29310</v>
      </c>
      <c r="Y318" s="8">
        <f t="shared" si="39"/>
        <v>8760</v>
      </c>
    </row>
    <row r="319" spans="1:25" x14ac:dyDescent="0.55000000000000004">
      <c r="A319">
        <v>2021</v>
      </c>
      <c r="B319" t="s">
        <v>703</v>
      </c>
      <c r="C319" t="s">
        <v>360</v>
      </c>
      <c r="D319" t="s">
        <v>1207</v>
      </c>
      <c r="E319" t="s">
        <v>1207</v>
      </c>
      <c r="F319" t="s">
        <v>360</v>
      </c>
      <c r="G319" t="s">
        <v>1237</v>
      </c>
      <c r="H319" s="5">
        <f>SUMPRODUCT(SUMIF(FinalPayment_NoReorg!$F$2:$F$331,FinalPayment!$D319:$F319,FinalPayment_NoReorg!$L$2:$L$331))+SUMPRODUCT(SUMIF(FinalPayment_NoReorg!$F$2:$F$331,FinalPayment!$D319:$F319,FinalPayment_NoReorg!$N$2:$N$331))</f>
        <v>519987</v>
      </c>
      <c r="I319" s="5">
        <f t="shared" si="34"/>
        <v>51999</v>
      </c>
      <c r="J319" s="5">
        <f t="shared" si="34"/>
        <v>51999</v>
      </c>
      <c r="K319" s="5">
        <f t="shared" si="34"/>
        <v>51999</v>
      </c>
      <c r="L319" s="5">
        <f t="shared" si="34"/>
        <v>51999</v>
      </c>
      <c r="M319" s="5">
        <f t="shared" si="35"/>
        <v>51999</v>
      </c>
      <c r="N319" s="5">
        <f t="shared" si="35"/>
        <v>51999</v>
      </c>
      <c r="O319" s="5">
        <f t="shared" si="35"/>
        <v>51999</v>
      </c>
      <c r="P319" s="5">
        <f t="shared" si="35"/>
        <v>51999</v>
      </c>
      <c r="Q319" s="5">
        <f t="shared" si="36"/>
        <v>51999</v>
      </c>
      <c r="R319" s="5">
        <f t="shared" si="37"/>
        <v>51996</v>
      </c>
      <c r="U319" s="8">
        <f t="shared" si="33"/>
        <v>0</v>
      </c>
      <c r="V319" s="8">
        <f>IFERROR(INDEX('Payment 1 through 9'!$A$1:$B$330,MATCH(CONCATENATE(FinalPayment!$F319,"0000"),'Payment 1 through 9'!$A$1:$A$330,0),2)*9,0)</f>
        <v>438570</v>
      </c>
      <c r="W319" s="8">
        <f>IFERROR(INDEX('FinalPayment 10'!$A$1:$B$330,MATCH(CONCATENATE(FinalPayment!$F319,"0000"),'FinalPayment 10'!$A$1:$A$330,0),2),0)</f>
        <v>48725</v>
      </c>
      <c r="X319" s="8">
        <f t="shared" si="38"/>
        <v>487295</v>
      </c>
      <c r="Y319" s="8">
        <f t="shared" si="39"/>
        <v>32692</v>
      </c>
    </row>
    <row r="320" spans="1:25" x14ac:dyDescent="0.55000000000000004">
      <c r="A320">
        <v>2021</v>
      </c>
      <c r="B320" t="s">
        <v>692</v>
      </c>
      <c r="C320" t="s">
        <v>353</v>
      </c>
      <c r="D320" t="s">
        <v>1207</v>
      </c>
      <c r="E320" t="s">
        <v>1207</v>
      </c>
      <c r="F320" t="s">
        <v>353</v>
      </c>
      <c r="G320" t="s">
        <v>320</v>
      </c>
      <c r="H320" s="5">
        <f>SUMPRODUCT(SUMIF(FinalPayment_NoReorg!$F$2:$F$331,FinalPayment!$D320:$F320,FinalPayment_NoReorg!$L$2:$L$331))+SUMPRODUCT(SUMIF(FinalPayment_NoReorg!$F$2:$F$331,FinalPayment!$D320:$F320,FinalPayment_NoReorg!$N$2:$N$331))</f>
        <v>250092</v>
      </c>
      <c r="I320" s="5">
        <f t="shared" si="34"/>
        <v>25009</v>
      </c>
      <c r="J320" s="5">
        <f t="shared" si="34"/>
        <v>25009</v>
      </c>
      <c r="K320" s="5">
        <f t="shared" si="34"/>
        <v>25009</v>
      </c>
      <c r="L320" s="5">
        <f t="shared" si="34"/>
        <v>25009</v>
      </c>
      <c r="M320" s="5">
        <f t="shared" si="35"/>
        <v>25009</v>
      </c>
      <c r="N320" s="5">
        <f t="shared" si="35"/>
        <v>25009</v>
      </c>
      <c r="O320" s="5">
        <f t="shared" si="35"/>
        <v>25009</v>
      </c>
      <c r="P320" s="5">
        <f t="shared" si="35"/>
        <v>25009</v>
      </c>
      <c r="Q320" s="5">
        <f t="shared" si="36"/>
        <v>25009</v>
      </c>
      <c r="R320" s="5">
        <f t="shared" si="37"/>
        <v>25011</v>
      </c>
      <c r="U320" s="8">
        <f t="shared" si="33"/>
        <v>0</v>
      </c>
      <c r="V320" s="8">
        <f>IFERROR(INDEX('Payment 1 through 9'!$A$1:$B$330,MATCH(CONCATENATE(FinalPayment!$F320,"0000"),'Payment 1 through 9'!$A$1:$A$330,0),2)*9,0)</f>
        <v>219717</v>
      </c>
      <c r="W320" s="8">
        <f>IFERROR(INDEX('FinalPayment 10'!$A$1:$B$330,MATCH(CONCATENATE(FinalPayment!$F320,"0000"),'FinalPayment 10'!$A$1:$A$330,0),2),0)</f>
        <v>24412</v>
      </c>
      <c r="X320" s="8">
        <f t="shared" si="38"/>
        <v>244129</v>
      </c>
      <c r="Y320" s="8">
        <f t="shared" si="39"/>
        <v>5963</v>
      </c>
    </row>
    <row r="321" spans="1:25" x14ac:dyDescent="0.55000000000000004">
      <c r="A321">
        <v>2021</v>
      </c>
      <c r="B321" t="s">
        <v>692</v>
      </c>
      <c r="C321" t="s">
        <v>352</v>
      </c>
      <c r="D321" t="s">
        <v>1207</v>
      </c>
      <c r="E321" t="s">
        <v>1207</v>
      </c>
      <c r="F321" t="s">
        <v>352</v>
      </c>
      <c r="G321" t="s">
        <v>321</v>
      </c>
      <c r="H321" s="5">
        <f>SUMPRODUCT(SUMIF(FinalPayment_NoReorg!$F$2:$F$331,FinalPayment!$D321:$F321,FinalPayment_NoReorg!$L$2:$L$331))+SUMPRODUCT(SUMIF(FinalPayment_NoReorg!$F$2:$F$331,FinalPayment!$D321:$F321,FinalPayment_NoReorg!$N$2:$N$331))</f>
        <v>167</v>
      </c>
      <c r="I321" s="5">
        <f t="shared" si="34"/>
        <v>17</v>
      </c>
      <c r="J321" s="5">
        <f t="shared" si="34"/>
        <v>17</v>
      </c>
      <c r="K321" s="5">
        <f t="shared" si="34"/>
        <v>17</v>
      </c>
      <c r="L321" s="5">
        <f t="shared" si="34"/>
        <v>17</v>
      </c>
      <c r="M321" s="5">
        <f t="shared" si="35"/>
        <v>17</v>
      </c>
      <c r="N321" s="5">
        <f t="shared" si="35"/>
        <v>17</v>
      </c>
      <c r="O321" s="5">
        <f t="shared" si="35"/>
        <v>17</v>
      </c>
      <c r="P321" s="5">
        <f t="shared" si="35"/>
        <v>17</v>
      </c>
      <c r="Q321" s="5">
        <f t="shared" si="36"/>
        <v>17</v>
      </c>
      <c r="R321" s="5">
        <f t="shared" si="37"/>
        <v>14</v>
      </c>
      <c r="U321" s="8">
        <f t="shared" si="33"/>
        <v>0</v>
      </c>
      <c r="V321" s="8">
        <f>IFERROR(INDEX('Payment 1 through 9'!$A$1:$B$330,MATCH(CONCATENATE(FinalPayment!$F321,"0000"),'Payment 1 through 9'!$A$1:$A$330,0),2)*9,0)</f>
        <v>0</v>
      </c>
      <c r="W321" s="8">
        <f>IFERROR(INDEX('FinalPayment 10'!$A$1:$B$330,MATCH(CONCATENATE(FinalPayment!$F321,"0000"),'FinalPayment 10'!$A$1:$A$330,0),2),0)</f>
        <v>0</v>
      </c>
      <c r="X321" s="8">
        <f t="shared" si="38"/>
        <v>0</v>
      </c>
      <c r="Y321" s="8">
        <f t="shared" si="39"/>
        <v>167</v>
      </c>
    </row>
    <row r="322" spans="1:25" x14ac:dyDescent="0.55000000000000004">
      <c r="A322">
        <v>2021</v>
      </c>
      <c r="B322" t="s">
        <v>698</v>
      </c>
      <c r="C322" t="s">
        <v>351</v>
      </c>
      <c r="D322" t="s">
        <v>1207</v>
      </c>
      <c r="E322" t="s">
        <v>1207</v>
      </c>
      <c r="F322" t="s">
        <v>351</v>
      </c>
      <c r="G322" t="s">
        <v>322</v>
      </c>
      <c r="H322" s="5">
        <f>SUMPRODUCT(SUMIF(FinalPayment_NoReorg!$F$2:$F$331,FinalPayment!$D322:$F322,FinalPayment_NoReorg!$L$2:$L$331))+SUMPRODUCT(SUMIF(FinalPayment_NoReorg!$F$2:$F$331,FinalPayment!$D322:$F322,FinalPayment_NoReorg!$N$2:$N$331))</f>
        <v>115442</v>
      </c>
      <c r="I322" s="5">
        <f t="shared" si="34"/>
        <v>11544</v>
      </c>
      <c r="J322" s="5">
        <f t="shared" si="34"/>
        <v>11544</v>
      </c>
      <c r="K322" s="5">
        <f t="shared" si="34"/>
        <v>11544</v>
      </c>
      <c r="L322" s="5">
        <f t="shared" ref="L322" si="40">ROUND($H322/10,0)</f>
        <v>11544</v>
      </c>
      <c r="M322" s="5">
        <f t="shared" si="35"/>
        <v>11544</v>
      </c>
      <c r="N322" s="5">
        <f t="shared" si="35"/>
        <v>11544</v>
      </c>
      <c r="O322" s="5">
        <f t="shared" si="35"/>
        <v>11544</v>
      </c>
      <c r="P322" s="5">
        <f t="shared" ref="P322" si="41">ROUND($H322/10,0)</f>
        <v>11544</v>
      </c>
      <c r="Q322" s="5">
        <f t="shared" si="36"/>
        <v>11544</v>
      </c>
      <c r="R322" s="5">
        <f t="shared" si="37"/>
        <v>11546</v>
      </c>
      <c r="U322" s="8">
        <f t="shared" ref="U322:U328" si="42">SUM(I322:R322)-H322</f>
        <v>0</v>
      </c>
      <c r="V322" s="8">
        <f>IFERROR(INDEX('Payment 1 through 9'!$A$1:$B$330,MATCH(CONCATENATE(FinalPayment!$F322,"0000"),'Payment 1 through 9'!$A$1:$A$330,0),2)*9,0)</f>
        <v>93420</v>
      </c>
      <c r="W322" s="8">
        <f>IFERROR(INDEX('FinalPayment 10'!$A$1:$B$330,MATCH(CONCATENATE(FinalPayment!$F322,"0000"),'FinalPayment 10'!$A$1:$A$330,0),2),0)</f>
        <v>10377</v>
      </c>
      <c r="X322" s="8">
        <f t="shared" si="38"/>
        <v>103797</v>
      </c>
      <c r="Y322" s="8">
        <f t="shared" si="39"/>
        <v>11645</v>
      </c>
    </row>
    <row r="323" spans="1:25" x14ac:dyDescent="0.55000000000000004">
      <c r="A323">
        <v>2021</v>
      </c>
      <c r="B323" t="s">
        <v>707</v>
      </c>
      <c r="C323" t="s">
        <v>350</v>
      </c>
      <c r="D323" t="s">
        <v>1207</v>
      </c>
      <c r="E323" t="s">
        <v>1207</v>
      </c>
      <c r="F323" t="s">
        <v>350</v>
      </c>
      <c r="G323" t="s">
        <v>323</v>
      </c>
      <c r="H323" s="5">
        <f>SUMPRODUCT(SUMIF(FinalPayment_NoReorg!$F$2:$F$331,FinalPayment!$D323:$F323,FinalPayment_NoReorg!$L$2:$L$331))+SUMPRODUCT(SUMIF(FinalPayment_NoReorg!$F$2:$F$331,FinalPayment!$D323:$F323,FinalPayment_NoReorg!$N$2:$N$331))</f>
        <v>686</v>
      </c>
      <c r="I323" s="5">
        <f t="shared" ref="I323:Q328" si="43">ROUND($H323/10,0)</f>
        <v>69</v>
      </c>
      <c r="J323" s="5">
        <f t="shared" si="43"/>
        <v>69</v>
      </c>
      <c r="K323" s="5">
        <f t="shared" si="43"/>
        <v>69</v>
      </c>
      <c r="L323" s="5">
        <f t="shared" si="43"/>
        <v>69</v>
      </c>
      <c r="M323" s="5">
        <f t="shared" si="43"/>
        <v>69</v>
      </c>
      <c r="N323" s="5">
        <f t="shared" si="43"/>
        <v>69</v>
      </c>
      <c r="O323" s="5">
        <f t="shared" si="43"/>
        <v>69</v>
      </c>
      <c r="P323" s="5">
        <f t="shared" si="43"/>
        <v>69</v>
      </c>
      <c r="Q323" s="5">
        <f t="shared" si="43"/>
        <v>69</v>
      </c>
      <c r="R323" s="5">
        <f t="shared" ref="R323:R328" si="44">$H323-SUM(I323:Q323)</f>
        <v>65</v>
      </c>
      <c r="U323" s="8">
        <f t="shared" si="42"/>
        <v>0</v>
      </c>
      <c r="V323" s="8">
        <f>IFERROR(INDEX('Payment 1 through 9'!$A$1:$B$330,MATCH(CONCATENATE(FinalPayment!$F323,"0000"),'Payment 1 through 9'!$A$1:$A$330,0),2)*9,0)</f>
        <v>0</v>
      </c>
      <c r="W323" s="8">
        <f>IFERROR(INDEX('FinalPayment 10'!$A$1:$B$330,MATCH(CONCATENATE(FinalPayment!$F323,"0000"),'FinalPayment 10'!$A$1:$A$330,0),2),0)</f>
        <v>0</v>
      </c>
      <c r="X323" s="8">
        <f t="shared" ref="X323:X328" si="45">SUM(V323:W323)</f>
        <v>0</v>
      </c>
      <c r="Y323" s="8">
        <f t="shared" ref="Y323:Y327" si="46">H323-X323</f>
        <v>686</v>
      </c>
    </row>
    <row r="324" spans="1:25" x14ac:dyDescent="0.55000000000000004">
      <c r="A324">
        <v>2021</v>
      </c>
      <c r="B324" t="s">
        <v>696</v>
      </c>
      <c r="C324" t="s">
        <v>349</v>
      </c>
      <c r="D324" t="s">
        <v>1207</v>
      </c>
      <c r="E324" t="s">
        <v>1207</v>
      </c>
      <c r="F324" t="s">
        <v>349</v>
      </c>
      <c r="G324" t="s">
        <v>324</v>
      </c>
      <c r="H324" s="5">
        <f>SUMPRODUCT(SUMIF(FinalPayment_NoReorg!$F$2:$F$331,FinalPayment!$D324:$F324,FinalPayment_NoReorg!$L$2:$L$331))+SUMPRODUCT(SUMIF(FinalPayment_NoReorg!$F$2:$F$331,FinalPayment!$D324:$F324,FinalPayment_NoReorg!$N$2:$N$331))</f>
        <v>263</v>
      </c>
      <c r="I324" s="5">
        <f t="shared" si="43"/>
        <v>26</v>
      </c>
      <c r="J324" s="5">
        <f t="shared" si="43"/>
        <v>26</v>
      </c>
      <c r="K324" s="5">
        <f t="shared" si="43"/>
        <v>26</v>
      </c>
      <c r="L324" s="5">
        <f t="shared" si="43"/>
        <v>26</v>
      </c>
      <c r="M324" s="5">
        <f t="shared" si="43"/>
        <v>26</v>
      </c>
      <c r="N324" s="5">
        <f t="shared" si="43"/>
        <v>26</v>
      </c>
      <c r="O324" s="5">
        <f t="shared" si="43"/>
        <v>26</v>
      </c>
      <c r="P324" s="5">
        <f t="shared" si="43"/>
        <v>26</v>
      </c>
      <c r="Q324" s="5">
        <f t="shared" si="43"/>
        <v>26</v>
      </c>
      <c r="R324" s="5">
        <f t="shared" si="44"/>
        <v>29</v>
      </c>
      <c r="U324" s="8">
        <f t="shared" si="42"/>
        <v>0</v>
      </c>
      <c r="V324" s="8">
        <f>IFERROR(INDEX('Payment 1 through 9'!$A$1:$B$330,MATCH(CONCATENATE(FinalPayment!$F324,"0000"),'Payment 1 through 9'!$A$1:$A$330,0),2)*9,0)</f>
        <v>0</v>
      </c>
      <c r="W324" s="8">
        <f>IFERROR(INDEX('FinalPayment 10'!$A$1:$B$330,MATCH(CONCATENATE(FinalPayment!$F324,"0000"),'FinalPayment 10'!$A$1:$A$330,0),2),0)</f>
        <v>0</v>
      </c>
      <c r="X324" s="8">
        <f t="shared" si="45"/>
        <v>0</v>
      </c>
      <c r="Y324" s="8">
        <f t="shared" si="46"/>
        <v>263</v>
      </c>
    </row>
    <row r="325" spans="1:25" x14ac:dyDescent="0.55000000000000004">
      <c r="A325">
        <v>2021</v>
      </c>
      <c r="B325" t="s">
        <v>686</v>
      </c>
      <c r="C325" t="s">
        <v>348</v>
      </c>
      <c r="D325" t="s">
        <v>1207</v>
      </c>
      <c r="E325" t="s">
        <v>1207</v>
      </c>
      <c r="F325" t="s">
        <v>348</v>
      </c>
      <c r="G325" t="s">
        <v>325</v>
      </c>
      <c r="H325" s="5">
        <f>SUMPRODUCT(SUMIF(FinalPayment_NoReorg!$F$2:$F$331,FinalPayment!$D325:$F325,FinalPayment_NoReorg!$L$2:$L$331))+SUMPRODUCT(SUMIF(FinalPayment_NoReorg!$F$2:$F$331,FinalPayment!$D325:$F325,FinalPayment_NoReorg!$N$2:$N$331))</f>
        <v>176116</v>
      </c>
      <c r="I325" s="5">
        <f t="shared" si="43"/>
        <v>17612</v>
      </c>
      <c r="J325" s="5">
        <f t="shared" si="43"/>
        <v>17612</v>
      </c>
      <c r="K325" s="5">
        <f t="shared" si="43"/>
        <v>17612</v>
      </c>
      <c r="L325" s="5">
        <f t="shared" si="43"/>
        <v>17612</v>
      </c>
      <c r="M325" s="5">
        <f t="shared" si="43"/>
        <v>17612</v>
      </c>
      <c r="N325" s="5">
        <f t="shared" si="43"/>
        <v>17612</v>
      </c>
      <c r="O325" s="5">
        <f t="shared" si="43"/>
        <v>17612</v>
      </c>
      <c r="P325" s="5">
        <f t="shared" si="43"/>
        <v>17612</v>
      </c>
      <c r="Q325" s="5">
        <f t="shared" si="43"/>
        <v>17612</v>
      </c>
      <c r="R325" s="5">
        <f t="shared" si="44"/>
        <v>17608</v>
      </c>
      <c r="U325" s="8">
        <f t="shared" si="42"/>
        <v>0</v>
      </c>
      <c r="V325" s="8">
        <f>IFERROR(INDEX('Payment 1 through 9'!$A$1:$B$330,MATCH(CONCATENATE(FinalPayment!$F325,"0000"),'Payment 1 through 9'!$A$1:$A$330,0),2)*9,0)</f>
        <v>142146</v>
      </c>
      <c r="W325" s="8">
        <f>IFERROR(INDEX('FinalPayment 10'!$A$1:$B$330,MATCH(CONCATENATE(FinalPayment!$F325,"0000"),'FinalPayment 10'!$A$1:$A$330,0),2),0)</f>
        <v>15792</v>
      </c>
      <c r="X325" s="8">
        <f t="shared" si="45"/>
        <v>157938</v>
      </c>
      <c r="Y325" s="8">
        <f t="shared" si="46"/>
        <v>18178</v>
      </c>
    </row>
    <row r="326" spans="1:25" x14ac:dyDescent="0.55000000000000004">
      <c r="A326">
        <v>2021</v>
      </c>
      <c r="B326" t="s">
        <v>690</v>
      </c>
      <c r="C326" t="s">
        <v>347</v>
      </c>
      <c r="D326" t="s">
        <v>1207</v>
      </c>
      <c r="E326" t="s">
        <v>1207</v>
      </c>
      <c r="F326" t="s">
        <v>347</v>
      </c>
      <c r="G326" t="s">
        <v>326</v>
      </c>
      <c r="H326" s="5">
        <f>SUMPRODUCT(SUMIF(FinalPayment_NoReorg!$F$2:$F$331,FinalPayment!$D326:$F326,FinalPayment_NoReorg!$L$2:$L$331))+SUMPRODUCT(SUMIF(FinalPayment_NoReorg!$F$2:$F$331,FinalPayment!$D326:$F326,FinalPayment_NoReorg!$N$2:$N$331))</f>
        <v>381</v>
      </c>
      <c r="I326" s="5">
        <f t="shared" si="43"/>
        <v>38</v>
      </c>
      <c r="J326" s="5">
        <f t="shared" si="43"/>
        <v>38</v>
      </c>
      <c r="K326" s="5">
        <f t="shared" si="43"/>
        <v>38</v>
      </c>
      <c r="L326" s="5">
        <f t="shared" si="43"/>
        <v>38</v>
      </c>
      <c r="M326" s="5">
        <f t="shared" si="43"/>
        <v>38</v>
      </c>
      <c r="N326" s="5">
        <f t="shared" si="43"/>
        <v>38</v>
      </c>
      <c r="O326" s="5">
        <f t="shared" si="43"/>
        <v>38</v>
      </c>
      <c r="P326" s="5">
        <f t="shared" si="43"/>
        <v>38</v>
      </c>
      <c r="Q326" s="5">
        <f t="shared" si="43"/>
        <v>38</v>
      </c>
      <c r="R326" s="5">
        <f t="shared" si="44"/>
        <v>39</v>
      </c>
      <c r="U326" s="8">
        <f t="shared" si="42"/>
        <v>0</v>
      </c>
      <c r="V326" s="8">
        <f>IFERROR(INDEX('Payment 1 through 9'!$A$1:$B$330,MATCH(CONCATENATE(FinalPayment!$F326,"0000"),'Payment 1 through 9'!$A$1:$A$330,0),2)*9,0)</f>
        <v>0</v>
      </c>
      <c r="W326" s="8">
        <f>IFERROR(INDEX('FinalPayment 10'!$A$1:$B$330,MATCH(CONCATENATE(FinalPayment!$F326,"0000"),'FinalPayment 10'!$A$1:$A$330,0),2),0)</f>
        <v>0</v>
      </c>
      <c r="X326" s="8">
        <f t="shared" si="45"/>
        <v>0</v>
      </c>
      <c r="Y326" s="8">
        <f t="shared" si="46"/>
        <v>381</v>
      </c>
    </row>
    <row r="327" spans="1:25" x14ac:dyDescent="0.55000000000000004">
      <c r="A327">
        <v>2021</v>
      </c>
      <c r="B327" t="s">
        <v>692</v>
      </c>
      <c r="C327" t="s">
        <v>346</v>
      </c>
      <c r="D327" t="s">
        <v>1207</v>
      </c>
      <c r="E327" t="s">
        <v>1207</v>
      </c>
      <c r="F327" t="s">
        <v>346</v>
      </c>
      <c r="G327" t="s">
        <v>327</v>
      </c>
      <c r="H327" s="5">
        <f>SUMPRODUCT(SUMIF(FinalPayment_NoReorg!$F$2:$F$331,FinalPayment!$D327:$F327,FinalPayment_NoReorg!$L$2:$L$331))+SUMPRODUCT(SUMIF(FinalPayment_NoReorg!$F$2:$F$331,FinalPayment!$D327:$F327,FinalPayment_NoReorg!$N$2:$N$331))</f>
        <v>109112</v>
      </c>
      <c r="I327" s="5">
        <f t="shared" si="43"/>
        <v>10911</v>
      </c>
      <c r="J327" s="5">
        <f t="shared" si="43"/>
        <v>10911</v>
      </c>
      <c r="K327" s="5">
        <f t="shared" si="43"/>
        <v>10911</v>
      </c>
      <c r="L327" s="5">
        <f t="shared" si="43"/>
        <v>10911</v>
      </c>
      <c r="M327" s="5">
        <f t="shared" si="43"/>
        <v>10911</v>
      </c>
      <c r="N327" s="5">
        <f t="shared" si="43"/>
        <v>10911</v>
      </c>
      <c r="O327" s="5">
        <f t="shared" si="43"/>
        <v>10911</v>
      </c>
      <c r="P327" s="5">
        <f t="shared" si="43"/>
        <v>10911</v>
      </c>
      <c r="Q327" s="5">
        <f t="shared" si="43"/>
        <v>10911</v>
      </c>
      <c r="R327" s="5">
        <f t="shared" si="44"/>
        <v>10913</v>
      </c>
      <c r="U327" s="8">
        <f t="shared" si="42"/>
        <v>0</v>
      </c>
      <c r="V327" s="8">
        <f>IFERROR(INDEX('Payment 1 through 9'!$A$1:$B$330,MATCH(CONCATENATE(FinalPayment!$F327,"0000"),'Payment 1 through 9'!$A$1:$A$330,0),2)*9,0)</f>
        <v>92961</v>
      </c>
      <c r="W327" s="8">
        <f>IFERROR(INDEX('FinalPayment 10'!$A$1:$B$330,MATCH(CONCATENATE(FinalPayment!$F327,"0000"),'FinalPayment 10'!$A$1:$A$330,0),2),0)</f>
        <v>10324</v>
      </c>
      <c r="X327" s="8">
        <f t="shared" si="45"/>
        <v>103285</v>
      </c>
      <c r="Y327" s="8">
        <f t="shared" si="46"/>
        <v>5827</v>
      </c>
    </row>
    <row r="328" spans="1:25" x14ac:dyDescent="0.55000000000000004">
      <c r="A328">
        <v>2021</v>
      </c>
      <c r="B328" t="s">
        <v>686</v>
      </c>
      <c r="C328" t="s">
        <v>345</v>
      </c>
      <c r="D328" t="s">
        <v>1207</v>
      </c>
      <c r="E328" t="s">
        <v>1207</v>
      </c>
      <c r="F328" t="s">
        <v>345</v>
      </c>
      <c r="G328" t="s">
        <v>328</v>
      </c>
      <c r="H328" s="5">
        <f>SUMPRODUCT(SUMIF(FinalPayment_NoReorg!$F$2:$F$331,FinalPayment!$D328:$F328,FinalPayment_NoReorg!$L$2:$L$331))+SUMPRODUCT(SUMIF(FinalPayment_NoReorg!$F$2:$F$331,FinalPayment!$D328:$F328,FinalPayment_NoReorg!$N$2:$N$331))</f>
        <v>60405</v>
      </c>
      <c r="I328" s="5">
        <f t="shared" si="43"/>
        <v>6041</v>
      </c>
      <c r="J328" s="5">
        <f t="shared" si="43"/>
        <v>6041</v>
      </c>
      <c r="K328" s="5">
        <f t="shared" si="43"/>
        <v>6041</v>
      </c>
      <c r="L328" s="5">
        <f t="shared" si="43"/>
        <v>6041</v>
      </c>
      <c r="M328" s="5">
        <f t="shared" si="43"/>
        <v>6041</v>
      </c>
      <c r="N328" s="5">
        <f t="shared" si="43"/>
        <v>6041</v>
      </c>
      <c r="O328" s="5">
        <f t="shared" si="43"/>
        <v>6041</v>
      </c>
      <c r="P328" s="5">
        <f t="shared" si="43"/>
        <v>6041</v>
      </c>
      <c r="Q328" s="5">
        <f t="shared" si="43"/>
        <v>6041</v>
      </c>
      <c r="R328" s="5">
        <f t="shared" si="44"/>
        <v>6036</v>
      </c>
      <c r="U328" s="8">
        <f t="shared" si="42"/>
        <v>0</v>
      </c>
      <c r="V328" s="8">
        <f>IFERROR(INDEX('Payment 1 through 9'!$A$1:$B$330,MATCH(CONCATENATE(FinalPayment!$F328,"0000"),'Payment 1 through 9'!$A$1:$A$330,0),2)*9,0)</f>
        <v>45468</v>
      </c>
      <c r="W328" s="8">
        <f>IFERROR(INDEX('FinalPayment 10'!$A$1:$B$330,MATCH(CONCATENATE(FinalPayment!$F328,"0000"),'FinalPayment 10'!$A$1:$A$330,0),2),0)</f>
        <v>5048</v>
      </c>
      <c r="X328" s="8">
        <f t="shared" si="45"/>
        <v>50516</v>
      </c>
      <c r="Y328" s="8">
        <f>H328-X328</f>
        <v>9889</v>
      </c>
    </row>
    <row r="329" spans="1:25" x14ac:dyDescent="0.55000000000000004">
      <c r="V329" s="8">
        <f>SUM(V2:V328)</f>
        <v>22027680</v>
      </c>
      <c r="W329" s="8">
        <f>SUM(W2:W328)</f>
        <v>2447320</v>
      </c>
      <c r="X329" s="8">
        <f>SUM(X2:X328)</f>
        <v>24475000</v>
      </c>
      <c r="Y329" s="8"/>
    </row>
    <row r="331" spans="1:25" x14ac:dyDescent="0.55000000000000004">
      <c r="W331" s="8">
        <f>SUM('FinalPayment 10'!$B:$B)</f>
        <v>2447320</v>
      </c>
    </row>
    <row r="333" spans="1:25" x14ac:dyDescent="0.55000000000000004">
      <c r="W333" s="8">
        <f>W331-W329</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28"/>
  <sheetViews>
    <sheetView workbookViewId="0">
      <selection activeCell="O2" sqref="O2:O328"/>
    </sheetView>
  </sheetViews>
  <sheetFormatPr defaultColWidth="11.578125" defaultRowHeight="14.4" x14ac:dyDescent="0.55000000000000004"/>
  <cols>
    <col min="2" max="2" width="35.41796875" bestFit="1" customWidth="1"/>
    <col min="3" max="13" width="11.578125" style="8"/>
    <col min="16" max="16" width="63.68359375" customWidth="1"/>
  </cols>
  <sheetData>
    <row r="1" spans="1:16" s="7" customFormat="1" ht="28.8" x14ac:dyDescent="0.55000000000000004">
      <c r="A1" s="7" t="s">
        <v>1028</v>
      </c>
      <c r="B1" s="7" t="s">
        <v>1206</v>
      </c>
      <c r="C1" s="34" t="s">
        <v>1036</v>
      </c>
      <c r="D1" s="34" t="s">
        <v>1046</v>
      </c>
      <c r="E1" s="34" t="s">
        <v>1047</v>
      </c>
      <c r="F1" s="34" t="s">
        <v>1048</v>
      </c>
      <c r="G1" s="34" t="s">
        <v>1049</v>
      </c>
      <c r="H1" s="34" t="s">
        <v>1050</v>
      </c>
      <c r="I1" s="34" t="s">
        <v>1051</v>
      </c>
      <c r="J1" s="34" t="s">
        <v>1052</v>
      </c>
      <c r="K1" s="34" t="s">
        <v>1053</v>
      </c>
      <c r="L1" s="34" t="s">
        <v>1054</v>
      </c>
      <c r="M1" s="34" t="s">
        <v>1055</v>
      </c>
      <c r="O1" s="7" t="s">
        <v>1287</v>
      </c>
      <c r="P1" s="7" t="s">
        <v>1288</v>
      </c>
    </row>
    <row r="2" spans="1:16" x14ac:dyDescent="0.55000000000000004">
      <c r="A2" t="s">
        <v>682</v>
      </c>
      <c r="B2" s="8" t="s">
        <v>18</v>
      </c>
      <c r="C2" s="8">
        <v>186218</v>
      </c>
      <c r="D2" s="8">
        <v>18622</v>
      </c>
      <c r="E2" s="8">
        <v>18622</v>
      </c>
      <c r="F2" s="8">
        <v>18622</v>
      </c>
      <c r="G2" s="8">
        <v>18622</v>
      </c>
      <c r="H2" s="8">
        <v>18622</v>
      </c>
      <c r="I2" s="8">
        <v>18622</v>
      </c>
      <c r="J2" s="8">
        <v>18622</v>
      </c>
      <c r="K2" s="8">
        <v>18622</v>
      </c>
      <c r="L2" s="8">
        <v>18622</v>
      </c>
      <c r="M2" s="8">
        <v>18620</v>
      </c>
      <c r="O2" t="str">
        <f>CONCATENATE(A2,"0000")</f>
        <v>00180000</v>
      </c>
    </row>
    <row r="3" spans="1:16" x14ac:dyDescent="0.55000000000000004">
      <c r="A3" t="s">
        <v>681</v>
      </c>
      <c r="B3" s="8" t="s">
        <v>1208</v>
      </c>
      <c r="C3" s="8">
        <v>59447</v>
      </c>
      <c r="D3" s="8">
        <v>5945</v>
      </c>
      <c r="E3" s="8">
        <v>5945</v>
      </c>
      <c r="F3" s="8">
        <v>5945</v>
      </c>
      <c r="G3" s="8">
        <v>5945</v>
      </c>
      <c r="H3" s="8">
        <v>5945</v>
      </c>
      <c r="I3" s="8">
        <v>5945</v>
      </c>
      <c r="J3" s="8">
        <v>5945</v>
      </c>
      <c r="K3" s="8">
        <v>5945</v>
      </c>
      <c r="L3" s="8">
        <v>5945</v>
      </c>
      <c r="M3" s="8">
        <v>5942</v>
      </c>
      <c r="O3" t="str">
        <f t="shared" ref="O3:O66" si="0">CONCATENATE(A3,"0000")</f>
        <v>00270000</v>
      </c>
    </row>
    <row r="4" spans="1:16" x14ac:dyDescent="0.55000000000000004">
      <c r="A4" t="s">
        <v>683</v>
      </c>
      <c r="B4" s="8" t="s">
        <v>17</v>
      </c>
      <c r="C4" s="8">
        <v>175554</v>
      </c>
      <c r="D4" s="8">
        <v>17555</v>
      </c>
      <c r="E4" s="8">
        <v>17555</v>
      </c>
      <c r="F4" s="8">
        <v>17555</v>
      </c>
      <c r="G4" s="8">
        <v>17555</v>
      </c>
      <c r="H4" s="8">
        <v>17555</v>
      </c>
      <c r="I4" s="8">
        <v>17555</v>
      </c>
      <c r="J4" s="8">
        <v>17555</v>
      </c>
      <c r="K4" s="8">
        <v>17555</v>
      </c>
      <c r="L4" s="8">
        <v>17555</v>
      </c>
      <c r="M4" s="8">
        <v>17559</v>
      </c>
      <c r="O4" t="str">
        <f t="shared" si="0"/>
        <v>00090000</v>
      </c>
      <c r="P4" s="7"/>
    </row>
    <row r="5" spans="1:16" x14ac:dyDescent="0.55000000000000004">
      <c r="A5" t="s">
        <v>661</v>
      </c>
      <c r="B5" s="8" t="s">
        <v>691</v>
      </c>
      <c r="C5" s="8">
        <v>86688</v>
      </c>
      <c r="D5" s="8">
        <v>8669</v>
      </c>
      <c r="E5" s="8">
        <v>8669</v>
      </c>
      <c r="F5" s="8">
        <v>8669</v>
      </c>
      <c r="G5" s="8">
        <v>8669</v>
      </c>
      <c r="H5" s="8">
        <v>8669</v>
      </c>
      <c r="I5" s="8">
        <v>8669</v>
      </c>
      <c r="J5" s="8">
        <v>8669</v>
      </c>
      <c r="K5" s="8">
        <v>8669</v>
      </c>
      <c r="L5" s="8">
        <v>8669</v>
      </c>
      <c r="M5" s="8">
        <v>8667</v>
      </c>
      <c r="O5" t="str">
        <f t="shared" si="0"/>
        <v>04410000</v>
      </c>
    </row>
    <row r="6" spans="1:16" x14ac:dyDescent="0.55000000000000004">
      <c r="A6" t="s">
        <v>680</v>
      </c>
      <c r="B6" s="8" t="s">
        <v>1209</v>
      </c>
      <c r="C6" s="8">
        <v>147977</v>
      </c>
      <c r="D6" s="8">
        <v>14798</v>
      </c>
      <c r="E6" s="8">
        <v>14798</v>
      </c>
      <c r="F6" s="8">
        <v>14798</v>
      </c>
      <c r="G6" s="8">
        <v>14798</v>
      </c>
      <c r="H6" s="8">
        <v>14798</v>
      </c>
      <c r="I6" s="8">
        <v>14798</v>
      </c>
      <c r="J6" s="8">
        <v>14798</v>
      </c>
      <c r="K6" s="8">
        <v>14798</v>
      </c>
      <c r="L6" s="8">
        <v>14798</v>
      </c>
      <c r="M6" s="8">
        <v>14795</v>
      </c>
      <c r="O6" t="str">
        <f t="shared" si="0"/>
        <v>00630000</v>
      </c>
    </row>
    <row r="7" spans="1:16" x14ac:dyDescent="0.55000000000000004">
      <c r="A7" t="s">
        <v>679</v>
      </c>
      <c r="B7" s="8" t="s">
        <v>21</v>
      </c>
      <c r="C7" s="8">
        <v>111897</v>
      </c>
      <c r="D7" s="8">
        <v>11190</v>
      </c>
      <c r="E7" s="8">
        <v>11190</v>
      </c>
      <c r="F7" s="8">
        <v>11190</v>
      </c>
      <c r="G7" s="8">
        <v>11190</v>
      </c>
      <c r="H7" s="8">
        <v>11190</v>
      </c>
      <c r="I7" s="8">
        <v>11190</v>
      </c>
      <c r="J7" s="8">
        <v>11190</v>
      </c>
      <c r="K7" s="8">
        <v>11190</v>
      </c>
      <c r="L7" s="8">
        <v>11190</v>
      </c>
      <c r="M7" s="8">
        <v>11187</v>
      </c>
      <c r="O7" t="str">
        <f t="shared" si="0"/>
        <v>00720000</v>
      </c>
    </row>
    <row r="8" spans="1:16" x14ac:dyDescent="0.55000000000000004">
      <c r="A8" t="s">
        <v>678</v>
      </c>
      <c r="B8" s="8" t="s">
        <v>22</v>
      </c>
      <c r="C8" s="8">
        <v>18017</v>
      </c>
      <c r="D8" s="8">
        <v>1802</v>
      </c>
      <c r="E8" s="8">
        <v>1802</v>
      </c>
      <c r="F8" s="8">
        <v>1802</v>
      </c>
      <c r="G8" s="8">
        <v>1802</v>
      </c>
      <c r="H8" s="8">
        <v>1802</v>
      </c>
      <c r="I8" s="8">
        <v>1802</v>
      </c>
      <c r="J8" s="8">
        <v>1802</v>
      </c>
      <c r="K8" s="8">
        <v>1802</v>
      </c>
      <c r="L8" s="8">
        <v>1802</v>
      </c>
      <c r="M8" s="8">
        <v>1799</v>
      </c>
      <c r="O8" t="str">
        <f t="shared" si="0"/>
        <v>00810000</v>
      </c>
    </row>
    <row r="9" spans="1:16" x14ac:dyDescent="0.55000000000000004">
      <c r="A9" t="s">
        <v>677</v>
      </c>
      <c r="B9" s="8" t="s">
        <v>23</v>
      </c>
      <c r="C9" s="8">
        <v>140699</v>
      </c>
      <c r="D9" s="8">
        <v>14070</v>
      </c>
      <c r="E9" s="8">
        <v>14070</v>
      </c>
      <c r="F9" s="8">
        <v>14070</v>
      </c>
      <c r="G9" s="8">
        <v>14070</v>
      </c>
      <c r="H9" s="8">
        <v>14070</v>
      </c>
      <c r="I9" s="8">
        <v>14070</v>
      </c>
      <c r="J9" s="8">
        <v>14070</v>
      </c>
      <c r="K9" s="8">
        <v>14070</v>
      </c>
      <c r="L9" s="8">
        <v>14070</v>
      </c>
      <c r="M9" s="8">
        <v>14069</v>
      </c>
      <c r="O9" t="str">
        <f t="shared" si="0"/>
        <v>00990000</v>
      </c>
    </row>
    <row r="10" spans="1:16" x14ac:dyDescent="0.55000000000000004">
      <c r="A10" t="s">
        <v>676</v>
      </c>
      <c r="B10" s="8" t="s">
        <v>24</v>
      </c>
      <c r="C10" s="8">
        <v>41209</v>
      </c>
      <c r="D10" s="8">
        <v>4121</v>
      </c>
      <c r="E10" s="8">
        <v>4121</v>
      </c>
      <c r="F10" s="8">
        <v>4121</v>
      </c>
      <c r="G10" s="8">
        <v>4121</v>
      </c>
      <c r="H10" s="8">
        <v>4121</v>
      </c>
      <c r="I10" s="8">
        <v>4121</v>
      </c>
      <c r="J10" s="8">
        <v>4121</v>
      </c>
      <c r="K10" s="8">
        <v>4121</v>
      </c>
      <c r="L10" s="8">
        <v>4121</v>
      </c>
      <c r="M10" s="8">
        <v>4120</v>
      </c>
      <c r="O10" t="str">
        <f t="shared" si="0"/>
        <v>01080000</v>
      </c>
    </row>
    <row r="11" spans="1:16" x14ac:dyDescent="0.55000000000000004">
      <c r="A11" t="s">
        <v>675</v>
      </c>
      <c r="B11" s="8" t="s">
        <v>25</v>
      </c>
      <c r="C11" s="8">
        <v>125429</v>
      </c>
      <c r="D11" s="8">
        <v>12543</v>
      </c>
      <c r="E11" s="8">
        <v>12543</v>
      </c>
      <c r="F11" s="8">
        <v>12543</v>
      </c>
      <c r="G11" s="8">
        <v>12543</v>
      </c>
      <c r="H11" s="8">
        <v>12543</v>
      </c>
      <c r="I11" s="8">
        <v>12543</v>
      </c>
      <c r="J11" s="8">
        <v>12543</v>
      </c>
      <c r="K11" s="8">
        <v>12543</v>
      </c>
      <c r="L11" s="8">
        <v>12543</v>
      </c>
      <c r="M11" s="8">
        <v>12542</v>
      </c>
      <c r="O11" t="str">
        <f t="shared" si="0"/>
        <v>01260000</v>
      </c>
    </row>
    <row r="12" spans="1:16" x14ac:dyDescent="0.55000000000000004">
      <c r="A12" t="s">
        <v>674</v>
      </c>
      <c r="B12" s="8" t="s">
        <v>26</v>
      </c>
      <c r="C12" s="8">
        <v>326223</v>
      </c>
      <c r="D12" s="8">
        <v>32622</v>
      </c>
      <c r="E12" s="8">
        <v>32622</v>
      </c>
      <c r="F12" s="8">
        <v>32622</v>
      </c>
      <c r="G12" s="8">
        <v>32622</v>
      </c>
      <c r="H12" s="8">
        <v>32622</v>
      </c>
      <c r="I12" s="8">
        <v>32622</v>
      </c>
      <c r="J12" s="8">
        <v>32622</v>
      </c>
      <c r="K12" s="8">
        <v>32622</v>
      </c>
      <c r="L12" s="8">
        <v>32622</v>
      </c>
      <c r="M12" s="8">
        <v>32625</v>
      </c>
      <c r="O12" t="str">
        <f t="shared" si="0"/>
        <v>01350000</v>
      </c>
    </row>
    <row r="13" spans="1:16" x14ac:dyDescent="0.55000000000000004">
      <c r="A13" t="s">
        <v>672</v>
      </c>
      <c r="B13" s="8" t="s">
        <v>1210</v>
      </c>
      <c r="C13" s="8">
        <v>44820</v>
      </c>
      <c r="D13" s="8">
        <v>4482</v>
      </c>
      <c r="E13" s="8">
        <v>4482</v>
      </c>
      <c r="F13" s="8">
        <v>4482</v>
      </c>
      <c r="G13" s="8">
        <v>4482</v>
      </c>
      <c r="H13" s="8">
        <v>4482</v>
      </c>
      <c r="I13" s="8">
        <v>4482</v>
      </c>
      <c r="J13" s="8">
        <v>4482</v>
      </c>
      <c r="K13" s="8">
        <v>4482</v>
      </c>
      <c r="L13" s="8">
        <v>4482</v>
      </c>
      <c r="M13" s="8">
        <v>4482</v>
      </c>
      <c r="O13" t="str">
        <f t="shared" si="0"/>
        <v>01710000</v>
      </c>
    </row>
    <row r="14" spans="1:16" x14ac:dyDescent="0.55000000000000004">
      <c r="A14" t="s">
        <v>671</v>
      </c>
      <c r="B14" s="8" t="s">
        <v>28</v>
      </c>
      <c r="C14" s="8">
        <v>809241</v>
      </c>
      <c r="D14" s="8">
        <v>80924</v>
      </c>
      <c r="E14" s="8">
        <v>80924</v>
      </c>
      <c r="F14" s="8">
        <v>80924</v>
      </c>
      <c r="G14" s="8">
        <v>80924</v>
      </c>
      <c r="H14" s="8">
        <v>80924</v>
      </c>
      <c r="I14" s="8">
        <v>80924</v>
      </c>
      <c r="J14" s="8">
        <v>80924</v>
      </c>
      <c r="K14" s="8">
        <v>80924</v>
      </c>
      <c r="L14" s="8">
        <v>80924</v>
      </c>
      <c r="M14" s="8">
        <v>80925</v>
      </c>
      <c r="O14" t="str">
        <f t="shared" si="0"/>
        <v>02250000</v>
      </c>
    </row>
    <row r="15" spans="1:16" hidden="1" x14ac:dyDescent="0.55000000000000004">
      <c r="A15" t="s">
        <v>670</v>
      </c>
      <c r="B15" s="8" t="s">
        <v>29</v>
      </c>
      <c r="C15" s="8">
        <v>0</v>
      </c>
      <c r="D15" s="8">
        <v>0</v>
      </c>
      <c r="E15" s="8">
        <v>0</v>
      </c>
      <c r="F15" s="8">
        <v>0</v>
      </c>
      <c r="G15" s="8">
        <v>0</v>
      </c>
      <c r="H15" s="8">
        <v>0</v>
      </c>
      <c r="I15" s="8">
        <v>0</v>
      </c>
      <c r="J15" s="8">
        <v>0</v>
      </c>
      <c r="K15" s="8">
        <v>0</v>
      </c>
      <c r="L15" s="8">
        <v>0</v>
      </c>
      <c r="M15" s="8">
        <v>0</v>
      </c>
      <c r="O15" t="str">
        <f t="shared" si="0"/>
        <v>02340000</v>
      </c>
    </row>
    <row r="16" spans="1:16" x14ac:dyDescent="0.55000000000000004">
      <c r="A16" t="s">
        <v>669</v>
      </c>
      <c r="B16" s="8" t="s">
        <v>30</v>
      </c>
      <c r="C16" s="8">
        <v>68091</v>
      </c>
      <c r="D16" s="8">
        <v>6809</v>
      </c>
      <c r="E16" s="8">
        <v>6809</v>
      </c>
      <c r="F16" s="8">
        <v>6809</v>
      </c>
      <c r="G16" s="8">
        <v>6809</v>
      </c>
      <c r="H16" s="8">
        <v>6809</v>
      </c>
      <c r="I16" s="8">
        <v>6809</v>
      </c>
      <c r="J16" s="8">
        <v>6809</v>
      </c>
      <c r="K16" s="8">
        <v>6809</v>
      </c>
      <c r="L16" s="8">
        <v>6809</v>
      </c>
      <c r="M16" s="8">
        <v>6810</v>
      </c>
      <c r="O16" t="str">
        <f t="shared" si="0"/>
        <v>02430000</v>
      </c>
    </row>
    <row r="17" spans="1:15" hidden="1" x14ac:dyDescent="0.55000000000000004">
      <c r="A17" t="s">
        <v>668</v>
      </c>
      <c r="B17" s="8" t="s">
        <v>31</v>
      </c>
      <c r="C17" s="8">
        <v>0</v>
      </c>
      <c r="D17" s="8">
        <v>0</v>
      </c>
      <c r="E17" s="8">
        <v>0</v>
      </c>
      <c r="F17" s="8">
        <v>0</v>
      </c>
      <c r="G17" s="8">
        <v>0</v>
      </c>
      <c r="H17" s="8">
        <v>0</v>
      </c>
      <c r="I17" s="8">
        <v>0</v>
      </c>
      <c r="J17" s="8">
        <v>0</v>
      </c>
      <c r="K17" s="8">
        <v>0</v>
      </c>
      <c r="L17" s="8">
        <v>0</v>
      </c>
      <c r="M17" s="8">
        <v>0</v>
      </c>
      <c r="O17" t="str">
        <f t="shared" si="0"/>
        <v>02610000</v>
      </c>
    </row>
    <row r="18" spans="1:15" x14ac:dyDescent="0.55000000000000004">
      <c r="A18" t="s">
        <v>667</v>
      </c>
      <c r="B18" s="8" t="s">
        <v>32</v>
      </c>
      <c r="C18" s="8">
        <v>30675</v>
      </c>
      <c r="D18" s="8">
        <v>3068</v>
      </c>
      <c r="E18" s="8">
        <v>3068</v>
      </c>
      <c r="F18" s="8">
        <v>3068</v>
      </c>
      <c r="G18" s="8">
        <v>3068</v>
      </c>
      <c r="H18" s="8">
        <v>3068</v>
      </c>
      <c r="I18" s="8">
        <v>3068</v>
      </c>
      <c r="J18" s="8">
        <v>3068</v>
      </c>
      <c r="K18" s="8">
        <v>3068</v>
      </c>
      <c r="L18" s="8">
        <v>3068</v>
      </c>
      <c r="M18" s="8">
        <v>3063</v>
      </c>
      <c r="O18" t="str">
        <f t="shared" si="0"/>
        <v>02790000</v>
      </c>
    </row>
    <row r="19" spans="1:15" x14ac:dyDescent="0.55000000000000004">
      <c r="A19" t="s">
        <v>665</v>
      </c>
      <c r="B19" s="8" t="s">
        <v>33</v>
      </c>
      <c r="C19" s="8">
        <v>88361</v>
      </c>
      <c r="D19" s="8">
        <v>8836</v>
      </c>
      <c r="E19" s="8">
        <v>8836</v>
      </c>
      <c r="F19" s="8">
        <v>8836</v>
      </c>
      <c r="G19" s="8">
        <v>8836</v>
      </c>
      <c r="H19" s="8">
        <v>8836</v>
      </c>
      <c r="I19" s="8">
        <v>8836</v>
      </c>
      <c r="J19" s="8">
        <v>8836</v>
      </c>
      <c r="K19" s="8">
        <v>8836</v>
      </c>
      <c r="L19" s="8">
        <v>8836</v>
      </c>
      <c r="M19" s="8">
        <v>8837</v>
      </c>
      <c r="O19" t="str">
        <f t="shared" si="0"/>
        <v>03550000</v>
      </c>
    </row>
    <row r="20" spans="1:15" hidden="1" x14ac:dyDescent="0.55000000000000004">
      <c r="A20" t="s">
        <v>664</v>
      </c>
      <c r="B20" s="8" t="s">
        <v>34</v>
      </c>
      <c r="C20" s="8">
        <v>0</v>
      </c>
      <c r="D20" s="8">
        <v>0</v>
      </c>
      <c r="E20" s="8">
        <v>0</v>
      </c>
      <c r="F20" s="8">
        <v>0</v>
      </c>
      <c r="G20" s="8">
        <v>0</v>
      </c>
      <c r="H20" s="8">
        <v>0</v>
      </c>
      <c r="I20" s="8">
        <v>0</v>
      </c>
      <c r="J20" s="8">
        <v>0</v>
      </c>
      <c r="K20" s="8">
        <v>0</v>
      </c>
      <c r="L20" s="8">
        <v>0</v>
      </c>
      <c r="M20" s="8">
        <v>0</v>
      </c>
      <c r="O20" t="str">
        <f t="shared" si="0"/>
        <v>03870000</v>
      </c>
    </row>
    <row r="21" spans="1:15" x14ac:dyDescent="0.55000000000000004">
      <c r="A21" t="s">
        <v>663</v>
      </c>
      <c r="B21" s="8" t="s">
        <v>35</v>
      </c>
      <c r="C21" s="8">
        <v>19206</v>
      </c>
      <c r="D21" s="8">
        <v>1921</v>
      </c>
      <c r="E21" s="8">
        <v>1921</v>
      </c>
      <c r="F21" s="8">
        <v>1921</v>
      </c>
      <c r="G21" s="8">
        <v>1921</v>
      </c>
      <c r="H21" s="8">
        <v>1921</v>
      </c>
      <c r="I21" s="8">
        <v>1921</v>
      </c>
      <c r="J21" s="8">
        <v>1921</v>
      </c>
      <c r="K21" s="8">
        <v>1921</v>
      </c>
      <c r="L21" s="8">
        <v>1921</v>
      </c>
      <c r="M21" s="8">
        <v>1917</v>
      </c>
      <c r="O21" t="str">
        <f t="shared" si="0"/>
        <v>04140000</v>
      </c>
    </row>
    <row r="22" spans="1:15" x14ac:dyDescent="0.55000000000000004">
      <c r="A22" t="s">
        <v>660</v>
      </c>
      <c r="B22" s="8" t="s">
        <v>37</v>
      </c>
      <c r="C22" s="8">
        <v>41201</v>
      </c>
      <c r="D22" s="8">
        <v>4120</v>
      </c>
      <c r="E22" s="8">
        <v>4120</v>
      </c>
      <c r="F22" s="8">
        <v>4120</v>
      </c>
      <c r="G22" s="8">
        <v>4120</v>
      </c>
      <c r="H22" s="8">
        <v>4120</v>
      </c>
      <c r="I22" s="8">
        <v>4120</v>
      </c>
      <c r="J22" s="8">
        <v>4120</v>
      </c>
      <c r="K22" s="8">
        <v>4120</v>
      </c>
      <c r="L22" s="8">
        <v>4120</v>
      </c>
      <c r="M22" s="8">
        <v>4121</v>
      </c>
      <c r="O22" t="str">
        <f t="shared" si="0"/>
        <v>04720000</v>
      </c>
    </row>
    <row r="23" spans="1:15" x14ac:dyDescent="0.55000000000000004">
      <c r="A23" t="s">
        <v>658</v>
      </c>
      <c r="B23" s="8" t="s">
        <v>39</v>
      </c>
      <c r="C23" s="8">
        <v>32723</v>
      </c>
      <c r="D23" s="8">
        <v>3272</v>
      </c>
      <c r="E23" s="8">
        <v>3272</v>
      </c>
      <c r="F23" s="8">
        <v>3272</v>
      </c>
      <c r="G23" s="8">
        <v>3272</v>
      </c>
      <c r="H23" s="8">
        <v>3272</v>
      </c>
      <c r="I23" s="8">
        <v>3272</v>
      </c>
      <c r="J23" s="8">
        <v>3272</v>
      </c>
      <c r="K23" s="8">
        <v>3272</v>
      </c>
      <c r="L23" s="8">
        <v>3272</v>
      </c>
      <c r="M23" s="8">
        <v>3275</v>
      </c>
      <c r="O23" t="str">
        <f t="shared" si="0"/>
        <v>05130000</v>
      </c>
    </row>
    <row r="24" spans="1:15" x14ac:dyDescent="0.55000000000000004">
      <c r="A24" t="s">
        <v>657</v>
      </c>
      <c r="B24" s="8" t="s">
        <v>40</v>
      </c>
      <c r="C24" s="8">
        <v>128925</v>
      </c>
      <c r="D24" s="8">
        <v>12893</v>
      </c>
      <c r="E24" s="8">
        <v>12893</v>
      </c>
      <c r="F24" s="8">
        <v>12893</v>
      </c>
      <c r="G24" s="8">
        <v>12893</v>
      </c>
      <c r="H24" s="8">
        <v>12893</v>
      </c>
      <c r="I24" s="8">
        <v>12893</v>
      </c>
      <c r="J24" s="8">
        <v>12893</v>
      </c>
      <c r="K24" s="8">
        <v>12893</v>
      </c>
      <c r="L24" s="8">
        <v>12893</v>
      </c>
      <c r="M24" s="8">
        <v>12888</v>
      </c>
      <c r="O24" t="str">
        <f t="shared" si="0"/>
        <v>05400000</v>
      </c>
    </row>
    <row r="25" spans="1:15" x14ac:dyDescent="0.55000000000000004">
      <c r="A25" t="s">
        <v>656</v>
      </c>
      <c r="B25" s="8" t="s">
        <v>41</v>
      </c>
      <c r="C25" s="8">
        <v>30825</v>
      </c>
      <c r="D25" s="8">
        <v>3083</v>
      </c>
      <c r="E25" s="8">
        <v>3083</v>
      </c>
      <c r="F25" s="8">
        <v>3083</v>
      </c>
      <c r="G25" s="8">
        <v>3083</v>
      </c>
      <c r="H25" s="8">
        <v>3083</v>
      </c>
      <c r="I25" s="8">
        <v>3083</v>
      </c>
      <c r="J25" s="8">
        <v>3083</v>
      </c>
      <c r="K25" s="8">
        <v>3083</v>
      </c>
      <c r="L25" s="8">
        <v>3083</v>
      </c>
      <c r="M25" s="8">
        <v>3078</v>
      </c>
      <c r="O25" t="str">
        <f t="shared" si="0"/>
        <v>05490000</v>
      </c>
    </row>
    <row r="26" spans="1:15" x14ac:dyDescent="0.55000000000000004">
      <c r="A26" t="s">
        <v>655</v>
      </c>
      <c r="B26" s="8" t="s">
        <v>42</v>
      </c>
      <c r="C26" s="8">
        <v>48804</v>
      </c>
      <c r="D26" s="8">
        <v>4880</v>
      </c>
      <c r="E26" s="8">
        <v>4880</v>
      </c>
      <c r="F26" s="8">
        <v>4880</v>
      </c>
      <c r="G26" s="8">
        <v>4880</v>
      </c>
      <c r="H26" s="8">
        <v>4880</v>
      </c>
      <c r="I26" s="8">
        <v>4880</v>
      </c>
      <c r="J26" s="8">
        <v>4880</v>
      </c>
      <c r="K26" s="8">
        <v>4880</v>
      </c>
      <c r="L26" s="8">
        <v>4880</v>
      </c>
      <c r="M26" s="8">
        <v>4884</v>
      </c>
      <c r="O26" t="str">
        <f t="shared" si="0"/>
        <v>05760000</v>
      </c>
    </row>
    <row r="27" spans="1:15" x14ac:dyDescent="0.55000000000000004">
      <c r="A27" t="s">
        <v>654</v>
      </c>
      <c r="B27" s="8" t="s">
        <v>43</v>
      </c>
      <c r="C27" s="8">
        <v>35612</v>
      </c>
      <c r="D27" s="8">
        <v>3561</v>
      </c>
      <c r="E27" s="8">
        <v>3561</v>
      </c>
      <c r="F27" s="8">
        <v>3561</v>
      </c>
      <c r="G27" s="8">
        <v>3561</v>
      </c>
      <c r="H27" s="8">
        <v>3561</v>
      </c>
      <c r="I27" s="8">
        <v>3561</v>
      </c>
      <c r="J27" s="8">
        <v>3561</v>
      </c>
      <c r="K27" s="8">
        <v>3561</v>
      </c>
      <c r="L27" s="8">
        <v>3561</v>
      </c>
      <c r="M27" s="8">
        <v>3563</v>
      </c>
      <c r="O27" t="str">
        <f t="shared" si="0"/>
        <v>05850000</v>
      </c>
    </row>
    <row r="28" spans="1:15" hidden="1" x14ac:dyDescent="0.55000000000000004">
      <c r="A28" t="s">
        <v>653</v>
      </c>
      <c r="B28" s="8" t="s">
        <v>44</v>
      </c>
      <c r="C28" s="8">
        <v>0</v>
      </c>
      <c r="D28" s="8">
        <v>0</v>
      </c>
      <c r="E28" s="8">
        <v>0</v>
      </c>
      <c r="F28" s="8">
        <v>0</v>
      </c>
      <c r="G28" s="8">
        <v>0</v>
      </c>
      <c r="H28" s="8">
        <v>0</v>
      </c>
      <c r="I28" s="8">
        <v>0</v>
      </c>
      <c r="J28" s="8">
        <v>0</v>
      </c>
      <c r="K28" s="8">
        <v>0</v>
      </c>
      <c r="L28" s="8">
        <v>0</v>
      </c>
      <c r="M28" s="8">
        <v>0</v>
      </c>
      <c r="O28" t="str">
        <f t="shared" si="0"/>
        <v>05940000</v>
      </c>
    </row>
    <row r="29" spans="1:15" x14ac:dyDescent="0.55000000000000004">
      <c r="A29" t="s">
        <v>652</v>
      </c>
      <c r="B29" s="8" t="s">
        <v>45</v>
      </c>
      <c r="C29" s="8">
        <v>53885</v>
      </c>
      <c r="D29" s="8">
        <v>5389</v>
      </c>
      <c r="E29" s="8">
        <v>5389</v>
      </c>
      <c r="F29" s="8">
        <v>5389</v>
      </c>
      <c r="G29" s="8">
        <v>5389</v>
      </c>
      <c r="H29" s="8">
        <v>5389</v>
      </c>
      <c r="I29" s="8">
        <v>5389</v>
      </c>
      <c r="J29" s="8">
        <v>5389</v>
      </c>
      <c r="K29" s="8">
        <v>5389</v>
      </c>
      <c r="L29" s="8">
        <v>5389</v>
      </c>
      <c r="M29" s="8">
        <v>5384</v>
      </c>
      <c r="O29" t="str">
        <f t="shared" si="0"/>
        <v>06030000</v>
      </c>
    </row>
    <row r="30" spans="1:15" x14ac:dyDescent="0.55000000000000004">
      <c r="A30" t="s">
        <v>651</v>
      </c>
      <c r="B30" s="8" t="s">
        <v>46</v>
      </c>
      <c r="C30" s="8">
        <v>329646</v>
      </c>
      <c r="D30" s="8">
        <v>32965</v>
      </c>
      <c r="E30" s="8">
        <v>32965</v>
      </c>
      <c r="F30" s="8">
        <v>32965</v>
      </c>
      <c r="G30" s="8">
        <v>32965</v>
      </c>
      <c r="H30" s="8">
        <v>32965</v>
      </c>
      <c r="I30" s="8">
        <v>32965</v>
      </c>
      <c r="J30" s="8">
        <v>32965</v>
      </c>
      <c r="K30" s="8">
        <v>32965</v>
      </c>
      <c r="L30" s="8">
        <v>32965</v>
      </c>
      <c r="M30" s="8">
        <v>32961</v>
      </c>
      <c r="O30" t="str">
        <f t="shared" si="0"/>
        <v>06090000</v>
      </c>
    </row>
    <row r="31" spans="1:15" hidden="1" x14ac:dyDescent="0.55000000000000004">
      <c r="A31" t="s">
        <v>650</v>
      </c>
      <c r="B31" s="8" t="s">
        <v>47</v>
      </c>
      <c r="C31" s="8">
        <v>0</v>
      </c>
      <c r="D31" s="8">
        <v>0</v>
      </c>
      <c r="E31" s="8">
        <v>0</v>
      </c>
      <c r="F31" s="8">
        <v>0</v>
      </c>
      <c r="G31" s="8">
        <v>0</v>
      </c>
      <c r="H31" s="8">
        <v>0</v>
      </c>
      <c r="I31" s="8">
        <v>0</v>
      </c>
      <c r="J31" s="8">
        <v>0</v>
      </c>
      <c r="K31" s="8">
        <v>0</v>
      </c>
      <c r="L31" s="8">
        <v>0</v>
      </c>
      <c r="M31" s="8">
        <v>0</v>
      </c>
      <c r="O31" t="str">
        <f t="shared" si="0"/>
        <v>06210000</v>
      </c>
    </row>
    <row r="32" spans="1:15" hidden="1" x14ac:dyDescent="0.55000000000000004">
      <c r="A32" t="s">
        <v>647</v>
      </c>
      <c r="B32" s="8" t="s">
        <v>48</v>
      </c>
      <c r="C32" s="8">
        <v>0</v>
      </c>
      <c r="D32" s="8">
        <v>0</v>
      </c>
      <c r="E32" s="8">
        <v>0</v>
      </c>
      <c r="F32" s="8">
        <v>0</v>
      </c>
      <c r="G32" s="8">
        <v>0</v>
      </c>
      <c r="H32" s="8">
        <v>0</v>
      </c>
      <c r="I32" s="8">
        <v>0</v>
      </c>
      <c r="J32" s="8">
        <v>0</v>
      </c>
      <c r="K32" s="8">
        <v>0</v>
      </c>
      <c r="L32" s="8">
        <v>0</v>
      </c>
      <c r="M32" s="8">
        <v>0</v>
      </c>
      <c r="O32" t="str">
        <f t="shared" si="0"/>
        <v>07200000</v>
      </c>
    </row>
    <row r="33" spans="1:15" hidden="1" x14ac:dyDescent="0.55000000000000004">
      <c r="A33" t="s">
        <v>646</v>
      </c>
      <c r="B33" s="8" t="s">
        <v>49</v>
      </c>
      <c r="C33" s="8">
        <v>0</v>
      </c>
      <c r="D33" s="8">
        <v>0</v>
      </c>
      <c r="E33" s="8">
        <v>0</v>
      </c>
      <c r="F33" s="8">
        <v>0</v>
      </c>
      <c r="G33" s="8">
        <v>0</v>
      </c>
      <c r="H33" s="8">
        <v>0</v>
      </c>
      <c r="I33" s="8">
        <v>0</v>
      </c>
      <c r="J33" s="8">
        <v>0</v>
      </c>
      <c r="K33" s="8">
        <v>0</v>
      </c>
      <c r="L33" s="8">
        <v>0</v>
      </c>
      <c r="M33" s="8">
        <v>0</v>
      </c>
      <c r="O33" t="str">
        <f t="shared" si="0"/>
        <v>07290000</v>
      </c>
    </row>
    <row r="34" spans="1:15" x14ac:dyDescent="0.55000000000000004">
      <c r="A34" t="s">
        <v>645</v>
      </c>
      <c r="B34" s="8" t="s">
        <v>50</v>
      </c>
      <c r="C34" s="8">
        <v>14721</v>
      </c>
      <c r="D34" s="8">
        <v>1472</v>
      </c>
      <c r="E34" s="8">
        <v>1472</v>
      </c>
      <c r="F34" s="8">
        <v>1472</v>
      </c>
      <c r="G34" s="8">
        <v>1472</v>
      </c>
      <c r="H34" s="8">
        <v>1472</v>
      </c>
      <c r="I34" s="8">
        <v>1472</v>
      </c>
      <c r="J34" s="8">
        <v>1472</v>
      </c>
      <c r="K34" s="8">
        <v>1472</v>
      </c>
      <c r="L34" s="8">
        <v>1472</v>
      </c>
      <c r="M34" s="8">
        <v>1473</v>
      </c>
      <c r="O34" t="str">
        <f t="shared" si="0"/>
        <v>07470000</v>
      </c>
    </row>
    <row r="35" spans="1:15" x14ac:dyDescent="0.55000000000000004">
      <c r="A35" t="s">
        <v>586</v>
      </c>
      <c r="B35" s="8" t="s">
        <v>102</v>
      </c>
      <c r="C35" s="8">
        <v>84955</v>
      </c>
      <c r="D35" s="8">
        <v>8496</v>
      </c>
      <c r="E35" s="8">
        <v>8496</v>
      </c>
      <c r="F35" s="8">
        <v>8496</v>
      </c>
      <c r="G35" s="8">
        <v>8496</v>
      </c>
      <c r="H35" s="8">
        <v>8496</v>
      </c>
      <c r="I35" s="8">
        <v>8496</v>
      </c>
      <c r="J35" s="8">
        <v>8496</v>
      </c>
      <c r="K35" s="8">
        <v>8496</v>
      </c>
      <c r="L35" s="8">
        <v>8496</v>
      </c>
      <c r="M35" s="8">
        <v>8491</v>
      </c>
      <c r="O35" t="str">
        <f t="shared" si="0"/>
        <v>19170000</v>
      </c>
    </row>
    <row r="36" spans="1:15" hidden="1" x14ac:dyDescent="0.55000000000000004">
      <c r="A36" t="s">
        <v>643</v>
      </c>
      <c r="B36" s="8" t="s">
        <v>52</v>
      </c>
      <c r="C36" s="8">
        <v>0</v>
      </c>
      <c r="D36" s="8">
        <v>0</v>
      </c>
      <c r="E36" s="8">
        <v>0</v>
      </c>
      <c r="F36" s="8">
        <v>0</v>
      </c>
      <c r="G36" s="8">
        <v>0</v>
      </c>
      <c r="H36" s="8">
        <v>0</v>
      </c>
      <c r="I36" s="8">
        <v>0</v>
      </c>
      <c r="J36" s="8">
        <v>0</v>
      </c>
      <c r="K36" s="8">
        <v>0</v>
      </c>
      <c r="L36" s="8">
        <v>0</v>
      </c>
      <c r="M36" s="8">
        <v>0</v>
      </c>
      <c r="O36" t="str">
        <f t="shared" si="0"/>
        <v>08460000</v>
      </c>
    </row>
    <row r="37" spans="1:15" hidden="1" x14ac:dyDescent="0.55000000000000004">
      <c r="A37" t="s">
        <v>641</v>
      </c>
      <c r="B37" s="8" t="s">
        <v>54</v>
      </c>
      <c r="C37" s="8">
        <v>0</v>
      </c>
      <c r="D37" s="8">
        <v>0</v>
      </c>
      <c r="E37" s="8">
        <v>0</v>
      </c>
      <c r="F37" s="8">
        <v>0</v>
      </c>
      <c r="G37" s="8">
        <v>0</v>
      </c>
      <c r="H37" s="8">
        <v>0</v>
      </c>
      <c r="I37" s="8">
        <v>0</v>
      </c>
      <c r="J37" s="8">
        <v>0</v>
      </c>
      <c r="K37" s="8">
        <v>0</v>
      </c>
      <c r="L37" s="8">
        <v>0</v>
      </c>
      <c r="M37" s="8">
        <v>0</v>
      </c>
      <c r="O37" t="str">
        <f t="shared" si="0"/>
        <v>08820000</v>
      </c>
    </row>
    <row r="38" spans="1:15" x14ac:dyDescent="0.55000000000000004">
      <c r="A38" t="s">
        <v>638</v>
      </c>
      <c r="B38" s="8" t="s">
        <v>55</v>
      </c>
      <c r="C38" s="8">
        <v>43361</v>
      </c>
      <c r="D38" s="8">
        <v>4336</v>
      </c>
      <c r="E38" s="8">
        <v>4336</v>
      </c>
      <c r="F38" s="8">
        <v>4336</v>
      </c>
      <c r="G38" s="8">
        <v>4336</v>
      </c>
      <c r="H38" s="8">
        <v>4336</v>
      </c>
      <c r="I38" s="8">
        <v>4336</v>
      </c>
      <c r="J38" s="8">
        <v>4336</v>
      </c>
      <c r="K38" s="8">
        <v>4336</v>
      </c>
      <c r="L38" s="8">
        <v>4336</v>
      </c>
      <c r="M38" s="8">
        <v>4337</v>
      </c>
      <c r="O38" t="str">
        <f t="shared" si="0"/>
        <v>09160000</v>
      </c>
    </row>
    <row r="39" spans="1:15" x14ac:dyDescent="0.55000000000000004">
      <c r="A39" t="s">
        <v>637</v>
      </c>
      <c r="B39" s="8" t="s">
        <v>56</v>
      </c>
      <c r="C39" s="8">
        <v>81639</v>
      </c>
      <c r="D39" s="8">
        <v>8164</v>
      </c>
      <c r="E39" s="8">
        <v>8164</v>
      </c>
      <c r="F39" s="8">
        <v>8164</v>
      </c>
      <c r="G39" s="8">
        <v>8164</v>
      </c>
      <c r="H39" s="8">
        <v>8164</v>
      </c>
      <c r="I39" s="8">
        <v>8164</v>
      </c>
      <c r="J39" s="8">
        <v>8164</v>
      </c>
      <c r="K39" s="8">
        <v>8164</v>
      </c>
      <c r="L39" s="8">
        <v>8164</v>
      </c>
      <c r="M39" s="8">
        <v>8163</v>
      </c>
      <c r="O39" t="str">
        <f t="shared" si="0"/>
        <v>09180000</v>
      </c>
    </row>
    <row r="40" spans="1:15" x14ac:dyDescent="0.55000000000000004">
      <c r="A40" t="s">
        <v>640</v>
      </c>
      <c r="B40" s="8" t="s">
        <v>639</v>
      </c>
      <c r="C40" s="8">
        <v>134938</v>
      </c>
      <c r="D40" s="8">
        <v>13494</v>
      </c>
      <c r="E40" s="8">
        <v>13494</v>
      </c>
      <c r="F40" s="8">
        <v>13494</v>
      </c>
      <c r="G40" s="8">
        <v>13494</v>
      </c>
      <c r="H40" s="8">
        <v>13494</v>
      </c>
      <c r="I40" s="8">
        <v>13494</v>
      </c>
      <c r="J40" s="8">
        <v>13494</v>
      </c>
      <c r="K40" s="8">
        <v>13494</v>
      </c>
      <c r="L40" s="8">
        <v>13494</v>
      </c>
      <c r="M40" s="8">
        <v>13492</v>
      </c>
      <c r="O40" t="str">
        <f t="shared" si="0"/>
        <v>09140000</v>
      </c>
    </row>
    <row r="41" spans="1:15" hidden="1" x14ac:dyDescent="0.55000000000000004">
      <c r="A41" t="s">
        <v>636</v>
      </c>
      <c r="B41" s="8" t="s">
        <v>57</v>
      </c>
      <c r="C41" s="8">
        <v>0</v>
      </c>
      <c r="D41" s="8">
        <v>0</v>
      </c>
      <c r="E41" s="8">
        <v>0</v>
      </c>
      <c r="F41" s="8">
        <v>0</v>
      </c>
      <c r="G41" s="8">
        <v>0</v>
      </c>
      <c r="H41" s="8">
        <v>0</v>
      </c>
      <c r="I41" s="8">
        <v>0</v>
      </c>
      <c r="J41" s="8">
        <v>0</v>
      </c>
      <c r="K41" s="8">
        <v>0</v>
      </c>
      <c r="L41" s="8">
        <v>0</v>
      </c>
      <c r="M41" s="8">
        <v>0</v>
      </c>
      <c r="O41" t="str">
        <f t="shared" si="0"/>
        <v>09360000</v>
      </c>
    </row>
    <row r="42" spans="1:15" x14ac:dyDescent="0.55000000000000004">
      <c r="A42" t="s">
        <v>635</v>
      </c>
      <c r="B42" s="8" t="s">
        <v>58</v>
      </c>
      <c r="C42" s="8">
        <v>270530</v>
      </c>
      <c r="D42" s="8">
        <v>27053</v>
      </c>
      <c r="E42" s="8">
        <v>27053</v>
      </c>
      <c r="F42" s="8">
        <v>27053</v>
      </c>
      <c r="G42" s="8">
        <v>27053</v>
      </c>
      <c r="H42" s="8">
        <v>27053</v>
      </c>
      <c r="I42" s="8">
        <v>27053</v>
      </c>
      <c r="J42" s="8">
        <v>27053</v>
      </c>
      <c r="K42" s="8">
        <v>27053</v>
      </c>
      <c r="L42" s="8">
        <v>27053</v>
      </c>
      <c r="M42" s="8">
        <v>27053</v>
      </c>
      <c r="O42" t="str">
        <f t="shared" si="0"/>
        <v>09770000</v>
      </c>
    </row>
    <row r="43" spans="1:15" x14ac:dyDescent="0.55000000000000004">
      <c r="A43" t="s">
        <v>634</v>
      </c>
      <c r="B43" s="8" t="s">
        <v>59</v>
      </c>
      <c r="C43" s="8">
        <v>49332</v>
      </c>
      <c r="D43" s="8">
        <v>4933</v>
      </c>
      <c r="E43" s="8">
        <v>4933</v>
      </c>
      <c r="F43" s="8">
        <v>4933</v>
      </c>
      <c r="G43" s="8">
        <v>4933</v>
      </c>
      <c r="H43" s="8">
        <v>4933</v>
      </c>
      <c r="I43" s="8">
        <v>4933</v>
      </c>
      <c r="J43" s="8">
        <v>4933</v>
      </c>
      <c r="K43" s="8">
        <v>4933</v>
      </c>
      <c r="L43" s="8">
        <v>4933</v>
      </c>
      <c r="M43" s="8">
        <v>4935</v>
      </c>
      <c r="O43" t="str">
        <f t="shared" si="0"/>
        <v>09810000</v>
      </c>
    </row>
    <row r="44" spans="1:15" x14ac:dyDescent="0.55000000000000004">
      <c r="A44" t="s">
        <v>633</v>
      </c>
      <c r="B44" s="8" t="s">
        <v>60</v>
      </c>
      <c r="C44" s="8">
        <v>117646</v>
      </c>
      <c r="D44" s="8">
        <v>11765</v>
      </c>
      <c r="E44" s="8">
        <v>11765</v>
      </c>
      <c r="F44" s="8">
        <v>11765</v>
      </c>
      <c r="G44" s="8">
        <v>11765</v>
      </c>
      <c r="H44" s="8">
        <v>11765</v>
      </c>
      <c r="I44" s="8">
        <v>11765</v>
      </c>
      <c r="J44" s="8">
        <v>11765</v>
      </c>
      <c r="K44" s="8">
        <v>11765</v>
      </c>
      <c r="L44" s="8">
        <v>11765</v>
      </c>
      <c r="M44" s="8">
        <v>11761</v>
      </c>
      <c r="O44" t="str">
        <f t="shared" si="0"/>
        <v>09990000</v>
      </c>
    </row>
    <row r="45" spans="1:15" hidden="1" x14ac:dyDescent="0.55000000000000004">
      <c r="A45" t="s">
        <v>632</v>
      </c>
      <c r="B45" s="8" t="s">
        <v>61</v>
      </c>
      <c r="C45" s="8">
        <v>0</v>
      </c>
      <c r="D45" s="8">
        <v>0</v>
      </c>
      <c r="E45" s="8">
        <v>0</v>
      </c>
      <c r="F45" s="8">
        <v>0</v>
      </c>
      <c r="G45" s="8">
        <v>0</v>
      </c>
      <c r="H45" s="8">
        <v>0</v>
      </c>
      <c r="I45" s="8">
        <v>0</v>
      </c>
      <c r="J45" s="8">
        <v>0</v>
      </c>
      <c r="K45" s="8">
        <v>0</v>
      </c>
      <c r="L45" s="8">
        <v>0</v>
      </c>
      <c r="M45" s="8">
        <v>0</v>
      </c>
      <c r="O45" t="str">
        <f t="shared" si="0"/>
        <v>10440000</v>
      </c>
    </row>
    <row r="46" spans="1:15" x14ac:dyDescent="0.55000000000000004">
      <c r="A46" t="s">
        <v>631</v>
      </c>
      <c r="B46" s="8" t="s">
        <v>62</v>
      </c>
      <c r="C46" s="8">
        <v>116854</v>
      </c>
      <c r="D46" s="8">
        <v>11685</v>
      </c>
      <c r="E46" s="8">
        <v>11685</v>
      </c>
      <c r="F46" s="8">
        <v>11685</v>
      </c>
      <c r="G46" s="8">
        <v>11685</v>
      </c>
      <c r="H46" s="8">
        <v>11685</v>
      </c>
      <c r="I46" s="8">
        <v>11685</v>
      </c>
      <c r="J46" s="8">
        <v>11685</v>
      </c>
      <c r="K46" s="8">
        <v>11685</v>
      </c>
      <c r="L46" s="8">
        <v>11685</v>
      </c>
      <c r="M46" s="8">
        <v>11689</v>
      </c>
      <c r="O46" t="str">
        <f t="shared" si="0"/>
        <v>10530000</v>
      </c>
    </row>
    <row r="47" spans="1:15" hidden="1" x14ac:dyDescent="0.55000000000000004">
      <c r="A47" t="s">
        <v>630</v>
      </c>
      <c r="B47" s="8" t="s">
        <v>63</v>
      </c>
      <c r="C47" s="8">
        <v>0</v>
      </c>
      <c r="D47" s="8">
        <v>0</v>
      </c>
      <c r="E47" s="8">
        <v>0</v>
      </c>
      <c r="F47" s="8">
        <v>0</v>
      </c>
      <c r="G47" s="8">
        <v>0</v>
      </c>
      <c r="H47" s="8">
        <v>0</v>
      </c>
      <c r="I47" s="8">
        <v>0</v>
      </c>
      <c r="J47" s="8">
        <v>0</v>
      </c>
      <c r="K47" s="8">
        <v>0</v>
      </c>
      <c r="L47" s="8">
        <v>0</v>
      </c>
      <c r="M47" s="8">
        <v>0</v>
      </c>
      <c r="O47" t="str">
        <f t="shared" si="0"/>
        <v>10620000</v>
      </c>
    </row>
    <row r="48" spans="1:15" hidden="1" x14ac:dyDescent="0.55000000000000004">
      <c r="A48" t="s">
        <v>629</v>
      </c>
      <c r="B48" s="8" t="s">
        <v>64</v>
      </c>
      <c r="C48" s="8">
        <v>0</v>
      </c>
      <c r="D48" s="8">
        <v>0</v>
      </c>
      <c r="E48" s="8">
        <v>0</v>
      </c>
      <c r="F48" s="8">
        <v>0</v>
      </c>
      <c r="G48" s="8">
        <v>0</v>
      </c>
      <c r="H48" s="8">
        <v>0</v>
      </c>
      <c r="I48" s="8">
        <v>0</v>
      </c>
      <c r="J48" s="8">
        <v>0</v>
      </c>
      <c r="K48" s="8">
        <v>0</v>
      </c>
      <c r="L48" s="8">
        <v>0</v>
      </c>
      <c r="M48" s="8">
        <v>0</v>
      </c>
      <c r="O48" t="str">
        <f t="shared" si="0"/>
        <v>10710000</v>
      </c>
    </row>
    <row r="49" spans="1:15" hidden="1" x14ac:dyDescent="0.55000000000000004">
      <c r="A49" t="s">
        <v>624</v>
      </c>
      <c r="B49" s="8" t="s">
        <v>67</v>
      </c>
      <c r="C49" s="8">
        <v>0</v>
      </c>
      <c r="D49" s="8">
        <v>0</v>
      </c>
      <c r="E49" s="8">
        <v>0</v>
      </c>
      <c r="F49" s="8">
        <v>0</v>
      </c>
      <c r="G49" s="8">
        <v>0</v>
      </c>
      <c r="H49" s="8">
        <v>0</v>
      </c>
      <c r="I49" s="8">
        <v>0</v>
      </c>
      <c r="J49" s="8">
        <v>0</v>
      </c>
      <c r="K49" s="8">
        <v>0</v>
      </c>
      <c r="L49" s="8">
        <v>0</v>
      </c>
      <c r="M49" s="8">
        <v>0</v>
      </c>
      <c r="O49" t="str">
        <f t="shared" si="0"/>
        <v>10890000</v>
      </c>
    </row>
    <row r="50" spans="1:15" x14ac:dyDescent="0.55000000000000004">
      <c r="A50" t="s">
        <v>627</v>
      </c>
      <c r="B50" s="8" t="s">
        <v>1211</v>
      </c>
      <c r="C50" s="8">
        <v>138183</v>
      </c>
      <c r="D50" s="8">
        <v>13818</v>
      </c>
      <c r="E50" s="8">
        <v>13818</v>
      </c>
      <c r="F50" s="8">
        <v>13818</v>
      </c>
      <c r="G50" s="8">
        <v>13818</v>
      </c>
      <c r="H50" s="8">
        <v>13818</v>
      </c>
      <c r="I50" s="8">
        <v>13818</v>
      </c>
      <c r="J50" s="8">
        <v>13818</v>
      </c>
      <c r="K50" s="8">
        <v>13818</v>
      </c>
      <c r="L50" s="8">
        <v>13818</v>
      </c>
      <c r="M50" s="8">
        <v>13821</v>
      </c>
      <c r="O50" t="str">
        <f t="shared" si="0"/>
        <v>10800000</v>
      </c>
    </row>
    <row r="51" spans="1:15" hidden="1" x14ac:dyDescent="0.55000000000000004">
      <c r="A51" t="s">
        <v>626</v>
      </c>
      <c r="B51" s="8" t="s">
        <v>1212</v>
      </c>
      <c r="C51" s="8">
        <v>0</v>
      </c>
      <c r="D51" s="8">
        <v>0</v>
      </c>
      <c r="E51" s="8">
        <v>0</v>
      </c>
      <c r="F51" s="8">
        <v>0</v>
      </c>
      <c r="G51" s="8">
        <v>0</v>
      </c>
      <c r="H51" s="8">
        <v>0</v>
      </c>
      <c r="I51" s="8">
        <v>0</v>
      </c>
      <c r="J51" s="8">
        <v>0</v>
      </c>
      <c r="K51" s="8">
        <v>0</v>
      </c>
      <c r="L51" s="8">
        <v>0</v>
      </c>
      <c r="M51" s="8">
        <v>0</v>
      </c>
      <c r="O51" t="str">
        <f t="shared" si="0"/>
        <v>10820000</v>
      </c>
    </row>
    <row r="52" spans="1:15" x14ac:dyDescent="0.55000000000000004">
      <c r="A52" t="s">
        <v>623</v>
      </c>
      <c r="B52" s="8" t="s">
        <v>68</v>
      </c>
      <c r="C52" s="8">
        <v>454643</v>
      </c>
      <c r="D52" s="8">
        <v>45464</v>
      </c>
      <c r="E52" s="8">
        <v>45464</v>
      </c>
      <c r="F52" s="8">
        <v>45464</v>
      </c>
      <c r="G52" s="8">
        <v>45464</v>
      </c>
      <c r="H52" s="8">
        <v>45464</v>
      </c>
      <c r="I52" s="8">
        <v>45464</v>
      </c>
      <c r="J52" s="8">
        <v>45464</v>
      </c>
      <c r="K52" s="8">
        <v>45464</v>
      </c>
      <c r="L52" s="8">
        <v>45464</v>
      </c>
      <c r="M52" s="8">
        <v>45467</v>
      </c>
      <c r="O52" t="str">
        <f t="shared" si="0"/>
        <v>10930000</v>
      </c>
    </row>
    <row r="53" spans="1:15" x14ac:dyDescent="0.55000000000000004">
      <c r="A53" t="s">
        <v>628</v>
      </c>
      <c r="B53" s="8" t="s">
        <v>65</v>
      </c>
      <c r="C53" s="8">
        <v>244852</v>
      </c>
      <c r="D53" s="8">
        <v>24485</v>
      </c>
      <c r="E53" s="8">
        <v>24485</v>
      </c>
      <c r="F53" s="8">
        <v>24485</v>
      </c>
      <c r="G53" s="8">
        <v>24485</v>
      </c>
      <c r="H53" s="8">
        <v>24485</v>
      </c>
      <c r="I53" s="8">
        <v>24485</v>
      </c>
      <c r="J53" s="8">
        <v>24485</v>
      </c>
      <c r="K53" s="8">
        <v>24485</v>
      </c>
      <c r="L53" s="8">
        <v>24485</v>
      </c>
      <c r="M53" s="8">
        <v>24487</v>
      </c>
      <c r="O53" t="str">
        <f t="shared" si="0"/>
        <v>10790000</v>
      </c>
    </row>
    <row r="54" spans="1:15" hidden="1" x14ac:dyDescent="0.55000000000000004">
      <c r="A54" t="s">
        <v>622</v>
      </c>
      <c r="B54" s="8" t="s">
        <v>69</v>
      </c>
      <c r="C54" s="8">
        <v>0</v>
      </c>
      <c r="D54" s="8">
        <v>0</v>
      </c>
      <c r="E54" s="8">
        <v>0</v>
      </c>
      <c r="F54" s="8">
        <v>0</v>
      </c>
      <c r="G54" s="8">
        <v>0</v>
      </c>
      <c r="H54" s="8">
        <v>0</v>
      </c>
      <c r="I54" s="8">
        <v>0</v>
      </c>
      <c r="J54" s="8">
        <v>0</v>
      </c>
      <c r="K54" s="8">
        <v>0</v>
      </c>
      <c r="L54" s="8">
        <v>0</v>
      </c>
      <c r="M54" s="8">
        <v>0</v>
      </c>
      <c r="O54" t="str">
        <f t="shared" si="0"/>
        <v>10950000</v>
      </c>
    </row>
    <row r="55" spans="1:15" x14ac:dyDescent="0.55000000000000004">
      <c r="A55" t="s">
        <v>468</v>
      </c>
      <c r="B55" s="8" t="s">
        <v>332</v>
      </c>
      <c r="C55" s="8">
        <v>127613</v>
      </c>
      <c r="D55" s="8">
        <v>12761</v>
      </c>
      <c r="E55" s="8">
        <v>12761</v>
      </c>
      <c r="F55" s="8">
        <v>12761</v>
      </c>
      <c r="G55" s="8">
        <v>12761</v>
      </c>
      <c r="H55" s="8">
        <v>12761</v>
      </c>
      <c r="I55" s="8">
        <v>12761</v>
      </c>
      <c r="J55" s="8">
        <v>12761</v>
      </c>
      <c r="K55" s="8">
        <v>12761</v>
      </c>
      <c r="L55" s="8">
        <v>12761</v>
      </c>
      <c r="M55" s="8">
        <v>12764</v>
      </c>
      <c r="O55" t="str">
        <f t="shared" si="0"/>
        <v>47720000</v>
      </c>
    </row>
    <row r="56" spans="1:15" x14ac:dyDescent="0.55000000000000004">
      <c r="A56" t="s">
        <v>621</v>
      </c>
      <c r="B56" s="8" t="s">
        <v>70</v>
      </c>
      <c r="C56" s="8">
        <v>89939</v>
      </c>
      <c r="D56" s="8">
        <v>8994</v>
      </c>
      <c r="E56" s="8">
        <v>8994</v>
      </c>
      <c r="F56" s="8">
        <v>8994</v>
      </c>
      <c r="G56" s="8">
        <v>8994</v>
      </c>
      <c r="H56" s="8">
        <v>8994</v>
      </c>
      <c r="I56" s="8">
        <v>8994</v>
      </c>
      <c r="J56" s="8">
        <v>8994</v>
      </c>
      <c r="K56" s="8">
        <v>8994</v>
      </c>
      <c r="L56" s="8">
        <v>8994</v>
      </c>
      <c r="M56" s="8">
        <v>8993</v>
      </c>
      <c r="O56" t="str">
        <f t="shared" si="0"/>
        <v>11070000</v>
      </c>
    </row>
    <row r="57" spans="1:15" hidden="1" x14ac:dyDescent="0.55000000000000004">
      <c r="A57" t="s">
        <v>620</v>
      </c>
      <c r="B57" s="8" t="s">
        <v>71</v>
      </c>
      <c r="C57" s="8">
        <v>0</v>
      </c>
      <c r="D57" s="8">
        <v>0</v>
      </c>
      <c r="E57" s="8">
        <v>0</v>
      </c>
      <c r="F57" s="8">
        <v>0</v>
      </c>
      <c r="G57" s="8">
        <v>0</v>
      </c>
      <c r="H57" s="8">
        <v>0</v>
      </c>
      <c r="I57" s="8">
        <v>0</v>
      </c>
      <c r="J57" s="8">
        <v>0</v>
      </c>
      <c r="K57" s="8">
        <v>0</v>
      </c>
      <c r="L57" s="8">
        <v>0</v>
      </c>
      <c r="M57" s="8">
        <v>0</v>
      </c>
      <c r="O57" t="str">
        <f t="shared" si="0"/>
        <v>11160000</v>
      </c>
    </row>
    <row r="58" spans="1:15" x14ac:dyDescent="0.55000000000000004">
      <c r="A58" t="s">
        <v>619</v>
      </c>
      <c r="B58" s="8" t="s">
        <v>72</v>
      </c>
      <c r="C58" s="8">
        <v>156860</v>
      </c>
      <c r="D58" s="8">
        <v>15686</v>
      </c>
      <c r="E58" s="8">
        <v>15686</v>
      </c>
      <c r="F58" s="8">
        <v>15686</v>
      </c>
      <c r="G58" s="8">
        <v>15686</v>
      </c>
      <c r="H58" s="8">
        <v>15686</v>
      </c>
      <c r="I58" s="8">
        <v>15686</v>
      </c>
      <c r="J58" s="8">
        <v>15686</v>
      </c>
      <c r="K58" s="8">
        <v>15686</v>
      </c>
      <c r="L58" s="8">
        <v>15686</v>
      </c>
      <c r="M58" s="8">
        <v>15686</v>
      </c>
      <c r="O58" t="str">
        <f t="shared" si="0"/>
        <v>11340000</v>
      </c>
    </row>
    <row r="59" spans="1:15" hidden="1" x14ac:dyDescent="0.55000000000000004">
      <c r="A59" t="s">
        <v>618</v>
      </c>
      <c r="B59" s="8" t="s">
        <v>73</v>
      </c>
      <c r="C59" s="8">
        <v>0</v>
      </c>
      <c r="D59" s="8">
        <v>0</v>
      </c>
      <c r="E59" s="8">
        <v>0</v>
      </c>
      <c r="F59" s="8">
        <v>0</v>
      </c>
      <c r="G59" s="8">
        <v>0</v>
      </c>
      <c r="H59" s="8">
        <v>0</v>
      </c>
      <c r="I59" s="8">
        <v>0</v>
      </c>
      <c r="J59" s="8">
        <v>0</v>
      </c>
      <c r="K59" s="8">
        <v>0</v>
      </c>
      <c r="L59" s="8">
        <v>0</v>
      </c>
      <c r="M59" s="8">
        <v>0</v>
      </c>
      <c r="O59" t="str">
        <f t="shared" si="0"/>
        <v>11520000</v>
      </c>
    </row>
    <row r="60" spans="1:15" hidden="1" x14ac:dyDescent="0.55000000000000004">
      <c r="A60" t="s">
        <v>617</v>
      </c>
      <c r="B60" s="8" t="s">
        <v>74</v>
      </c>
      <c r="C60" s="8">
        <v>0</v>
      </c>
      <c r="D60" s="8">
        <v>0</v>
      </c>
      <c r="E60" s="8">
        <v>0</v>
      </c>
      <c r="F60" s="8">
        <v>0</v>
      </c>
      <c r="G60" s="8">
        <v>0</v>
      </c>
      <c r="H60" s="8">
        <v>0</v>
      </c>
      <c r="I60" s="8">
        <v>0</v>
      </c>
      <c r="J60" s="8">
        <v>0</v>
      </c>
      <c r="K60" s="8">
        <v>0</v>
      </c>
      <c r="L60" s="8">
        <v>0</v>
      </c>
      <c r="M60" s="8">
        <v>0</v>
      </c>
      <c r="O60" t="str">
        <f t="shared" si="0"/>
        <v>11970000</v>
      </c>
    </row>
    <row r="61" spans="1:15" x14ac:dyDescent="0.55000000000000004">
      <c r="A61" t="s">
        <v>616</v>
      </c>
      <c r="B61" s="8" t="s">
        <v>344</v>
      </c>
      <c r="C61" s="8">
        <v>324433</v>
      </c>
      <c r="D61" s="8">
        <v>32443</v>
      </c>
      <c r="E61" s="8">
        <v>32443</v>
      </c>
      <c r="F61" s="8">
        <v>32443</v>
      </c>
      <c r="G61" s="8">
        <v>32443</v>
      </c>
      <c r="H61" s="8">
        <v>32443</v>
      </c>
      <c r="I61" s="8">
        <v>32443</v>
      </c>
      <c r="J61" s="8">
        <v>32443</v>
      </c>
      <c r="K61" s="8">
        <v>32443</v>
      </c>
      <c r="L61" s="8">
        <v>32443</v>
      </c>
      <c r="M61" s="8">
        <v>32446</v>
      </c>
      <c r="O61" t="str">
        <f t="shared" si="0"/>
        <v>12060000</v>
      </c>
    </row>
    <row r="62" spans="1:15" x14ac:dyDescent="0.55000000000000004">
      <c r="A62" t="s">
        <v>615</v>
      </c>
      <c r="B62" s="8" t="s">
        <v>75</v>
      </c>
      <c r="C62" s="8">
        <v>84144</v>
      </c>
      <c r="D62" s="8">
        <v>8414</v>
      </c>
      <c r="E62" s="8">
        <v>8414</v>
      </c>
      <c r="F62" s="8">
        <v>8414</v>
      </c>
      <c r="G62" s="8">
        <v>8414</v>
      </c>
      <c r="H62" s="8">
        <v>8414</v>
      </c>
      <c r="I62" s="8">
        <v>8414</v>
      </c>
      <c r="J62" s="8">
        <v>8414</v>
      </c>
      <c r="K62" s="8">
        <v>8414</v>
      </c>
      <c r="L62" s="8">
        <v>8414</v>
      </c>
      <c r="M62" s="8">
        <v>8418</v>
      </c>
      <c r="O62" t="str">
        <f t="shared" si="0"/>
        <v>12110000</v>
      </c>
    </row>
    <row r="63" spans="1:15" hidden="1" x14ac:dyDescent="0.55000000000000004">
      <c r="A63" t="s">
        <v>614</v>
      </c>
      <c r="B63" s="8" t="s">
        <v>76</v>
      </c>
      <c r="C63" s="8">
        <v>0</v>
      </c>
      <c r="D63" s="8">
        <v>0</v>
      </c>
      <c r="E63" s="8">
        <v>0</v>
      </c>
      <c r="F63" s="8">
        <v>0</v>
      </c>
      <c r="G63" s="8">
        <v>0</v>
      </c>
      <c r="H63" s="8">
        <v>0</v>
      </c>
      <c r="I63" s="8">
        <v>0</v>
      </c>
      <c r="J63" s="8">
        <v>0</v>
      </c>
      <c r="K63" s="8">
        <v>0</v>
      </c>
      <c r="L63" s="8">
        <v>0</v>
      </c>
      <c r="M63" s="8">
        <v>0</v>
      </c>
      <c r="O63" t="str">
        <f t="shared" si="0"/>
        <v>12150000</v>
      </c>
    </row>
    <row r="64" spans="1:15" x14ac:dyDescent="0.55000000000000004">
      <c r="A64" t="s">
        <v>613</v>
      </c>
      <c r="B64" s="8" t="s">
        <v>77</v>
      </c>
      <c r="C64" s="8">
        <v>57706</v>
      </c>
      <c r="D64" s="8">
        <v>5771</v>
      </c>
      <c r="E64" s="8">
        <v>5771</v>
      </c>
      <c r="F64" s="8">
        <v>5771</v>
      </c>
      <c r="G64" s="8">
        <v>5771</v>
      </c>
      <c r="H64" s="8">
        <v>5771</v>
      </c>
      <c r="I64" s="8">
        <v>5771</v>
      </c>
      <c r="J64" s="8">
        <v>5771</v>
      </c>
      <c r="K64" s="8">
        <v>5771</v>
      </c>
      <c r="L64" s="8">
        <v>5771</v>
      </c>
      <c r="M64" s="8">
        <v>5767</v>
      </c>
      <c r="O64" t="str">
        <f t="shared" si="0"/>
        <v>12180000</v>
      </c>
    </row>
    <row r="65" spans="1:15" x14ac:dyDescent="0.55000000000000004">
      <c r="A65" t="s">
        <v>547</v>
      </c>
      <c r="B65" s="8" t="s">
        <v>136</v>
      </c>
      <c r="C65" s="8">
        <v>133536</v>
      </c>
      <c r="D65" s="8">
        <v>13354</v>
      </c>
      <c r="E65" s="8">
        <v>13354</v>
      </c>
      <c r="F65" s="8">
        <v>13354</v>
      </c>
      <c r="G65" s="8">
        <v>13354</v>
      </c>
      <c r="H65" s="8">
        <v>13354</v>
      </c>
      <c r="I65" s="8">
        <v>13354</v>
      </c>
      <c r="J65" s="8">
        <v>13354</v>
      </c>
      <c r="K65" s="8">
        <v>13354</v>
      </c>
      <c r="L65" s="8">
        <v>13354</v>
      </c>
      <c r="M65" s="8">
        <v>13350</v>
      </c>
      <c r="O65" t="str">
        <f t="shared" si="0"/>
        <v>27630000</v>
      </c>
    </row>
    <row r="66" spans="1:15" x14ac:dyDescent="0.55000000000000004">
      <c r="A66" t="s">
        <v>612</v>
      </c>
      <c r="B66" s="8" t="s">
        <v>1213</v>
      </c>
      <c r="C66" s="8">
        <v>28882</v>
      </c>
      <c r="D66" s="8">
        <v>2888</v>
      </c>
      <c r="E66" s="8">
        <v>2888</v>
      </c>
      <c r="F66" s="8">
        <v>2888</v>
      </c>
      <c r="G66" s="8">
        <v>2888</v>
      </c>
      <c r="H66" s="8">
        <v>2888</v>
      </c>
      <c r="I66" s="8">
        <v>2888</v>
      </c>
      <c r="J66" s="8">
        <v>2888</v>
      </c>
      <c r="K66" s="8">
        <v>2888</v>
      </c>
      <c r="L66" s="8">
        <v>2888</v>
      </c>
      <c r="M66" s="8">
        <v>2890</v>
      </c>
      <c r="O66" t="str">
        <f t="shared" si="0"/>
        <v>12210000</v>
      </c>
    </row>
    <row r="67" spans="1:15" hidden="1" x14ac:dyDescent="0.55000000000000004">
      <c r="A67" t="s">
        <v>611</v>
      </c>
      <c r="B67" s="8" t="s">
        <v>79</v>
      </c>
      <c r="C67" s="8">
        <v>0</v>
      </c>
      <c r="D67" s="8">
        <v>0</v>
      </c>
      <c r="E67" s="8">
        <v>0</v>
      </c>
      <c r="F67" s="8">
        <v>0</v>
      </c>
      <c r="G67" s="8">
        <v>0</v>
      </c>
      <c r="H67" s="8">
        <v>0</v>
      </c>
      <c r="I67" s="8">
        <v>0</v>
      </c>
      <c r="J67" s="8">
        <v>0</v>
      </c>
      <c r="K67" s="8">
        <v>0</v>
      </c>
      <c r="L67" s="8">
        <v>0</v>
      </c>
      <c r="M67" s="8">
        <v>0</v>
      </c>
      <c r="O67" t="str">
        <f t="shared" ref="O67:O130" si="1">CONCATENATE(A67,"0000")</f>
        <v>12330000</v>
      </c>
    </row>
    <row r="68" spans="1:15" hidden="1" x14ac:dyDescent="0.55000000000000004">
      <c r="A68" t="s">
        <v>610</v>
      </c>
      <c r="B68" s="8" t="s">
        <v>80</v>
      </c>
      <c r="C68" s="8">
        <v>0</v>
      </c>
      <c r="D68" s="8">
        <v>0</v>
      </c>
      <c r="E68" s="8">
        <v>0</v>
      </c>
      <c r="F68" s="8">
        <v>0</v>
      </c>
      <c r="G68" s="8">
        <v>0</v>
      </c>
      <c r="H68" s="8">
        <v>0</v>
      </c>
      <c r="I68" s="8">
        <v>0</v>
      </c>
      <c r="J68" s="8">
        <v>0</v>
      </c>
      <c r="K68" s="8">
        <v>0</v>
      </c>
      <c r="L68" s="8">
        <v>0</v>
      </c>
      <c r="M68" s="8">
        <v>0</v>
      </c>
      <c r="O68" t="str">
        <f t="shared" si="1"/>
        <v>12780000</v>
      </c>
    </row>
    <row r="69" spans="1:15" hidden="1" x14ac:dyDescent="0.55000000000000004">
      <c r="A69" t="s">
        <v>609</v>
      </c>
      <c r="B69" s="8" t="s">
        <v>81</v>
      </c>
      <c r="C69" s="8">
        <v>0</v>
      </c>
      <c r="D69" s="8">
        <v>0</v>
      </c>
      <c r="E69" s="8">
        <v>0</v>
      </c>
      <c r="F69" s="8">
        <v>0</v>
      </c>
      <c r="G69" s="8">
        <v>0</v>
      </c>
      <c r="H69" s="8">
        <v>0</v>
      </c>
      <c r="I69" s="8">
        <v>0</v>
      </c>
      <c r="J69" s="8">
        <v>0</v>
      </c>
      <c r="K69" s="8">
        <v>0</v>
      </c>
      <c r="L69" s="8">
        <v>0</v>
      </c>
      <c r="M69" s="8">
        <v>0</v>
      </c>
      <c r="O69" t="str">
        <f t="shared" si="1"/>
        <v>13320000</v>
      </c>
    </row>
    <row r="70" spans="1:15" x14ac:dyDescent="0.55000000000000004">
      <c r="A70" t="s">
        <v>608</v>
      </c>
      <c r="B70" s="8" t="s">
        <v>1214</v>
      </c>
      <c r="C70" s="8">
        <v>411458</v>
      </c>
      <c r="D70" s="8">
        <v>41146</v>
      </c>
      <c r="E70" s="8">
        <v>41146</v>
      </c>
      <c r="F70" s="8">
        <v>41146</v>
      </c>
      <c r="G70" s="8">
        <v>41146</v>
      </c>
      <c r="H70" s="8">
        <v>41146</v>
      </c>
      <c r="I70" s="8">
        <v>41146</v>
      </c>
      <c r="J70" s="8">
        <v>41146</v>
      </c>
      <c r="K70" s="8">
        <v>41146</v>
      </c>
      <c r="L70" s="8">
        <v>41146</v>
      </c>
      <c r="M70" s="8">
        <v>41144</v>
      </c>
      <c r="O70" t="str">
        <f t="shared" si="1"/>
        <v>13370000</v>
      </c>
    </row>
    <row r="71" spans="1:15" hidden="1" x14ac:dyDescent="0.55000000000000004">
      <c r="A71" t="s">
        <v>607</v>
      </c>
      <c r="B71" s="8" t="s">
        <v>83</v>
      </c>
      <c r="C71" s="8">
        <v>0</v>
      </c>
      <c r="D71" s="8">
        <v>0</v>
      </c>
      <c r="E71" s="8">
        <v>0</v>
      </c>
      <c r="F71" s="8">
        <v>0</v>
      </c>
      <c r="G71" s="8">
        <v>0</v>
      </c>
      <c r="H71" s="8">
        <v>0</v>
      </c>
      <c r="I71" s="8">
        <v>0</v>
      </c>
      <c r="J71" s="8">
        <v>0</v>
      </c>
      <c r="K71" s="8">
        <v>0</v>
      </c>
      <c r="L71" s="8">
        <v>0</v>
      </c>
      <c r="M71" s="8">
        <v>0</v>
      </c>
      <c r="O71" t="str">
        <f t="shared" si="1"/>
        <v>13500000</v>
      </c>
    </row>
    <row r="72" spans="1:15" x14ac:dyDescent="0.55000000000000004">
      <c r="A72" t="s">
        <v>606</v>
      </c>
      <c r="B72" s="8" t="s">
        <v>1215</v>
      </c>
      <c r="C72" s="8">
        <v>24180</v>
      </c>
      <c r="D72" s="8">
        <v>2418</v>
      </c>
      <c r="E72" s="8">
        <v>2418</v>
      </c>
      <c r="F72" s="8">
        <v>2418</v>
      </c>
      <c r="G72" s="8">
        <v>2418</v>
      </c>
      <c r="H72" s="8">
        <v>2418</v>
      </c>
      <c r="I72" s="8">
        <v>2418</v>
      </c>
      <c r="J72" s="8">
        <v>2418</v>
      </c>
      <c r="K72" s="8">
        <v>2418</v>
      </c>
      <c r="L72" s="8">
        <v>2418</v>
      </c>
      <c r="M72" s="8">
        <v>2418</v>
      </c>
      <c r="O72" t="str">
        <f t="shared" si="1"/>
        <v>13590000</v>
      </c>
    </row>
    <row r="73" spans="1:15" x14ac:dyDescent="0.55000000000000004">
      <c r="A73" t="s">
        <v>604</v>
      </c>
      <c r="B73" s="8" t="s">
        <v>84</v>
      </c>
      <c r="C73" s="8">
        <v>14468</v>
      </c>
      <c r="D73" s="8">
        <v>1447</v>
      </c>
      <c r="E73" s="8">
        <v>1447</v>
      </c>
      <c r="F73" s="8">
        <v>1447</v>
      </c>
      <c r="G73" s="8">
        <v>1447</v>
      </c>
      <c r="H73" s="8">
        <v>1447</v>
      </c>
      <c r="I73" s="8">
        <v>1447</v>
      </c>
      <c r="J73" s="8">
        <v>1447</v>
      </c>
      <c r="K73" s="8">
        <v>1447</v>
      </c>
      <c r="L73" s="8">
        <v>1447</v>
      </c>
      <c r="M73" s="8">
        <v>1445</v>
      </c>
      <c r="O73" t="str">
        <f t="shared" si="1"/>
        <v>13680000</v>
      </c>
    </row>
    <row r="74" spans="1:15" x14ac:dyDescent="0.55000000000000004">
      <c r="A74" t="s">
        <v>603</v>
      </c>
      <c r="B74" s="8" t="s">
        <v>85</v>
      </c>
      <c r="C74" s="8">
        <v>62865</v>
      </c>
      <c r="D74" s="8">
        <v>6287</v>
      </c>
      <c r="E74" s="8">
        <v>6287</v>
      </c>
      <c r="F74" s="8">
        <v>6287</v>
      </c>
      <c r="G74" s="8">
        <v>6287</v>
      </c>
      <c r="H74" s="8">
        <v>6287</v>
      </c>
      <c r="I74" s="8">
        <v>6287</v>
      </c>
      <c r="J74" s="8">
        <v>6287</v>
      </c>
      <c r="K74" s="8">
        <v>6287</v>
      </c>
      <c r="L74" s="8">
        <v>6287</v>
      </c>
      <c r="M74" s="8">
        <v>6282</v>
      </c>
      <c r="O74" t="str">
        <f t="shared" si="1"/>
        <v>14130000</v>
      </c>
    </row>
    <row r="75" spans="1:15" x14ac:dyDescent="0.55000000000000004">
      <c r="A75" t="s">
        <v>602</v>
      </c>
      <c r="B75" s="8" t="s">
        <v>86</v>
      </c>
      <c r="C75" s="8">
        <v>239241</v>
      </c>
      <c r="D75" s="8">
        <v>23924</v>
      </c>
      <c r="E75" s="8">
        <v>23924</v>
      </c>
      <c r="F75" s="8">
        <v>23924</v>
      </c>
      <c r="G75" s="8">
        <v>23924</v>
      </c>
      <c r="H75" s="8">
        <v>23924</v>
      </c>
      <c r="I75" s="8">
        <v>23924</v>
      </c>
      <c r="J75" s="8">
        <v>23924</v>
      </c>
      <c r="K75" s="8">
        <v>23924</v>
      </c>
      <c r="L75" s="8">
        <v>23924</v>
      </c>
      <c r="M75" s="8">
        <v>23925</v>
      </c>
      <c r="O75" t="str">
        <f t="shared" si="1"/>
        <v>14310000</v>
      </c>
    </row>
    <row r="76" spans="1:15" hidden="1" x14ac:dyDescent="0.55000000000000004">
      <c r="A76" t="s">
        <v>601</v>
      </c>
      <c r="B76" s="8" t="s">
        <v>87</v>
      </c>
      <c r="C76" s="8">
        <v>0</v>
      </c>
      <c r="D76" s="8">
        <v>0</v>
      </c>
      <c r="E76" s="8">
        <v>0</v>
      </c>
      <c r="F76" s="8">
        <v>0</v>
      </c>
      <c r="G76" s="8">
        <v>0</v>
      </c>
      <c r="H76" s="8">
        <v>0</v>
      </c>
      <c r="I76" s="8">
        <v>0</v>
      </c>
      <c r="J76" s="8">
        <v>0</v>
      </c>
      <c r="K76" s="8">
        <v>0</v>
      </c>
      <c r="L76" s="8">
        <v>0</v>
      </c>
      <c r="M76" s="8">
        <v>0</v>
      </c>
      <c r="O76" t="str">
        <f t="shared" si="1"/>
        <v>14760000</v>
      </c>
    </row>
    <row r="77" spans="1:15" hidden="1" x14ac:dyDescent="0.55000000000000004">
      <c r="A77" t="s">
        <v>600</v>
      </c>
      <c r="B77" s="8" t="s">
        <v>88</v>
      </c>
      <c r="C77" s="8">
        <v>0</v>
      </c>
      <c r="D77" s="8">
        <v>0</v>
      </c>
      <c r="E77" s="8">
        <v>0</v>
      </c>
      <c r="F77" s="8">
        <v>0</v>
      </c>
      <c r="G77" s="8">
        <v>0</v>
      </c>
      <c r="H77" s="8">
        <v>0</v>
      </c>
      <c r="I77" s="8">
        <v>0</v>
      </c>
      <c r="J77" s="8">
        <v>0</v>
      </c>
      <c r="K77" s="8">
        <v>0</v>
      </c>
      <c r="L77" s="8">
        <v>0</v>
      </c>
      <c r="M77" s="8">
        <v>0</v>
      </c>
      <c r="O77" t="str">
        <f t="shared" si="1"/>
        <v>15030000</v>
      </c>
    </row>
    <row r="78" spans="1:15" hidden="1" x14ac:dyDescent="0.55000000000000004">
      <c r="A78" t="s">
        <v>599</v>
      </c>
      <c r="B78" s="8" t="s">
        <v>89</v>
      </c>
      <c r="C78" s="8">
        <v>0</v>
      </c>
      <c r="D78" s="8">
        <v>0</v>
      </c>
      <c r="E78" s="8">
        <v>0</v>
      </c>
      <c r="F78" s="8">
        <v>0</v>
      </c>
      <c r="G78" s="8">
        <v>0</v>
      </c>
      <c r="H78" s="8">
        <v>0</v>
      </c>
      <c r="I78" s="8">
        <v>0</v>
      </c>
      <c r="J78" s="8">
        <v>0</v>
      </c>
      <c r="K78" s="8">
        <v>0</v>
      </c>
      <c r="L78" s="8">
        <v>0</v>
      </c>
      <c r="M78" s="8">
        <v>0</v>
      </c>
      <c r="O78" t="str">
        <f t="shared" si="1"/>
        <v>15760000</v>
      </c>
    </row>
    <row r="79" spans="1:15" x14ac:dyDescent="0.55000000000000004">
      <c r="A79" t="s">
        <v>598</v>
      </c>
      <c r="B79" s="8" t="s">
        <v>90</v>
      </c>
      <c r="C79" s="8">
        <v>67529</v>
      </c>
      <c r="D79" s="8">
        <v>6753</v>
      </c>
      <c r="E79" s="8">
        <v>6753</v>
      </c>
      <c r="F79" s="8">
        <v>6753</v>
      </c>
      <c r="G79" s="8">
        <v>6753</v>
      </c>
      <c r="H79" s="8">
        <v>6753</v>
      </c>
      <c r="I79" s="8">
        <v>6753</v>
      </c>
      <c r="J79" s="8">
        <v>6753</v>
      </c>
      <c r="K79" s="8">
        <v>6753</v>
      </c>
      <c r="L79" s="8">
        <v>6753</v>
      </c>
      <c r="M79" s="8">
        <v>6752</v>
      </c>
      <c r="O79" t="str">
        <f t="shared" si="1"/>
        <v>16020000</v>
      </c>
    </row>
    <row r="80" spans="1:15" hidden="1" x14ac:dyDescent="0.55000000000000004">
      <c r="A80" t="s">
        <v>597</v>
      </c>
      <c r="B80" s="8" t="s">
        <v>91</v>
      </c>
      <c r="C80" s="8">
        <v>0</v>
      </c>
      <c r="D80" s="8">
        <v>0</v>
      </c>
      <c r="E80" s="8">
        <v>0</v>
      </c>
      <c r="F80" s="8">
        <v>0</v>
      </c>
      <c r="G80" s="8">
        <v>0</v>
      </c>
      <c r="H80" s="8">
        <v>0</v>
      </c>
      <c r="I80" s="8">
        <v>0</v>
      </c>
      <c r="J80" s="8">
        <v>0</v>
      </c>
      <c r="K80" s="8">
        <v>0</v>
      </c>
      <c r="L80" s="8">
        <v>0</v>
      </c>
      <c r="M80" s="8">
        <v>0</v>
      </c>
      <c r="O80" t="str">
        <f t="shared" si="1"/>
        <v>16110000</v>
      </c>
    </row>
    <row r="81" spans="1:15" x14ac:dyDescent="0.55000000000000004">
      <c r="A81" t="s">
        <v>596</v>
      </c>
      <c r="B81" s="8" t="s">
        <v>92</v>
      </c>
      <c r="C81" s="8">
        <v>485930</v>
      </c>
      <c r="D81" s="8">
        <v>48593</v>
      </c>
      <c r="E81" s="8">
        <v>48593</v>
      </c>
      <c r="F81" s="8">
        <v>48593</v>
      </c>
      <c r="G81" s="8">
        <v>48593</v>
      </c>
      <c r="H81" s="8">
        <v>48593</v>
      </c>
      <c r="I81" s="8">
        <v>48593</v>
      </c>
      <c r="J81" s="8">
        <v>48593</v>
      </c>
      <c r="K81" s="8">
        <v>48593</v>
      </c>
      <c r="L81" s="8">
        <v>48593</v>
      </c>
      <c r="M81" s="8">
        <v>48593</v>
      </c>
      <c r="O81" t="str">
        <f t="shared" si="1"/>
        <v>16190000</v>
      </c>
    </row>
    <row r="82" spans="1:15" x14ac:dyDescent="0.55000000000000004">
      <c r="A82" t="s">
        <v>595</v>
      </c>
      <c r="B82" s="8" t="s">
        <v>1216</v>
      </c>
      <c r="C82" s="8">
        <v>334581</v>
      </c>
      <c r="D82" s="8">
        <v>33458</v>
      </c>
      <c r="E82" s="8">
        <v>33458</v>
      </c>
      <c r="F82" s="8">
        <v>33458</v>
      </c>
      <c r="G82" s="8">
        <v>33458</v>
      </c>
      <c r="H82" s="8">
        <v>33458</v>
      </c>
      <c r="I82" s="8">
        <v>33458</v>
      </c>
      <c r="J82" s="8">
        <v>33458</v>
      </c>
      <c r="K82" s="8">
        <v>33458</v>
      </c>
      <c r="L82" s="8">
        <v>33458</v>
      </c>
      <c r="M82" s="8">
        <v>33459</v>
      </c>
      <c r="O82" t="str">
        <f t="shared" si="1"/>
        <v>16380000</v>
      </c>
    </row>
    <row r="83" spans="1:15" x14ac:dyDescent="0.55000000000000004">
      <c r="A83" t="s">
        <v>594</v>
      </c>
      <c r="B83" s="8" t="s">
        <v>94</v>
      </c>
      <c r="C83" s="8">
        <v>116635</v>
      </c>
      <c r="D83" s="8">
        <v>11664</v>
      </c>
      <c r="E83" s="8">
        <v>11664</v>
      </c>
      <c r="F83" s="8">
        <v>11664</v>
      </c>
      <c r="G83" s="8">
        <v>11664</v>
      </c>
      <c r="H83" s="8">
        <v>11664</v>
      </c>
      <c r="I83" s="8">
        <v>11664</v>
      </c>
      <c r="J83" s="8">
        <v>11664</v>
      </c>
      <c r="K83" s="8">
        <v>11664</v>
      </c>
      <c r="L83" s="8">
        <v>11664</v>
      </c>
      <c r="M83" s="8">
        <v>11659</v>
      </c>
      <c r="O83" t="str">
        <f t="shared" si="1"/>
        <v>16750000</v>
      </c>
    </row>
    <row r="84" spans="1:15" x14ac:dyDescent="0.55000000000000004">
      <c r="A84" t="s">
        <v>593</v>
      </c>
      <c r="B84" s="8" t="s">
        <v>95</v>
      </c>
      <c r="C84" s="8">
        <v>81754</v>
      </c>
      <c r="D84" s="8">
        <v>8175</v>
      </c>
      <c r="E84" s="8">
        <v>8175</v>
      </c>
      <c r="F84" s="8">
        <v>8175</v>
      </c>
      <c r="G84" s="8">
        <v>8175</v>
      </c>
      <c r="H84" s="8">
        <v>8175</v>
      </c>
      <c r="I84" s="8">
        <v>8175</v>
      </c>
      <c r="J84" s="8">
        <v>8175</v>
      </c>
      <c r="K84" s="8">
        <v>8175</v>
      </c>
      <c r="L84" s="8">
        <v>8175</v>
      </c>
      <c r="M84" s="8">
        <v>8179</v>
      </c>
      <c r="O84" t="str">
        <f t="shared" si="1"/>
        <v>17010000</v>
      </c>
    </row>
    <row r="85" spans="1:15" hidden="1" x14ac:dyDescent="0.55000000000000004">
      <c r="A85" t="s">
        <v>592</v>
      </c>
      <c r="B85" s="8" t="s">
        <v>96</v>
      </c>
      <c r="C85" s="8">
        <v>0</v>
      </c>
      <c r="D85" s="8">
        <v>0</v>
      </c>
      <c r="E85" s="8">
        <v>0</v>
      </c>
      <c r="F85" s="8">
        <v>0</v>
      </c>
      <c r="G85" s="8">
        <v>0</v>
      </c>
      <c r="H85" s="8">
        <v>0</v>
      </c>
      <c r="I85" s="8">
        <v>0</v>
      </c>
      <c r="J85" s="8">
        <v>0</v>
      </c>
      <c r="K85" s="8">
        <v>0</v>
      </c>
      <c r="L85" s="8">
        <v>0</v>
      </c>
      <c r="M85" s="8">
        <v>0</v>
      </c>
      <c r="O85" t="str">
        <f t="shared" si="1"/>
        <v>17190000</v>
      </c>
    </row>
    <row r="86" spans="1:15" hidden="1" x14ac:dyDescent="0.55000000000000004">
      <c r="A86" t="s">
        <v>591</v>
      </c>
      <c r="B86" s="8" t="s">
        <v>1217</v>
      </c>
      <c r="C86" s="8">
        <v>0</v>
      </c>
      <c r="D86" s="8">
        <v>0</v>
      </c>
      <c r="E86" s="8">
        <v>0</v>
      </c>
      <c r="F86" s="8">
        <v>0</v>
      </c>
      <c r="G86" s="8">
        <v>0</v>
      </c>
      <c r="H86" s="8">
        <v>0</v>
      </c>
      <c r="I86" s="8">
        <v>0</v>
      </c>
      <c r="J86" s="8">
        <v>0</v>
      </c>
      <c r="K86" s="8">
        <v>0</v>
      </c>
      <c r="L86" s="8">
        <v>0</v>
      </c>
      <c r="M86" s="8">
        <v>0</v>
      </c>
      <c r="O86" t="str">
        <f t="shared" si="1"/>
        <v>17370000</v>
      </c>
    </row>
    <row r="87" spans="1:15" x14ac:dyDescent="0.55000000000000004">
      <c r="A87" t="s">
        <v>590</v>
      </c>
      <c r="B87" s="8" t="s">
        <v>98</v>
      </c>
      <c r="C87" s="8">
        <v>28168</v>
      </c>
      <c r="D87" s="8">
        <v>2817</v>
      </c>
      <c r="E87" s="8">
        <v>2817</v>
      </c>
      <c r="F87" s="8">
        <v>2817</v>
      </c>
      <c r="G87" s="8">
        <v>2817</v>
      </c>
      <c r="H87" s="8">
        <v>2817</v>
      </c>
      <c r="I87" s="8">
        <v>2817</v>
      </c>
      <c r="J87" s="8">
        <v>2817</v>
      </c>
      <c r="K87" s="8">
        <v>2817</v>
      </c>
      <c r="L87" s="8">
        <v>2817</v>
      </c>
      <c r="M87" s="8">
        <v>2815</v>
      </c>
      <c r="O87" t="str">
        <f t="shared" si="1"/>
        <v>17820000</v>
      </c>
    </row>
    <row r="88" spans="1:15" hidden="1" x14ac:dyDescent="0.55000000000000004">
      <c r="A88" t="s">
        <v>589</v>
      </c>
      <c r="B88" s="8" t="s">
        <v>99</v>
      </c>
      <c r="C88" s="8">
        <v>0</v>
      </c>
      <c r="D88" s="8">
        <v>0</v>
      </c>
      <c r="E88" s="8">
        <v>0</v>
      </c>
      <c r="F88" s="8">
        <v>0</v>
      </c>
      <c r="G88" s="8">
        <v>0</v>
      </c>
      <c r="H88" s="8">
        <v>0</v>
      </c>
      <c r="I88" s="8">
        <v>0</v>
      </c>
      <c r="J88" s="8">
        <v>0</v>
      </c>
      <c r="K88" s="8">
        <v>0</v>
      </c>
      <c r="L88" s="8">
        <v>0</v>
      </c>
      <c r="M88" s="8">
        <v>0</v>
      </c>
      <c r="O88" t="str">
        <f t="shared" si="1"/>
        <v>17910000</v>
      </c>
    </row>
    <row r="89" spans="1:15" hidden="1" x14ac:dyDescent="0.55000000000000004">
      <c r="A89" t="s">
        <v>588</v>
      </c>
      <c r="B89" s="8" t="s">
        <v>100</v>
      </c>
      <c r="C89" s="8">
        <v>0</v>
      </c>
      <c r="D89" s="8">
        <v>0</v>
      </c>
      <c r="E89" s="8">
        <v>0</v>
      </c>
      <c r="F89" s="8">
        <v>0</v>
      </c>
      <c r="G89" s="8">
        <v>0</v>
      </c>
      <c r="H89" s="8">
        <v>0</v>
      </c>
      <c r="I89" s="8">
        <v>0</v>
      </c>
      <c r="J89" s="8">
        <v>0</v>
      </c>
      <c r="K89" s="8">
        <v>0</v>
      </c>
      <c r="L89" s="8">
        <v>0</v>
      </c>
      <c r="M89" s="8">
        <v>0</v>
      </c>
      <c r="O89" t="str">
        <f t="shared" si="1"/>
        <v>18630000</v>
      </c>
    </row>
    <row r="90" spans="1:15" hidden="1" x14ac:dyDescent="0.55000000000000004">
      <c r="A90" t="s">
        <v>587</v>
      </c>
      <c r="B90" s="8" t="s">
        <v>101</v>
      </c>
      <c r="C90" s="8">
        <v>0</v>
      </c>
      <c r="D90" s="8">
        <v>0</v>
      </c>
      <c r="E90" s="8">
        <v>0</v>
      </c>
      <c r="F90" s="8">
        <v>0</v>
      </c>
      <c r="G90" s="8">
        <v>0</v>
      </c>
      <c r="H90" s="8">
        <v>0</v>
      </c>
      <c r="I90" s="8">
        <v>0</v>
      </c>
      <c r="J90" s="8">
        <v>0</v>
      </c>
      <c r="K90" s="8">
        <v>0</v>
      </c>
      <c r="L90" s="8">
        <v>0</v>
      </c>
      <c r="M90" s="8">
        <v>0</v>
      </c>
      <c r="O90" t="str">
        <f t="shared" si="1"/>
        <v>19080000</v>
      </c>
    </row>
    <row r="91" spans="1:15" x14ac:dyDescent="0.55000000000000004">
      <c r="A91" t="s">
        <v>585</v>
      </c>
      <c r="B91" s="8" t="s">
        <v>103</v>
      </c>
      <c r="C91" s="8">
        <v>11887</v>
      </c>
      <c r="D91" s="8">
        <v>1189</v>
      </c>
      <c r="E91" s="8">
        <v>1189</v>
      </c>
      <c r="F91" s="8">
        <v>1189</v>
      </c>
      <c r="G91" s="8">
        <v>1189</v>
      </c>
      <c r="H91" s="8">
        <v>1189</v>
      </c>
      <c r="I91" s="8">
        <v>1189</v>
      </c>
      <c r="J91" s="8">
        <v>1189</v>
      </c>
      <c r="K91" s="8">
        <v>1189</v>
      </c>
      <c r="L91" s="8">
        <v>1189</v>
      </c>
      <c r="M91" s="8">
        <v>1186</v>
      </c>
      <c r="O91" t="str">
        <f t="shared" si="1"/>
        <v>19260000</v>
      </c>
    </row>
    <row r="92" spans="1:15" hidden="1" x14ac:dyDescent="0.55000000000000004">
      <c r="A92" t="s">
        <v>584</v>
      </c>
      <c r="B92" s="8" t="s">
        <v>104</v>
      </c>
      <c r="C92" s="8">
        <v>0</v>
      </c>
      <c r="D92" s="8">
        <v>0</v>
      </c>
      <c r="E92" s="8">
        <v>0</v>
      </c>
      <c r="F92" s="8">
        <v>0</v>
      </c>
      <c r="G92" s="8">
        <v>0</v>
      </c>
      <c r="H92" s="8">
        <v>0</v>
      </c>
      <c r="I92" s="8">
        <v>0</v>
      </c>
      <c r="J92" s="8">
        <v>0</v>
      </c>
      <c r="K92" s="8">
        <v>0</v>
      </c>
      <c r="L92" s="8">
        <v>0</v>
      </c>
      <c r="M92" s="8">
        <v>0</v>
      </c>
      <c r="O92" t="str">
        <f t="shared" si="1"/>
        <v>19440000</v>
      </c>
    </row>
    <row r="93" spans="1:15" hidden="1" x14ac:dyDescent="0.55000000000000004">
      <c r="A93" t="s">
        <v>583</v>
      </c>
      <c r="B93" s="8" t="s">
        <v>105</v>
      </c>
      <c r="C93" s="8">
        <v>0</v>
      </c>
      <c r="D93" s="8">
        <v>0</v>
      </c>
      <c r="E93" s="8">
        <v>0</v>
      </c>
      <c r="F93" s="8">
        <v>0</v>
      </c>
      <c r="G93" s="8">
        <v>0</v>
      </c>
      <c r="H93" s="8">
        <v>0</v>
      </c>
      <c r="I93" s="8">
        <v>0</v>
      </c>
      <c r="J93" s="8">
        <v>0</v>
      </c>
      <c r="K93" s="8">
        <v>0</v>
      </c>
      <c r="L93" s="8">
        <v>0</v>
      </c>
      <c r="M93" s="8">
        <v>0</v>
      </c>
      <c r="O93" t="str">
        <f t="shared" si="1"/>
        <v>19530000</v>
      </c>
    </row>
    <row r="94" spans="1:15" x14ac:dyDescent="0.55000000000000004">
      <c r="A94" t="s">
        <v>582</v>
      </c>
      <c r="B94" s="8" t="s">
        <v>106</v>
      </c>
      <c r="C94" s="8">
        <v>61992</v>
      </c>
      <c r="D94" s="8">
        <v>6199</v>
      </c>
      <c r="E94" s="8">
        <v>6199</v>
      </c>
      <c r="F94" s="8">
        <v>6199</v>
      </c>
      <c r="G94" s="8">
        <v>6199</v>
      </c>
      <c r="H94" s="8">
        <v>6199</v>
      </c>
      <c r="I94" s="8">
        <v>6199</v>
      </c>
      <c r="J94" s="8">
        <v>6199</v>
      </c>
      <c r="K94" s="8">
        <v>6199</v>
      </c>
      <c r="L94" s="8">
        <v>6199</v>
      </c>
      <c r="M94" s="8">
        <v>6201</v>
      </c>
      <c r="O94" t="str">
        <f t="shared" si="1"/>
        <v>19630000</v>
      </c>
    </row>
    <row r="95" spans="1:15" x14ac:dyDescent="0.55000000000000004">
      <c r="A95" t="s">
        <v>580</v>
      </c>
      <c r="B95" s="8" t="s">
        <v>107</v>
      </c>
      <c r="C95" s="8">
        <v>219647</v>
      </c>
      <c r="D95" s="8">
        <v>21965</v>
      </c>
      <c r="E95" s="8">
        <v>21965</v>
      </c>
      <c r="F95" s="8">
        <v>21965</v>
      </c>
      <c r="G95" s="8">
        <v>21965</v>
      </c>
      <c r="H95" s="8">
        <v>21965</v>
      </c>
      <c r="I95" s="8">
        <v>21965</v>
      </c>
      <c r="J95" s="8">
        <v>21965</v>
      </c>
      <c r="K95" s="8">
        <v>21965</v>
      </c>
      <c r="L95" s="8">
        <v>21965</v>
      </c>
      <c r="M95" s="8">
        <v>21962</v>
      </c>
      <c r="O95" t="str">
        <f t="shared" si="1"/>
        <v>19680000</v>
      </c>
    </row>
    <row r="96" spans="1:15" x14ac:dyDescent="0.55000000000000004">
      <c r="A96" t="s">
        <v>502</v>
      </c>
      <c r="B96" s="8" t="s">
        <v>331</v>
      </c>
      <c r="C96" s="8">
        <v>192663</v>
      </c>
      <c r="D96" s="8">
        <v>19266</v>
      </c>
      <c r="E96" s="8">
        <v>19266</v>
      </c>
      <c r="F96" s="8">
        <v>19266</v>
      </c>
      <c r="G96" s="8">
        <v>19266</v>
      </c>
      <c r="H96" s="8">
        <v>19266</v>
      </c>
      <c r="I96" s="8">
        <v>19266</v>
      </c>
      <c r="J96" s="8">
        <v>19266</v>
      </c>
      <c r="K96" s="8">
        <v>19266</v>
      </c>
      <c r="L96" s="8">
        <v>19266</v>
      </c>
      <c r="M96" s="8">
        <v>19269</v>
      </c>
      <c r="O96" t="str">
        <f t="shared" si="1"/>
        <v>39780000</v>
      </c>
    </row>
    <row r="97" spans="1:15" x14ac:dyDescent="0.55000000000000004">
      <c r="A97" t="s">
        <v>375</v>
      </c>
      <c r="B97" s="8" t="s">
        <v>333</v>
      </c>
      <c r="C97" s="8">
        <v>127717</v>
      </c>
      <c r="D97" s="8">
        <v>12772</v>
      </c>
      <c r="E97" s="8">
        <v>12772</v>
      </c>
      <c r="F97" s="8">
        <v>12772</v>
      </c>
      <c r="G97" s="8">
        <v>12772</v>
      </c>
      <c r="H97" s="8">
        <v>12772</v>
      </c>
      <c r="I97" s="8">
        <v>12772</v>
      </c>
      <c r="J97" s="8">
        <v>12772</v>
      </c>
      <c r="K97" s="8">
        <v>12772</v>
      </c>
      <c r="L97" s="8">
        <v>12772</v>
      </c>
      <c r="M97" s="8">
        <v>12769</v>
      </c>
      <c r="O97" t="str">
        <f t="shared" si="1"/>
        <v>67410000</v>
      </c>
    </row>
    <row r="98" spans="1:15" x14ac:dyDescent="0.55000000000000004">
      <c r="A98" t="s">
        <v>579</v>
      </c>
      <c r="B98" s="8" t="s">
        <v>108</v>
      </c>
      <c r="C98" s="8">
        <v>147679</v>
      </c>
      <c r="D98" s="8">
        <v>14768</v>
      </c>
      <c r="E98" s="8">
        <v>14768</v>
      </c>
      <c r="F98" s="8">
        <v>14768</v>
      </c>
      <c r="G98" s="8">
        <v>14768</v>
      </c>
      <c r="H98" s="8">
        <v>14768</v>
      </c>
      <c r="I98" s="8">
        <v>14768</v>
      </c>
      <c r="J98" s="8">
        <v>14768</v>
      </c>
      <c r="K98" s="8">
        <v>14768</v>
      </c>
      <c r="L98" s="8">
        <v>14768</v>
      </c>
      <c r="M98" s="8">
        <v>14767</v>
      </c>
      <c r="O98" t="str">
        <f t="shared" si="1"/>
        <v>19700000</v>
      </c>
    </row>
    <row r="99" spans="1:15" x14ac:dyDescent="0.55000000000000004">
      <c r="A99" t="s">
        <v>578</v>
      </c>
      <c r="B99" s="8" t="s">
        <v>109</v>
      </c>
      <c r="C99" s="8">
        <v>123456</v>
      </c>
      <c r="D99" s="8">
        <v>12346</v>
      </c>
      <c r="E99" s="8">
        <v>12346</v>
      </c>
      <c r="F99" s="8">
        <v>12346</v>
      </c>
      <c r="G99" s="8">
        <v>12346</v>
      </c>
      <c r="H99" s="8">
        <v>12346</v>
      </c>
      <c r="I99" s="8">
        <v>12346</v>
      </c>
      <c r="J99" s="8">
        <v>12346</v>
      </c>
      <c r="K99" s="8">
        <v>12346</v>
      </c>
      <c r="L99" s="8">
        <v>12346</v>
      </c>
      <c r="M99" s="8">
        <v>12342</v>
      </c>
      <c r="O99" t="str">
        <f t="shared" si="1"/>
        <v>19720000</v>
      </c>
    </row>
    <row r="100" spans="1:15" x14ac:dyDescent="0.55000000000000004">
      <c r="A100" t="s">
        <v>581</v>
      </c>
      <c r="B100" s="8" t="s">
        <v>336</v>
      </c>
      <c r="C100" s="8">
        <v>134675</v>
      </c>
      <c r="D100" s="8">
        <v>13468</v>
      </c>
      <c r="E100" s="8">
        <v>13468</v>
      </c>
      <c r="F100" s="8">
        <v>13468</v>
      </c>
      <c r="G100" s="8">
        <v>13468</v>
      </c>
      <c r="H100" s="8">
        <v>13468</v>
      </c>
      <c r="I100" s="8">
        <v>13468</v>
      </c>
      <c r="J100" s="8">
        <v>13468</v>
      </c>
      <c r="K100" s="8">
        <v>13468</v>
      </c>
      <c r="L100" s="8">
        <v>13468</v>
      </c>
      <c r="M100" s="8">
        <v>13463</v>
      </c>
      <c r="O100" t="str">
        <f t="shared" si="1"/>
        <v>19650000</v>
      </c>
    </row>
    <row r="101" spans="1:15" x14ac:dyDescent="0.55000000000000004">
      <c r="A101" t="s">
        <v>649</v>
      </c>
      <c r="B101" s="8" t="s">
        <v>1218</v>
      </c>
      <c r="C101" s="8">
        <v>380049</v>
      </c>
      <c r="D101" s="8">
        <v>38005</v>
      </c>
      <c r="E101" s="8">
        <v>38005</v>
      </c>
      <c r="F101" s="8">
        <v>38005</v>
      </c>
      <c r="G101" s="8">
        <v>38005</v>
      </c>
      <c r="H101" s="8">
        <v>38005</v>
      </c>
      <c r="I101" s="8">
        <v>38005</v>
      </c>
      <c r="J101" s="8">
        <v>38005</v>
      </c>
      <c r="K101" s="8">
        <v>38005</v>
      </c>
      <c r="L101" s="8">
        <v>38005</v>
      </c>
      <c r="M101" s="8">
        <v>38004</v>
      </c>
      <c r="O101" t="str">
        <f t="shared" si="1"/>
        <v>06570000</v>
      </c>
    </row>
    <row r="102" spans="1:15" x14ac:dyDescent="0.55000000000000004">
      <c r="A102" t="s">
        <v>576</v>
      </c>
      <c r="B102" s="8" t="s">
        <v>111</v>
      </c>
      <c r="C102" s="8">
        <v>147260</v>
      </c>
      <c r="D102" s="8">
        <v>14726</v>
      </c>
      <c r="E102" s="8">
        <v>14726</v>
      </c>
      <c r="F102" s="8">
        <v>14726</v>
      </c>
      <c r="G102" s="8">
        <v>14726</v>
      </c>
      <c r="H102" s="8">
        <v>14726</v>
      </c>
      <c r="I102" s="8">
        <v>14726</v>
      </c>
      <c r="J102" s="8">
        <v>14726</v>
      </c>
      <c r="K102" s="8">
        <v>14726</v>
      </c>
      <c r="L102" s="8">
        <v>14726</v>
      </c>
      <c r="M102" s="8">
        <v>14726</v>
      </c>
      <c r="O102" t="str">
        <f t="shared" si="1"/>
        <v>19890000</v>
      </c>
    </row>
    <row r="103" spans="1:15" x14ac:dyDescent="0.55000000000000004">
      <c r="A103" t="s">
        <v>575</v>
      </c>
      <c r="B103" s="8" t="s">
        <v>112</v>
      </c>
      <c r="C103" s="8">
        <v>26813</v>
      </c>
      <c r="D103" s="8">
        <v>2681</v>
      </c>
      <c r="E103" s="8">
        <v>2681</v>
      </c>
      <c r="F103" s="8">
        <v>2681</v>
      </c>
      <c r="G103" s="8">
        <v>2681</v>
      </c>
      <c r="H103" s="8">
        <v>2681</v>
      </c>
      <c r="I103" s="8">
        <v>2681</v>
      </c>
      <c r="J103" s="8">
        <v>2681</v>
      </c>
      <c r="K103" s="8">
        <v>2681</v>
      </c>
      <c r="L103" s="8">
        <v>2681</v>
      </c>
      <c r="M103" s="8">
        <v>2684</v>
      </c>
      <c r="O103" t="str">
        <f t="shared" si="1"/>
        <v>20070000</v>
      </c>
    </row>
    <row r="104" spans="1:15" x14ac:dyDescent="0.55000000000000004">
      <c r="A104" t="s">
        <v>574</v>
      </c>
      <c r="B104" s="8" t="s">
        <v>113</v>
      </c>
      <c r="C104" s="8">
        <v>22551</v>
      </c>
      <c r="D104" s="8">
        <v>2255</v>
      </c>
      <c r="E104" s="8">
        <v>2255</v>
      </c>
      <c r="F104" s="8">
        <v>2255</v>
      </c>
      <c r="G104" s="8">
        <v>2255</v>
      </c>
      <c r="H104" s="8">
        <v>2255</v>
      </c>
      <c r="I104" s="8">
        <v>2255</v>
      </c>
      <c r="J104" s="8">
        <v>2255</v>
      </c>
      <c r="K104" s="8">
        <v>2255</v>
      </c>
      <c r="L104" s="8">
        <v>2255</v>
      </c>
      <c r="M104" s="8">
        <v>2256</v>
      </c>
      <c r="O104" t="str">
        <f t="shared" si="1"/>
        <v>20880000</v>
      </c>
    </row>
    <row r="105" spans="1:15" x14ac:dyDescent="0.55000000000000004">
      <c r="A105" t="s">
        <v>573</v>
      </c>
      <c r="B105" s="8" t="s">
        <v>114</v>
      </c>
      <c r="C105" s="8">
        <v>54130</v>
      </c>
      <c r="D105" s="8">
        <v>5413</v>
      </c>
      <c r="E105" s="8">
        <v>5413</v>
      </c>
      <c r="F105" s="8">
        <v>5413</v>
      </c>
      <c r="G105" s="8">
        <v>5413</v>
      </c>
      <c r="H105" s="8">
        <v>5413</v>
      </c>
      <c r="I105" s="8">
        <v>5413</v>
      </c>
      <c r="J105" s="8">
        <v>5413</v>
      </c>
      <c r="K105" s="8">
        <v>5413</v>
      </c>
      <c r="L105" s="8">
        <v>5413</v>
      </c>
      <c r="M105" s="8">
        <v>5413</v>
      </c>
      <c r="O105" t="str">
        <f t="shared" si="1"/>
        <v>20970000</v>
      </c>
    </row>
    <row r="106" spans="1:15" hidden="1" x14ac:dyDescent="0.55000000000000004">
      <c r="A106" t="s">
        <v>572</v>
      </c>
      <c r="B106" s="8" t="s">
        <v>115</v>
      </c>
      <c r="C106" s="8">
        <v>0</v>
      </c>
      <c r="D106" s="8">
        <v>0</v>
      </c>
      <c r="E106" s="8">
        <v>0</v>
      </c>
      <c r="F106" s="8">
        <v>0</v>
      </c>
      <c r="G106" s="8">
        <v>0</v>
      </c>
      <c r="H106" s="8">
        <v>0</v>
      </c>
      <c r="I106" s="8">
        <v>0</v>
      </c>
      <c r="J106" s="8">
        <v>0</v>
      </c>
      <c r="K106" s="8">
        <v>0</v>
      </c>
      <c r="L106" s="8">
        <v>0</v>
      </c>
      <c r="M106" s="8">
        <v>0</v>
      </c>
      <c r="O106" t="str">
        <f t="shared" si="1"/>
        <v>21130000</v>
      </c>
    </row>
    <row r="107" spans="1:15" hidden="1" x14ac:dyDescent="0.55000000000000004">
      <c r="A107" t="s">
        <v>571</v>
      </c>
      <c r="B107" s="8" t="s">
        <v>1219</v>
      </c>
      <c r="C107" s="8">
        <v>0</v>
      </c>
      <c r="D107" s="8">
        <v>0</v>
      </c>
      <c r="E107" s="8">
        <v>0</v>
      </c>
      <c r="F107" s="8">
        <v>0</v>
      </c>
      <c r="G107" s="8">
        <v>0</v>
      </c>
      <c r="H107" s="8">
        <v>0</v>
      </c>
      <c r="I107" s="8">
        <v>0</v>
      </c>
      <c r="J107" s="8">
        <v>0</v>
      </c>
      <c r="K107" s="8">
        <v>0</v>
      </c>
      <c r="L107" s="8">
        <v>0</v>
      </c>
      <c r="M107" s="8">
        <v>0</v>
      </c>
      <c r="O107" t="str">
        <f t="shared" si="1"/>
        <v>21240000</v>
      </c>
    </row>
    <row r="108" spans="1:15" x14ac:dyDescent="0.55000000000000004">
      <c r="A108" t="s">
        <v>570</v>
      </c>
      <c r="B108" s="8" t="s">
        <v>1220</v>
      </c>
      <c r="C108" s="8">
        <v>98156</v>
      </c>
      <c r="D108" s="8">
        <v>9816</v>
      </c>
      <c r="E108" s="8">
        <v>9816</v>
      </c>
      <c r="F108" s="8">
        <v>9816</v>
      </c>
      <c r="G108" s="8">
        <v>9816</v>
      </c>
      <c r="H108" s="8">
        <v>9816</v>
      </c>
      <c r="I108" s="8">
        <v>9816</v>
      </c>
      <c r="J108" s="8">
        <v>9816</v>
      </c>
      <c r="K108" s="8">
        <v>9816</v>
      </c>
      <c r="L108" s="8">
        <v>9816</v>
      </c>
      <c r="M108" s="8">
        <v>9812</v>
      </c>
      <c r="O108" t="str">
        <f t="shared" si="1"/>
        <v>21510000</v>
      </c>
    </row>
    <row r="109" spans="1:15" x14ac:dyDescent="0.55000000000000004">
      <c r="A109" t="s">
        <v>568</v>
      </c>
      <c r="B109" s="8" t="s">
        <v>117</v>
      </c>
      <c r="C109" s="8">
        <v>25098</v>
      </c>
      <c r="D109" s="8">
        <v>2510</v>
      </c>
      <c r="E109" s="8">
        <v>2510</v>
      </c>
      <c r="F109" s="8">
        <v>2510</v>
      </c>
      <c r="G109" s="8">
        <v>2510</v>
      </c>
      <c r="H109" s="8">
        <v>2510</v>
      </c>
      <c r="I109" s="8">
        <v>2510</v>
      </c>
      <c r="J109" s="8">
        <v>2510</v>
      </c>
      <c r="K109" s="8">
        <v>2510</v>
      </c>
      <c r="L109" s="8">
        <v>2510</v>
      </c>
      <c r="M109" s="8">
        <v>2508</v>
      </c>
      <c r="O109" t="str">
        <f t="shared" si="1"/>
        <v>21690000</v>
      </c>
    </row>
    <row r="110" spans="1:15" x14ac:dyDescent="0.55000000000000004">
      <c r="A110" t="s">
        <v>567</v>
      </c>
      <c r="B110" s="8" t="s">
        <v>118</v>
      </c>
      <c r="C110" s="8">
        <v>28530</v>
      </c>
      <c r="D110" s="8">
        <v>2853</v>
      </c>
      <c r="E110" s="8">
        <v>2853</v>
      </c>
      <c r="F110" s="8">
        <v>2853</v>
      </c>
      <c r="G110" s="8">
        <v>2853</v>
      </c>
      <c r="H110" s="8">
        <v>2853</v>
      </c>
      <c r="I110" s="8">
        <v>2853</v>
      </c>
      <c r="J110" s="8">
        <v>2853</v>
      </c>
      <c r="K110" s="8">
        <v>2853</v>
      </c>
      <c r="L110" s="8">
        <v>2853</v>
      </c>
      <c r="M110" s="8">
        <v>2853</v>
      </c>
      <c r="O110" t="str">
        <f t="shared" si="1"/>
        <v>22950000</v>
      </c>
    </row>
    <row r="111" spans="1:15" hidden="1" x14ac:dyDescent="0.55000000000000004">
      <c r="A111" t="s">
        <v>566</v>
      </c>
      <c r="B111" s="8" t="s">
        <v>119</v>
      </c>
      <c r="C111" s="8">
        <v>0</v>
      </c>
      <c r="D111" s="8">
        <v>0</v>
      </c>
      <c r="E111" s="8">
        <v>0</v>
      </c>
      <c r="F111" s="8">
        <v>0</v>
      </c>
      <c r="G111" s="8">
        <v>0</v>
      </c>
      <c r="H111" s="8">
        <v>0</v>
      </c>
      <c r="I111" s="8">
        <v>0</v>
      </c>
      <c r="J111" s="8">
        <v>0</v>
      </c>
      <c r="K111" s="8">
        <v>0</v>
      </c>
      <c r="L111" s="8">
        <v>0</v>
      </c>
      <c r="M111" s="8">
        <v>0</v>
      </c>
      <c r="O111" t="str">
        <f t="shared" si="1"/>
        <v>23130000</v>
      </c>
    </row>
    <row r="112" spans="1:15" hidden="1" x14ac:dyDescent="0.55000000000000004">
      <c r="A112" t="s">
        <v>565</v>
      </c>
      <c r="B112" s="8" t="s">
        <v>120</v>
      </c>
      <c r="C112" s="8">
        <v>0</v>
      </c>
      <c r="D112" s="8">
        <v>0</v>
      </c>
      <c r="E112" s="8">
        <v>0</v>
      </c>
      <c r="F112" s="8">
        <v>0</v>
      </c>
      <c r="G112" s="8">
        <v>0</v>
      </c>
      <c r="H112" s="8">
        <v>0</v>
      </c>
      <c r="I112" s="8">
        <v>0</v>
      </c>
      <c r="J112" s="8">
        <v>0</v>
      </c>
      <c r="K112" s="8">
        <v>0</v>
      </c>
      <c r="L112" s="8">
        <v>0</v>
      </c>
      <c r="M112" s="8">
        <v>0</v>
      </c>
      <c r="O112" t="str">
        <f t="shared" si="1"/>
        <v>23220000</v>
      </c>
    </row>
    <row r="113" spans="1:15" x14ac:dyDescent="0.55000000000000004">
      <c r="A113" t="s">
        <v>564</v>
      </c>
      <c r="B113" s="8" t="s">
        <v>121</v>
      </c>
      <c r="C113" s="8">
        <v>20245</v>
      </c>
      <c r="D113" s="8">
        <v>2025</v>
      </c>
      <c r="E113" s="8">
        <v>2025</v>
      </c>
      <c r="F113" s="8">
        <v>2025</v>
      </c>
      <c r="G113" s="8">
        <v>2025</v>
      </c>
      <c r="H113" s="8">
        <v>2025</v>
      </c>
      <c r="I113" s="8">
        <v>2025</v>
      </c>
      <c r="J113" s="8">
        <v>2025</v>
      </c>
      <c r="K113" s="8">
        <v>2025</v>
      </c>
      <c r="L113" s="8">
        <v>2025</v>
      </c>
      <c r="M113" s="8">
        <v>2020</v>
      </c>
      <c r="O113" t="str">
        <f t="shared" si="1"/>
        <v>23690000</v>
      </c>
    </row>
    <row r="114" spans="1:15" x14ac:dyDescent="0.55000000000000004">
      <c r="A114" t="s">
        <v>563</v>
      </c>
      <c r="B114" s="8" t="s">
        <v>122</v>
      </c>
      <c r="C114" s="8">
        <v>115396</v>
      </c>
      <c r="D114" s="8">
        <v>11540</v>
      </c>
      <c r="E114" s="8">
        <v>11540</v>
      </c>
      <c r="F114" s="8">
        <v>11540</v>
      </c>
      <c r="G114" s="8">
        <v>11540</v>
      </c>
      <c r="H114" s="8">
        <v>11540</v>
      </c>
      <c r="I114" s="8">
        <v>11540</v>
      </c>
      <c r="J114" s="8">
        <v>11540</v>
      </c>
      <c r="K114" s="8">
        <v>11540</v>
      </c>
      <c r="L114" s="8">
        <v>11540</v>
      </c>
      <c r="M114" s="8">
        <v>11536</v>
      </c>
      <c r="O114" t="str">
        <f t="shared" si="1"/>
        <v>23760000</v>
      </c>
    </row>
    <row r="115" spans="1:15" x14ac:dyDescent="0.55000000000000004">
      <c r="A115" t="s">
        <v>562</v>
      </c>
      <c r="B115" s="8" t="s">
        <v>561</v>
      </c>
      <c r="C115" s="8">
        <v>109802</v>
      </c>
      <c r="D115" s="8">
        <v>10980</v>
      </c>
      <c r="E115" s="8">
        <v>10980</v>
      </c>
      <c r="F115" s="8">
        <v>10980</v>
      </c>
      <c r="G115" s="8">
        <v>10980</v>
      </c>
      <c r="H115" s="8">
        <v>10980</v>
      </c>
      <c r="I115" s="8">
        <v>10980</v>
      </c>
      <c r="J115" s="8">
        <v>10980</v>
      </c>
      <c r="K115" s="8">
        <v>10980</v>
      </c>
      <c r="L115" s="8">
        <v>10980</v>
      </c>
      <c r="M115" s="8">
        <v>10982</v>
      </c>
      <c r="O115" t="str">
        <f t="shared" si="1"/>
        <v>24030000</v>
      </c>
    </row>
    <row r="116" spans="1:15" x14ac:dyDescent="0.55000000000000004">
      <c r="A116" t="s">
        <v>560</v>
      </c>
      <c r="B116" s="8" t="s">
        <v>123</v>
      </c>
      <c r="C116" s="8">
        <v>102073</v>
      </c>
      <c r="D116" s="8">
        <v>10207</v>
      </c>
      <c r="E116" s="8">
        <v>10207</v>
      </c>
      <c r="F116" s="8">
        <v>10207</v>
      </c>
      <c r="G116" s="8">
        <v>10207</v>
      </c>
      <c r="H116" s="8">
        <v>10207</v>
      </c>
      <c r="I116" s="8">
        <v>10207</v>
      </c>
      <c r="J116" s="8">
        <v>10207</v>
      </c>
      <c r="K116" s="8">
        <v>10207</v>
      </c>
      <c r="L116" s="8">
        <v>10207</v>
      </c>
      <c r="M116" s="8">
        <v>10210</v>
      </c>
      <c r="O116" t="str">
        <f t="shared" si="1"/>
        <v>24570000</v>
      </c>
    </row>
    <row r="117" spans="1:15" hidden="1" x14ac:dyDescent="0.55000000000000004">
      <c r="A117" t="s">
        <v>559</v>
      </c>
      <c r="B117" s="8" t="s">
        <v>124</v>
      </c>
      <c r="C117" s="8">
        <v>0</v>
      </c>
      <c r="D117" s="8">
        <v>0</v>
      </c>
      <c r="E117" s="8">
        <v>0</v>
      </c>
      <c r="F117" s="8">
        <v>0</v>
      </c>
      <c r="G117" s="8">
        <v>0</v>
      </c>
      <c r="H117" s="8">
        <v>0</v>
      </c>
      <c r="I117" s="8">
        <v>0</v>
      </c>
      <c r="J117" s="8">
        <v>0</v>
      </c>
      <c r="K117" s="8">
        <v>0</v>
      </c>
      <c r="L117" s="8">
        <v>0</v>
      </c>
      <c r="M117" s="8">
        <v>0</v>
      </c>
      <c r="O117" t="str">
        <f t="shared" si="1"/>
        <v>24660000</v>
      </c>
    </row>
    <row r="118" spans="1:15" x14ac:dyDescent="0.55000000000000004">
      <c r="A118" t="s">
        <v>558</v>
      </c>
      <c r="B118" s="8" t="s">
        <v>125</v>
      </c>
      <c r="C118" s="8">
        <v>21359</v>
      </c>
      <c r="D118" s="8">
        <v>2136</v>
      </c>
      <c r="E118" s="8">
        <v>2136</v>
      </c>
      <c r="F118" s="8">
        <v>2136</v>
      </c>
      <c r="G118" s="8">
        <v>2136</v>
      </c>
      <c r="H118" s="8">
        <v>2136</v>
      </c>
      <c r="I118" s="8">
        <v>2136</v>
      </c>
      <c r="J118" s="8">
        <v>2136</v>
      </c>
      <c r="K118" s="8">
        <v>2136</v>
      </c>
      <c r="L118" s="8">
        <v>2136</v>
      </c>
      <c r="M118" s="8">
        <v>2135</v>
      </c>
      <c r="O118" t="str">
        <f t="shared" si="1"/>
        <v>24930000</v>
      </c>
    </row>
    <row r="119" spans="1:15" x14ac:dyDescent="0.55000000000000004">
      <c r="A119" t="s">
        <v>557</v>
      </c>
      <c r="B119" s="8" t="s">
        <v>126</v>
      </c>
      <c r="C119" s="8">
        <v>36184</v>
      </c>
      <c r="D119" s="8">
        <v>3618</v>
      </c>
      <c r="E119" s="8">
        <v>3618</v>
      </c>
      <c r="F119" s="8">
        <v>3618</v>
      </c>
      <c r="G119" s="8">
        <v>3618</v>
      </c>
      <c r="H119" s="8">
        <v>3618</v>
      </c>
      <c r="I119" s="8">
        <v>3618</v>
      </c>
      <c r="J119" s="8">
        <v>3618</v>
      </c>
      <c r="K119" s="8">
        <v>3618</v>
      </c>
      <c r="L119" s="8">
        <v>3618</v>
      </c>
      <c r="M119" s="8">
        <v>3622</v>
      </c>
      <c r="O119" t="str">
        <f t="shared" si="1"/>
        <v>25020000</v>
      </c>
    </row>
    <row r="120" spans="1:15" hidden="1" x14ac:dyDescent="0.55000000000000004">
      <c r="A120" t="s">
        <v>556</v>
      </c>
      <c r="B120" s="8" t="s">
        <v>127</v>
      </c>
      <c r="C120" s="8">
        <v>0</v>
      </c>
      <c r="D120" s="8">
        <v>0</v>
      </c>
      <c r="E120" s="8">
        <v>0</v>
      </c>
      <c r="F120" s="8">
        <v>0</v>
      </c>
      <c r="G120" s="8">
        <v>0</v>
      </c>
      <c r="H120" s="8">
        <v>0</v>
      </c>
      <c r="I120" s="8">
        <v>0</v>
      </c>
      <c r="J120" s="8">
        <v>0</v>
      </c>
      <c r="K120" s="8">
        <v>0</v>
      </c>
      <c r="L120" s="8">
        <v>0</v>
      </c>
      <c r="M120" s="8">
        <v>0</v>
      </c>
      <c r="O120" t="str">
        <f t="shared" si="1"/>
        <v>25110000</v>
      </c>
    </row>
    <row r="121" spans="1:15" hidden="1" x14ac:dyDescent="0.55000000000000004">
      <c r="A121" t="s">
        <v>555</v>
      </c>
      <c r="B121" s="8" t="s">
        <v>128</v>
      </c>
      <c r="C121" s="8">
        <v>0</v>
      </c>
      <c r="D121" s="8">
        <v>0</v>
      </c>
      <c r="E121" s="8">
        <v>0</v>
      </c>
      <c r="F121" s="8">
        <v>0</v>
      </c>
      <c r="G121" s="8">
        <v>0</v>
      </c>
      <c r="H121" s="8">
        <v>0</v>
      </c>
      <c r="I121" s="8">
        <v>0</v>
      </c>
      <c r="J121" s="8">
        <v>0</v>
      </c>
      <c r="K121" s="8">
        <v>0</v>
      </c>
      <c r="L121" s="8">
        <v>0</v>
      </c>
      <c r="M121" s="8">
        <v>0</v>
      </c>
      <c r="O121" t="str">
        <f t="shared" si="1"/>
        <v>25200000</v>
      </c>
    </row>
    <row r="122" spans="1:15" x14ac:dyDescent="0.55000000000000004">
      <c r="A122" t="s">
        <v>552</v>
      </c>
      <c r="B122" s="8" t="s">
        <v>131</v>
      </c>
      <c r="C122" s="8">
        <v>110429</v>
      </c>
      <c r="D122" s="8">
        <v>11043</v>
      </c>
      <c r="E122" s="8">
        <v>11043</v>
      </c>
      <c r="F122" s="8">
        <v>11043</v>
      </c>
      <c r="G122" s="8">
        <v>11043</v>
      </c>
      <c r="H122" s="8">
        <v>11043</v>
      </c>
      <c r="I122" s="8">
        <v>11043</v>
      </c>
      <c r="J122" s="8">
        <v>11043</v>
      </c>
      <c r="K122" s="8">
        <v>11043</v>
      </c>
      <c r="L122" s="8">
        <v>11043</v>
      </c>
      <c r="M122" s="8">
        <v>11042</v>
      </c>
      <c r="O122" t="str">
        <f t="shared" si="1"/>
        <v>26820000</v>
      </c>
    </row>
    <row r="123" spans="1:15" x14ac:dyDescent="0.55000000000000004">
      <c r="A123" t="s">
        <v>554</v>
      </c>
      <c r="B123" s="8" t="s">
        <v>129</v>
      </c>
      <c r="C123" s="8">
        <v>51103</v>
      </c>
      <c r="D123" s="8">
        <v>5110</v>
      </c>
      <c r="E123" s="8">
        <v>5110</v>
      </c>
      <c r="F123" s="8">
        <v>5110</v>
      </c>
      <c r="G123" s="8">
        <v>5110</v>
      </c>
      <c r="H123" s="8">
        <v>5110</v>
      </c>
      <c r="I123" s="8">
        <v>5110</v>
      </c>
      <c r="J123" s="8">
        <v>5110</v>
      </c>
      <c r="K123" s="8">
        <v>5110</v>
      </c>
      <c r="L123" s="8">
        <v>5110</v>
      </c>
      <c r="M123" s="8">
        <v>5113</v>
      </c>
      <c r="O123" t="str">
        <f t="shared" si="1"/>
        <v>25560000</v>
      </c>
    </row>
    <row r="124" spans="1:15" x14ac:dyDescent="0.55000000000000004">
      <c r="A124" t="s">
        <v>525</v>
      </c>
      <c r="B124" s="8" t="s">
        <v>342</v>
      </c>
      <c r="C124" s="8">
        <v>249423</v>
      </c>
      <c r="D124" s="8">
        <v>24942</v>
      </c>
      <c r="E124" s="8">
        <v>24942</v>
      </c>
      <c r="F124" s="8">
        <v>24942</v>
      </c>
      <c r="G124" s="8">
        <v>24942</v>
      </c>
      <c r="H124" s="8">
        <v>24942</v>
      </c>
      <c r="I124" s="8">
        <v>24942</v>
      </c>
      <c r="J124" s="8">
        <v>24942</v>
      </c>
      <c r="K124" s="8">
        <v>24942</v>
      </c>
      <c r="L124" s="8">
        <v>24942</v>
      </c>
      <c r="M124" s="8">
        <v>24945</v>
      </c>
      <c r="O124" t="str">
        <f t="shared" si="1"/>
        <v>31950000</v>
      </c>
    </row>
    <row r="125" spans="1:15" hidden="1" x14ac:dyDescent="0.55000000000000004">
      <c r="A125" t="s">
        <v>551</v>
      </c>
      <c r="B125" s="8" t="s">
        <v>132</v>
      </c>
      <c r="C125" s="8">
        <v>0</v>
      </c>
      <c r="D125" s="8">
        <v>0</v>
      </c>
      <c r="E125" s="8">
        <v>0</v>
      </c>
      <c r="F125" s="8">
        <v>0</v>
      </c>
      <c r="G125" s="8">
        <v>0</v>
      </c>
      <c r="H125" s="8">
        <v>0</v>
      </c>
      <c r="I125" s="8">
        <v>0</v>
      </c>
      <c r="J125" s="8">
        <v>0</v>
      </c>
      <c r="K125" s="8">
        <v>0</v>
      </c>
      <c r="L125" s="8">
        <v>0</v>
      </c>
      <c r="M125" s="8">
        <v>0</v>
      </c>
      <c r="O125" t="str">
        <f t="shared" si="1"/>
        <v>27090000</v>
      </c>
    </row>
    <row r="126" spans="1:15" x14ac:dyDescent="0.55000000000000004">
      <c r="A126" t="s">
        <v>550</v>
      </c>
      <c r="B126" s="8" t="s">
        <v>133</v>
      </c>
      <c r="C126" s="8">
        <v>239036</v>
      </c>
      <c r="D126" s="8">
        <v>23904</v>
      </c>
      <c r="E126" s="8">
        <v>23904</v>
      </c>
      <c r="F126" s="8">
        <v>23904</v>
      </c>
      <c r="G126" s="8">
        <v>23904</v>
      </c>
      <c r="H126" s="8">
        <v>23904</v>
      </c>
      <c r="I126" s="8">
        <v>23904</v>
      </c>
      <c r="J126" s="8">
        <v>23904</v>
      </c>
      <c r="K126" s="8">
        <v>23904</v>
      </c>
      <c r="L126" s="8">
        <v>23904</v>
      </c>
      <c r="M126" s="8">
        <v>23900</v>
      </c>
      <c r="O126" t="str">
        <f t="shared" si="1"/>
        <v>27180000</v>
      </c>
    </row>
    <row r="127" spans="1:15" hidden="1" x14ac:dyDescent="0.55000000000000004">
      <c r="A127" t="s">
        <v>549</v>
      </c>
      <c r="B127" s="8" t="s">
        <v>134</v>
      </c>
      <c r="C127" s="8">
        <v>0</v>
      </c>
      <c r="D127" s="8">
        <v>0</v>
      </c>
      <c r="E127" s="8">
        <v>0</v>
      </c>
      <c r="F127" s="8">
        <v>0</v>
      </c>
      <c r="G127" s="8">
        <v>0</v>
      </c>
      <c r="H127" s="8">
        <v>0</v>
      </c>
      <c r="I127" s="8">
        <v>0</v>
      </c>
      <c r="J127" s="8">
        <v>0</v>
      </c>
      <c r="K127" s="8">
        <v>0</v>
      </c>
      <c r="L127" s="8">
        <v>0</v>
      </c>
      <c r="M127" s="8">
        <v>0</v>
      </c>
      <c r="O127" t="str">
        <f t="shared" si="1"/>
        <v>27270000</v>
      </c>
    </row>
    <row r="128" spans="1:15" x14ac:dyDescent="0.55000000000000004">
      <c r="A128" t="s">
        <v>548</v>
      </c>
      <c r="B128" s="8" t="s">
        <v>135</v>
      </c>
      <c r="C128" s="8">
        <v>82071</v>
      </c>
      <c r="D128" s="8">
        <v>8207</v>
      </c>
      <c r="E128" s="8">
        <v>8207</v>
      </c>
      <c r="F128" s="8">
        <v>8207</v>
      </c>
      <c r="G128" s="8">
        <v>8207</v>
      </c>
      <c r="H128" s="8">
        <v>8207</v>
      </c>
      <c r="I128" s="8">
        <v>8207</v>
      </c>
      <c r="J128" s="8">
        <v>8207</v>
      </c>
      <c r="K128" s="8">
        <v>8207</v>
      </c>
      <c r="L128" s="8">
        <v>8207</v>
      </c>
      <c r="M128" s="8">
        <v>8208</v>
      </c>
      <c r="O128" t="str">
        <f t="shared" si="1"/>
        <v>27540000</v>
      </c>
    </row>
    <row r="129" spans="1:15" hidden="1" x14ac:dyDescent="0.55000000000000004">
      <c r="A129" t="s">
        <v>545</v>
      </c>
      <c r="B129" s="8" t="s">
        <v>138</v>
      </c>
      <c r="C129" s="8">
        <v>0</v>
      </c>
      <c r="D129" s="8">
        <v>0</v>
      </c>
      <c r="E129" s="8">
        <v>0</v>
      </c>
      <c r="F129" s="8">
        <v>0</v>
      </c>
      <c r="G129" s="8">
        <v>0</v>
      </c>
      <c r="H129" s="8">
        <v>0</v>
      </c>
      <c r="I129" s="8">
        <v>0</v>
      </c>
      <c r="J129" s="8">
        <v>0</v>
      </c>
      <c r="K129" s="8">
        <v>0</v>
      </c>
      <c r="L129" s="8">
        <v>0</v>
      </c>
      <c r="M129" s="8">
        <v>0</v>
      </c>
      <c r="O129" t="str">
        <f t="shared" si="1"/>
        <v>27720000</v>
      </c>
    </row>
    <row r="130" spans="1:15" hidden="1" x14ac:dyDescent="0.55000000000000004">
      <c r="A130" t="s">
        <v>544</v>
      </c>
      <c r="B130" s="8" t="s">
        <v>139</v>
      </c>
      <c r="C130" s="8">
        <v>0</v>
      </c>
      <c r="D130" s="8">
        <v>0</v>
      </c>
      <c r="E130" s="8">
        <v>0</v>
      </c>
      <c r="F130" s="8">
        <v>0</v>
      </c>
      <c r="G130" s="8">
        <v>0</v>
      </c>
      <c r="H130" s="8">
        <v>0</v>
      </c>
      <c r="I130" s="8">
        <v>0</v>
      </c>
      <c r="J130" s="8">
        <v>0</v>
      </c>
      <c r="K130" s="8">
        <v>0</v>
      </c>
      <c r="L130" s="8">
        <v>0</v>
      </c>
      <c r="M130" s="8">
        <v>0</v>
      </c>
      <c r="O130" t="str">
        <f t="shared" si="1"/>
        <v>27810000</v>
      </c>
    </row>
    <row r="131" spans="1:15" hidden="1" x14ac:dyDescent="0.55000000000000004">
      <c r="A131" t="s">
        <v>543</v>
      </c>
      <c r="B131" s="8" t="s">
        <v>140</v>
      </c>
      <c r="C131" s="8">
        <v>0</v>
      </c>
      <c r="D131" s="8">
        <v>0</v>
      </c>
      <c r="E131" s="8">
        <v>0</v>
      </c>
      <c r="F131" s="8">
        <v>0</v>
      </c>
      <c r="G131" s="8">
        <v>0</v>
      </c>
      <c r="H131" s="8">
        <v>0</v>
      </c>
      <c r="I131" s="8">
        <v>0</v>
      </c>
      <c r="J131" s="8">
        <v>0</v>
      </c>
      <c r="K131" s="8">
        <v>0</v>
      </c>
      <c r="L131" s="8">
        <v>0</v>
      </c>
      <c r="M131" s="8">
        <v>0</v>
      </c>
      <c r="O131" t="str">
        <f t="shared" ref="O131:O194" si="2">CONCATENATE(A131,"0000")</f>
        <v>28260000</v>
      </c>
    </row>
    <row r="132" spans="1:15" x14ac:dyDescent="0.55000000000000004">
      <c r="A132" t="s">
        <v>541</v>
      </c>
      <c r="B132" s="8" t="s">
        <v>142</v>
      </c>
      <c r="C132" s="8">
        <v>42527</v>
      </c>
      <c r="D132" s="8">
        <v>4253</v>
      </c>
      <c r="E132" s="8">
        <v>4253</v>
      </c>
      <c r="F132" s="8">
        <v>4253</v>
      </c>
      <c r="G132" s="8">
        <v>4253</v>
      </c>
      <c r="H132" s="8">
        <v>4253</v>
      </c>
      <c r="I132" s="8">
        <v>4253</v>
      </c>
      <c r="J132" s="8">
        <v>4253</v>
      </c>
      <c r="K132" s="8">
        <v>4253</v>
      </c>
      <c r="L132" s="8">
        <v>4253</v>
      </c>
      <c r="M132" s="8">
        <v>4250</v>
      </c>
      <c r="O132" t="str">
        <f t="shared" si="2"/>
        <v>28460000</v>
      </c>
    </row>
    <row r="133" spans="1:15" hidden="1" x14ac:dyDescent="0.55000000000000004">
      <c r="A133" t="s">
        <v>540</v>
      </c>
      <c r="B133" s="8" t="s">
        <v>143</v>
      </c>
      <c r="C133" s="8">
        <v>0</v>
      </c>
      <c r="D133" s="8">
        <v>0</v>
      </c>
      <c r="E133" s="8">
        <v>0</v>
      </c>
      <c r="F133" s="8">
        <v>0</v>
      </c>
      <c r="G133" s="8">
        <v>0</v>
      </c>
      <c r="H133" s="8">
        <v>0</v>
      </c>
      <c r="I133" s="8">
        <v>0</v>
      </c>
      <c r="J133" s="8">
        <v>0</v>
      </c>
      <c r="K133" s="8">
        <v>0</v>
      </c>
      <c r="L133" s="8">
        <v>0</v>
      </c>
      <c r="M133" s="8">
        <v>0</v>
      </c>
      <c r="O133" t="str">
        <f t="shared" si="2"/>
        <v>28620000</v>
      </c>
    </row>
    <row r="134" spans="1:15" x14ac:dyDescent="0.55000000000000004">
      <c r="A134" t="s">
        <v>539</v>
      </c>
      <c r="B134" s="8" t="s">
        <v>144</v>
      </c>
      <c r="C134" s="8">
        <v>55034</v>
      </c>
      <c r="D134" s="8">
        <v>5503</v>
      </c>
      <c r="E134" s="8">
        <v>5503</v>
      </c>
      <c r="F134" s="8">
        <v>5503</v>
      </c>
      <c r="G134" s="8">
        <v>5503</v>
      </c>
      <c r="H134" s="8">
        <v>5503</v>
      </c>
      <c r="I134" s="8">
        <v>5503</v>
      </c>
      <c r="J134" s="8">
        <v>5503</v>
      </c>
      <c r="K134" s="8">
        <v>5503</v>
      </c>
      <c r="L134" s="8">
        <v>5503</v>
      </c>
      <c r="M134" s="8">
        <v>5507</v>
      </c>
      <c r="O134" t="str">
        <f t="shared" si="2"/>
        <v>29770000</v>
      </c>
    </row>
    <row r="135" spans="1:15" x14ac:dyDescent="0.55000000000000004">
      <c r="A135" t="s">
        <v>538</v>
      </c>
      <c r="B135" s="8" t="s">
        <v>145</v>
      </c>
      <c r="C135" s="8">
        <v>166354</v>
      </c>
      <c r="D135" s="8">
        <v>16635</v>
      </c>
      <c r="E135" s="8">
        <v>16635</v>
      </c>
      <c r="F135" s="8">
        <v>16635</v>
      </c>
      <c r="G135" s="8">
        <v>16635</v>
      </c>
      <c r="H135" s="8">
        <v>16635</v>
      </c>
      <c r="I135" s="8">
        <v>16635</v>
      </c>
      <c r="J135" s="8">
        <v>16635</v>
      </c>
      <c r="K135" s="8">
        <v>16635</v>
      </c>
      <c r="L135" s="8">
        <v>16635</v>
      </c>
      <c r="M135" s="8">
        <v>16639</v>
      </c>
      <c r="O135" t="str">
        <f t="shared" si="2"/>
        <v>29880000</v>
      </c>
    </row>
    <row r="136" spans="1:15" hidden="1" x14ac:dyDescent="0.55000000000000004">
      <c r="A136" t="s">
        <v>546</v>
      </c>
      <c r="B136" s="8" t="s">
        <v>825</v>
      </c>
      <c r="C136" s="8">
        <v>0</v>
      </c>
      <c r="D136" s="8">
        <v>0</v>
      </c>
      <c r="E136" s="8">
        <v>0</v>
      </c>
      <c r="F136" s="8">
        <v>0</v>
      </c>
      <c r="G136" s="8">
        <v>0</v>
      </c>
      <c r="H136" s="8">
        <v>0</v>
      </c>
      <c r="I136" s="8">
        <v>0</v>
      </c>
      <c r="J136" s="8">
        <v>0</v>
      </c>
      <c r="K136" s="8">
        <v>0</v>
      </c>
      <c r="L136" s="8">
        <v>0</v>
      </c>
      <c r="M136" s="8">
        <v>0</v>
      </c>
      <c r="O136" t="str">
        <f t="shared" si="2"/>
        <v>27660000</v>
      </c>
    </row>
    <row r="137" spans="1:15" x14ac:dyDescent="0.55000000000000004">
      <c r="A137" t="s">
        <v>537</v>
      </c>
      <c r="B137" s="8" t="s">
        <v>146</v>
      </c>
      <c r="C137" s="8">
        <v>275145</v>
      </c>
      <c r="D137" s="8">
        <v>27515</v>
      </c>
      <c r="E137" s="8">
        <v>27515</v>
      </c>
      <c r="F137" s="8">
        <v>27515</v>
      </c>
      <c r="G137" s="8">
        <v>27515</v>
      </c>
      <c r="H137" s="8">
        <v>27515</v>
      </c>
      <c r="I137" s="8">
        <v>27515</v>
      </c>
      <c r="J137" s="8">
        <v>27515</v>
      </c>
      <c r="K137" s="8">
        <v>27515</v>
      </c>
      <c r="L137" s="8">
        <v>27515</v>
      </c>
      <c r="M137" s="8">
        <v>27510</v>
      </c>
      <c r="O137" t="str">
        <f t="shared" si="2"/>
        <v>30290000</v>
      </c>
    </row>
    <row r="138" spans="1:15" x14ac:dyDescent="0.55000000000000004">
      <c r="A138" t="s">
        <v>536</v>
      </c>
      <c r="B138" s="8" t="s">
        <v>147</v>
      </c>
      <c r="C138" s="8">
        <v>59814</v>
      </c>
      <c r="D138" s="8">
        <v>5981</v>
      </c>
      <c r="E138" s="8">
        <v>5981</v>
      </c>
      <c r="F138" s="8">
        <v>5981</v>
      </c>
      <c r="G138" s="8">
        <v>5981</v>
      </c>
      <c r="H138" s="8">
        <v>5981</v>
      </c>
      <c r="I138" s="8">
        <v>5981</v>
      </c>
      <c r="J138" s="8">
        <v>5981</v>
      </c>
      <c r="K138" s="8">
        <v>5981</v>
      </c>
      <c r="L138" s="8">
        <v>5981</v>
      </c>
      <c r="M138" s="8">
        <v>5985</v>
      </c>
      <c r="O138" t="str">
        <f t="shared" si="2"/>
        <v>30330000</v>
      </c>
    </row>
    <row r="139" spans="1:15" hidden="1" x14ac:dyDescent="0.55000000000000004">
      <c r="A139" t="s">
        <v>535</v>
      </c>
      <c r="B139" s="8" t="s">
        <v>148</v>
      </c>
      <c r="C139" s="8">
        <v>0</v>
      </c>
      <c r="D139" s="8">
        <v>0</v>
      </c>
      <c r="E139" s="8">
        <v>0</v>
      </c>
      <c r="F139" s="8">
        <v>0</v>
      </c>
      <c r="G139" s="8">
        <v>0</v>
      </c>
      <c r="H139" s="8">
        <v>0</v>
      </c>
      <c r="I139" s="8">
        <v>0</v>
      </c>
      <c r="J139" s="8">
        <v>0</v>
      </c>
      <c r="K139" s="8">
        <v>0</v>
      </c>
      <c r="L139" s="8">
        <v>0</v>
      </c>
      <c r="M139" s="8">
        <v>0</v>
      </c>
      <c r="O139" t="str">
        <f t="shared" si="2"/>
        <v>30420000</v>
      </c>
    </row>
    <row r="140" spans="1:15" hidden="1" x14ac:dyDescent="0.55000000000000004">
      <c r="A140" t="s">
        <v>534</v>
      </c>
      <c r="B140" t="s">
        <v>149</v>
      </c>
      <c r="C140" s="8">
        <v>0</v>
      </c>
      <c r="D140" s="8">
        <v>0</v>
      </c>
      <c r="E140" s="8">
        <v>0</v>
      </c>
      <c r="F140" s="8">
        <v>0</v>
      </c>
      <c r="G140" s="8">
        <v>0</v>
      </c>
      <c r="H140" s="8">
        <v>0</v>
      </c>
      <c r="I140" s="8">
        <v>0</v>
      </c>
      <c r="J140" s="8">
        <v>0</v>
      </c>
      <c r="K140" s="8">
        <v>0</v>
      </c>
      <c r="L140" s="8">
        <v>0</v>
      </c>
      <c r="M140" s="8">
        <v>0</v>
      </c>
      <c r="O140" t="str">
        <f t="shared" si="2"/>
        <v>30600000</v>
      </c>
    </row>
    <row r="141" spans="1:15" x14ac:dyDescent="0.55000000000000004">
      <c r="A141" t="s">
        <v>527</v>
      </c>
      <c r="B141" t="s">
        <v>330</v>
      </c>
      <c r="C141" s="8">
        <v>174747</v>
      </c>
      <c r="D141" s="8">
        <v>17475</v>
      </c>
      <c r="E141" s="8">
        <v>17475</v>
      </c>
      <c r="F141" s="8">
        <v>17475</v>
      </c>
      <c r="G141" s="8">
        <v>17475</v>
      </c>
      <c r="H141" s="8">
        <v>17475</v>
      </c>
      <c r="I141" s="8">
        <v>17475</v>
      </c>
      <c r="J141" s="8">
        <v>17475</v>
      </c>
      <c r="K141" s="8">
        <v>17475</v>
      </c>
      <c r="L141" s="8">
        <v>17475</v>
      </c>
      <c r="M141" s="8">
        <v>17472</v>
      </c>
      <c r="O141" t="str">
        <f t="shared" si="2"/>
        <v>31680000</v>
      </c>
    </row>
    <row r="142" spans="1:15" hidden="1" x14ac:dyDescent="0.55000000000000004">
      <c r="A142" t="s">
        <v>533</v>
      </c>
      <c r="B142" t="s">
        <v>150</v>
      </c>
      <c r="C142" s="8">
        <v>0</v>
      </c>
      <c r="D142" s="8">
        <v>0</v>
      </c>
      <c r="E142" s="8">
        <v>0</v>
      </c>
      <c r="F142" s="8">
        <v>0</v>
      </c>
      <c r="G142" s="8">
        <v>0</v>
      </c>
      <c r="H142" s="8">
        <v>0</v>
      </c>
      <c r="I142" s="8">
        <v>0</v>
      </c>
      <c r="J142" s="8">
        <v>0</v>
      </c>
      <c r="K142" s="8">
        <v>0</v>
      </c>
      <c r="L142" s="8">
        <v>0</v>
      </c>
      <c r="M142" s="8">
        <v>0</v>
      </c>
      <c r="O142" t="str">
        <f t="shared" si="2"/>
        <v>31050000</v>
      </c>
    </row>
    <row r="143" spans="1:15" hidden="1" x14ac:dyDescent="0.55000000000000004">
      <c r="A143" t="s">
        <v>532</v>
      </c>
      <c r="B143" t="s">
        <v>151</v>
      </c>
      <c r="C143" s="8">
        <v>0</v>
      </c>
      <c r="D143" s="8">
        <v>0</v>
      </c>
      <c r="E143" s="8">
        <v>0</v>
      </c>
      <c r="F143" s="8">
        <v>0</v>
      </c>
      <c r="G143" s="8">
        <v>0</v>
      </c>
      <c r="H143" s="8">
        <v>0</v>
      </c>
      <c r="I143" s="8">
        <v>0</v>
      </c>
      <c r="J143" s="8">
        <v>0</v>
      </c>
      <c r="K143" s="8">
        <v>0</v>
      </c>
      <c r="L143" s="8">
        <v>0</v>
      </c>
      <c r="M143" s="8">
        <v>0</v>
      </c>
      <c r="O143" t="str">
        <f t="shared" si="2"/>
        <v>31140000</v>
      </c>
    </row>
    <row r="144" spans="1:15" x14ac:dyDescent="0.55000000000000004">
      <c r="A144" t="s">
        <v>531</v>
      </c>
      <c r="B144" t="s">
        <v>152</v>
      </c>
      <c r="C144" s="8">
        <v>255482</v>
      </c>
      <c r="D144" s="8">
        <v>25548</v>
      </c>
      <c r="E144" s="8">
        <v>25548</v>
      </c>
      <c r="F144" s="8">
        <v>25548</v>
      </c>
      <c r="G144" s="8">
        <v>25548</v>
      </c>
      <c r="H144" s="8">
        <v>25548</v>
      </c>
      <c r="I144" s="8">
        <v>25548</v>
      </c>
      <c r="J144" s="8">
        <v>25548</v>
      </c>
      <c r="K144" s="8">
        <v>25548</v>
      </c>
      <c r="L144" s="8">
        <v>25548</v>
      </c>
      <c r="M144" s="8">
        <v>25550</v>
      </c>
      <c r="O144" t="str">
        <f t="shared" si="2"/>
        <v>31190000</v>
      </c>
    </row>
    <row r="145" spans="1:15" hidden="1" x14ac:dyDescent="0.55000000000000004">
      <c r="A145" t="s">
        <v>530</v>
      </c>
      <c r="B145" t="s">
        <v>153</v>
      </c>
      <c r="C145" s="8">
        <v>0</v>
      </c>
      <c r="D145" s="8">
        <v>0</v>
      </c>
      <c r="E145" s="8">
        <v>0</v>
      </c>
      <c r="F145" s="8">
        <v>0</v>
      </c>
      <c r="G145" s="8">
        <v>0</v>
      </c>
      <c r="H145" s="8">
        <v>0</v>
      </c>
      <c r="I145" s="8">
        <v>0</v>
      </c>
      <c r="J145" s="8">
        <v>0</v>
      </c>
      <c r="K145" s="8">
        <v>0</v>
      </c>
      <c r="L145" s="8">
        <v>0</v>
      </c>
      <c r="M145" s="8">
        <v>0</v>
      </c>
      <c r="O145" t="str">
        <f t="shared" si="2"/>
        <v>31410000</v>
      </c>
    </row>
    <row r="146" spans="1:15" hidden="1" x14ac:dyDescent="0.55000000000000004">
      <c r="A146" t="s">
        <v>529</v>
      </c>
      <c r="B146" t="s">
        <v>154</v>
      </c>
      <c r="C146" s="8">
        <v>0</v>
      </c>
      <c r="D146" s="8">
        <v>0</v>
      </c>
      <c r="E146" s="8">
        <v>0</v>
      </c>
      <c r="F146" s="8">
        <v>0</v>
      </c>
      <c r="G146" s="8">
        <v>0</v>
      </c>
      <c r="H146" s="8">
        <v>0</v>
      </c>
      <c r="I146" s="8">
        <v>0</v>
      </c>
      <c r="J146" s="8">
        <v>0</v>
      </c>
      <c r="K146" s="8">
        <v>0</v>
      </c>
      <c r="L146" s="8">
        <v>0</v>
      </c>
      <c r="M146" s="8">
        <v>0</v>
      </c>
      <c r="O146" t="str">
        <f t="shared" si="2"/>
        <v>31500000</v>
      </c>
    </row>
    <row r="147" spans="1:15" hidden="1" x14ac:dyDescent="0.55000000000000004">
      <c r="A147" t="s">
        <v>528</v>
      </c>
      <c r="B147" t="s">
        <v>155</v>
      </c>
      <c r="C147" s="8">
        <v>0</v>
      </c>
      <c r="D147" s="8">
        <v>0</v>
      </c>
      <c r="E147" s="8">
        <v>0</v>
      </c>
      <c r="F147" s="8">
        <v>0</v>
      </c>
      <c r="G147" s="8">
        <v>0</v>
      </c>
      <c r="H147" s="8">
        <v>0</v>
      </c>
      <c r="I147" s="8">
        <v>0</v>
      </c>
      <c r="J147" s="8">
        <v>0</v>
      </c>
      <c r="K147" s="8">
        <v>0</v>
      </c>
      <c r="L147" s="8">
        <v>0</v>
      </c>
      <c r="M147" s="8">
        <v>0</v>
      </c>
      <c r="O147" t="str">
        <f t="shared" si="2"/>
        <v>31540000</v>
      </c>
    </row>
    <row r="148" spans="1:15" hidden="1" x14ac:dyDescent="0.55000000000000004">
      <c r="A148" t="s">
        <v>526</v>
      </c>
      <c r="B148" t="s">
        <v>1221</v>
      </c>
      <c r="C148" s="8">
        <v>0</v>
      </c>
      <c r="D148" s="8">
        <v>0</v>
      </c>
      <c r="E148" s="8">
        <v>0</v>
      </c>
      <c r="F148" s="8">
        <v>0</v>
      </c>
      <c r="G148" s="8">
        <v>0</v>
      </c>
      <c r="H148" s="8">
        <v>0</v>
      </c>
      <c r="I148" s="8">
        <v>0</v>
      </c>
      <c r="J148" s="8">
        <v>0</v>
      </c>
      <c r="K148" s="8">
        <v>0</v>
      </c>
      <c r="L148" s="8">
        <v>0</v>
      </c>
      <c r="M148" s="8">
        <v>0</v>
      </c>
      <c r="O148" t="str">
        <f t="shared" si="2"/>
        <v>31860000</v>
      </c>
    </row>
    <row r="149" spans="1:15" hidden="1" x14ac:dyDescent="0.55000000000000004">
      <c r="A149" t="s">
        <v>524</v>
      </c>
      <c r="B149" t="s">
        <v>157</v>
      </c>
      <c r="C149" s="8">
        <v>0</v>
      </c>
      <c r="D149" s="8">
        <v>0</v>
      </c>
      <c r="E149" s="8">
        <v>0</v>
      </c>
      <c r="F149" s="8">
        <v>0</v>
      </c>
      <c r="G149" s="8">
        <v>0</v>
      </c>
      <c r="H149" s="8">
        <v>0</v>
      </c>
      <c r="I149" s="8">
        <v>0</v>
      </c>
      <c r="J149" s="8">
        <v>0</v>
      </c>
      <c r="K149" s="8">
        <v>0</v>
      </c>
      <c r="L149" s="8">
        <v>0</v>
      </c>
      <c r="M149" s="8">
        <v>0</v>
      </c>
      <c r="O149" t="str">
        <f t="shared" si="2"/>
        <v>32040000</v>
      </c>
    </row>
    <row r="150" spans="1:15" x14ac:dyDescent="0.55000000000000004">
      <c r="A150" t="s">
        <v>523</v>
      </c>
      <c r="B150" t="s">
        <v>158</v>
      </c>
      <c r="C150" s="8">
        <v>294913</v>
      </c>
      <c r="D150" s="8">
        <v>29491</v>
      </c>
      <c r="E150" s="8">
        <v>29491</v>
      </c>
      <c r="F150" s="8">
        <v>29491</v>
      </c>
      <c r="G150" s="8">
        <v>29491</v>
      </c>
      <c r="H150" s="8">
        <v>29491</v>
      </c>
      <c r="I150" s="8">
        <v>29491</v>
      </c>
      <c r="J150" s="8">
        <v>29491</v>
      </c>
      <c r="K150" s="8">
        <v>29491</v>
      </c>
      <c r="L150" s="8">
        <v>29491</v>
      </c>
      <c r="M150" s="8">
        <v>29494</v>
      </c>
      <c r="O150" t="str">
        <f t="shared" si="2"/>
        <v>32310000</v>
      </c>
    </row>
    <row r="151" spans="1:15" hidden="1" x14ac:dyDescent="0.55000000000000004">
      <c r="A151" t="s">
        <v>522</v>
      </c>
      <c r="B151" t="s">
        <v>159</v>
      </c>
      <c r="C151" s="8">
        <v>0</v>
      </c>
      <c r="D151" s="8">
        <v>0</v>
      </c>
      <c r="E151" s="8">
        <v>0</v>
      </c>
      <c r="F151" s="8">
        <v>0</v>
      </c>
      <c r="G151" s="8">
        <v>0</v>
      </c>
      <c r="H151" s="8">
        <v>0</v>
      </c>
      <c r="I151" s="8">
        <v>0</v>
      </c>
      <c r="J151" s="8">
        <v>0</v>
      </c>
      <c r="K151" s="8">
        <v>0</v>
      </c>
      <c r="L151" s="8">
        <v>0</v>
      </c>
      <c r="M151" s="8">
        <v>0</v>
      </c>
      <c r="O151" t="str">
        <f t="shared" si="2"/>
        <v>33120000</v>
      </c>
    </row>
    <row r="152" spans="1:15" x14ac:dyDescent="0.55000000000000004">
      <c r="A152" t="s">
        <v>521</v>
      </c>
      <c r="B152" t="s">
        <v>160</v>
      </c>
      <c r="C152" s="8">
        <v>77258</v>
      </c>
      <c r="D152" s="8">
        <v>7726</v>
      </c>
      <c r="E152" s="8">
        <v>7726</v>
      </c>
      <c r="F152" s="8">
        <v>7726</v>
      </c>
      <c r="G152" s="8">
        <v>7726</v>
      </c>
      <c r="H152" s="8">
        <v>7726</v>
      </c>
      <c r="I152" s="8">
        <v>7726</v>
      </c>
      <c r="J152" s="8">
        <v>7726</v>
      </c>
      <c r="K152" s="8">
        <v>7726</v>
      </c>
      <c r="L152" s="8">
        <v>7726</v>
      </c>
      <c r="M152" s="8">
        <v>7724</v>
      </c>
      <c r="O152" t="str">
        <f t="shared" si="2"/>
        <v>33300000</v>
      </c>
    </row>
    <row r="153" spans="1:15" hidden="1" x14ac:dyDescent="0.55000000000000004">
      <c r="A153" t="s">
        <v>520</v>
      </c>
      <c r="B153" t="s">
        <v>161</v>
      </c>
      <c r="C153" s="8">
        <v>0</v>
      </c>
      <c r="D153" s="8">
        <v>0</v>
      </c>
      <c r="E153" s="8">
        <v>0</v>
      </c>
      <c r="F153" s="8">
        <v>0</v>
      </c>
      <c r="G153" s="8">
        <v>0</v>
      </c>
      <c r="H153" s="8">
        <v>0</v>
      </c>
      <c r="I153" s="8">
        <v>0</v>
      </c>
      <c r="J153" s="8">
        <v>0</v>
      </c>
      <c r="K153" s="8">
        <v>0</v>
      </c>
      <c r="L153" s="8">
        <v>0</v>
      </c>
      <c r="M153" s="8">
        <v>0</v>
      </c>
      <c r="O153" t="str">
        <f t="shared" si="2"/>
        <v>33480000</v>
      </c>
    </row>
    <row r="154" spans="1:15" hidden="1" x14ac:dyDescent="0.55000000000000004">
      <c r="A154" t="s">
        <v>519</v>
      </c>
      <c r="B154" t="s">
        <v>162</v>
      </c>
      <c r="C154" s="8">
        <v>0</v>
      </c>
      <c r="D154" s="8">
        <v>0</v>
      </c>
      <c r="E154" s="8">
        <v>0</v>
      </c>
      <c r="F154" s="8">
        <v>0</v>
      </c>
      <c r="G154" s="8">
        <v>0</v>
      </c>
      <c r="H154" s="8">
        <v>0</v>
      </c>
      <c r="I154" s="8">
        <v>0</v>
      </c>
      <c r="J154" s="8">
        <v>0</v>
      </c>
      <c r="K154" s="8">
        <v>0</v>
      </c>
      <c r="L154" s="8">
        <v>0</v>
      </c>
      <c r="M154" s="8">
        <v>0</v>
      </c>
      <c r="O154" t="str">
        <f t="shared" si="2"/>
        <v>33750000</v>
      </c>
    </row>
    <row r="155" spans="1:15" x14ac:dyDescent="0.55000000000000004">
      <c r="A155" t="s">
        <v>518</v>
      </c>
      <c r="B155" t="s">
        <v>163</v>
      </c>
      <c r="C155" s="8">
        <v>130945</v>
      </c>
      <c r="D155" s="8">
        <v>13095</v>
      </c>
      <c r="E155" s="8">
        <v>13095</v>
      </c>
      <c r="F155" s="8">
        <v>13095</v>
      </c>
      <c r="G155" s="8">
        <v>13095</v>
      </c>
      <c r="H155" s="8">
        <v>13095</v>
      </c>
      <c r="I155" s="8">
        <v>13095</v>
      </c>
      <c r="J155" s="8">
        <v>13095</v>
      </c>
      <c r="K155" s="8">
        <v>13095</v>
      </c>
      <c r="L155" s="8">
        <v>13095</v>
      </c>
      <c r="M155" s="8">
        <v>13090</v>
      </c>
      <c r="O155" t="str">
        <f t="shared" si="2"/>
        <v>34200000</v>
      </c>
    </row>
    <row r="156" spans="1:15" x14ac:dyDescent="0.55000000000000004">
      <c r="A156" t="s">
        <v>517</v>
      </c>
      <c r="B156" t="s">
        <v>164</v>
      </c>
      <c r="C156" s="8">
        <v>44867</v>
      </c>
      <c r="D156" s="8">
        <v>4487</v>
      </c>
      <c r="E156" s="8">
        <v>4487</v>
      </c>
      <c r="F156" s="8">
        <v>4487</v>
      </c>
      <c r="G156" s="8">
        <v>4487</v>
      </c>
      <c r="H156" s="8">
        <v>4487</v>
      </c>
      <c r="I156" s="8">
        <v>4487</v>
      </c>
      <c r="J156" s="8">
        <v>4487</v>
      </c>
      <c r="K156" s="8">
        <v>4487</v>
      </c>
      <c r="L156" s="8">
        <v>4487</v>
      </c>
      <c r="M156" s="8">
        <v>4484</v>
      </c>
      <c r="O156" t="str">
        <f t="shared" si="2"/>
        <v>34650000</v>
      </c>
    </row>
    <row r="157" spans="1:15" hidden="1" x14ac:dyDescent="0.55000000000000004">
      <c r="A157" t="s">
        <v>516</v>
      </c>
      <c r="B157" t="s">
        <v>165</v>
      </c>
      <c r="C157" s="8">
        <v>0</v>
      </c>
      <c r="D157" s="8">
        <v>0</v>
      </c>
      <c r="E157" s="8">
        <v>0</v>
      </c>
      <c r="F157" s="8">
        <v>0</v>
      </c>
      <c r="G157" s="8">
        <v>0</v>
      </c>
      <c r="H157" s="8">
        <v>0</v>
      </c>
      <c r="I157" s="8">
        <v>0</v>
      </c>
      <c r="J157" s="8">
        <v>0</v>
      </c>
      <c r="K157" s="8">
        <v>0</v>
      </c>
      <c r="L157" s="8">
        <v>0</v>
      </c>
      <c r="M157" s="8">
        <v>0</v>
      </c>
      <c r="O157" t="str">
        <f t="shared" si="2"/>
        <v>35370000</v>
      </c>
    </row>
    <row r="158" spans="1:15" x14ac:dyDescent="0.55000000000000004">
      <c r="A158" t="s">
        <v>515</v>
      </c>
      <c r="B158" t="s">
        <v>166</v>
      </c>
      <c r="C158" s="8">
        <v>171082</v>
      </c>
      <c r="D158" s="8">
        <v>17108</v>
      </c>
      <c r="E158" s="8">
        <v>17108</v>
      </c>
      <c r="F158" s="8">
        <v>17108</v>
      </c>
      <c r="G158" s="8">
        <v>17108</v>
      </c>
      <c r="H158" s="8">
        <v>17108</v>
      </c>
      <c r="I158" s="8">
        <v>17108</v>
      </c>
      <c r="J158" s="8">
        <v>17108</v>
      </c>
      <c r="K158" s="8">
        <v>17108</v>
      </c>
      <c r="L158" s="8">
        <v>17108</v>
      </c>
      <c r="M158" s="8">
        <v>17110</v>
      </c>
      <c r="O158" t="str">
        <f t="shared" si="2"/>
        <v>35550000</v>
      </c>
    </row>
    <row r="159" spans="1:15" hidden="1" x14ac:dyDescent="0.55000000000000004">
      <c r="A159" t="s">
        <v>514</v>
      </c>
      <c r="B159" t="s">
        <v>167</v>
      </c>
      <c r="C159" s="8">
        <v>0</v>
      </c>
      <c r="D159" s="8">
        <v>0</v>
      </c>
      <c r="E159" s="8">
        <v>0</v>
      </c>
      <c r="F159" s="8">
        <v>0</v>
      </c>
      <c r="G159" s="8">
        <v>0</v>
      </c>
      <c r="H159" s="8">
        <v>0</v>
      </c>
      <c r="I159" s="8">
        <v>0</v>
      </c>
      <c r="J159" s="8">
        <v>0</v>
      </c>
      <c r="K159" s="8">
        <v>0</v>
      </c>
      <c r="L159" s="8">
        <v>0</v>
      </c>
      <c r="M159" s="8">
        <v>0</v>
      </c>
      <c r="O159" t="str">
        <f t="shared" si="2"/>
        <v>36000000</v>
      </c>
    </row>
    <row r="160" spans="1:15" hidden="1" x14ac:dyDescent="0.55000000000000004">
      <c r="A160" t="s">
        <v>513</v>
      </c>
      <c r="B160" t="s">
        <v>168</v>
      </c>
      <c r="C160" s="8">
        <v>0</v>
      </c>
      <c r="D160" s="8">
        <v>0</v>
      </c>
      <c r="E160" s="8">
        <v>0</v>
      </c>
      <c r="F160" s="8">
        <v>0</v>
      </c>
      <c r="G160" s="8">
        <v>0</v>
      </c>
      <c r="H160" s="8">
        <v>0</v>
      </c>
      <c r="I160" s="8">
        <v>0</v>
      </c>
      <c r="J160" s="8">
        <v>0</v>
      </c>
      <c r="K160" s="8">
        <v>0</v>
      </c>
      <c r="L160" s="8">
        <v>0</v>
      </c>
      <c r="M160" s="8">
        <v>0</v>
      </c>
      <c r="O160" t="str">
        <f t="shared" si="2"/>
        <v>36090000</v>
      </c>
    </row>
    <row r="161" spans="1:15" x14ac:dyDescent="0.55000000000000004">
      <c r="A161" t="s">
        <v>512</v>
      </c>
      <c r="B161" t="s">
        <v>169</v>
      </c>
      <c r="C161" s="8">
        <v>124232</v>
      </c>
      <c r="D161" s="8">
        <v>12423</v>
      </c>
      <c r="E161" s="8">
        <v>12423</v>
      </c>
      <c r="F161" s="8">
        <v>12423</v>
      </c>
      <c r="G161" s="8">
        <v>12423</v>
      </c>
      <c r="H161" s="8">
        <v>12423</v>
      </c>
      <c r="I161" s="8">
        <v>12423</v>
      </c>
      <c r="J161" s="8">
        <v>12423</v>
      </c>
      <c r="K161" s="8">
        <v>12423</v>
      </c>
      <c r="L161" s="8">
        <v>12423</v>
      </c>
      <c r="M161" s="8">
        <v>12425</v>
      </c>
      <c r="O161" t="str">
        <f t="shared" si="2"/>
        <v>36450000</v>
      </c>
    </row>
    <row r="162" spans="1:15" hidden="1" x14ac:dyDescent="0.55000000000000004">
      <c r="A162" t="s">
        <v>510</v>
      </c>
      <c r="B162" t="s">
        <v>171</v>
      </c>
      <c r="C162" s="8">
        <v>0</v>
      </c>
      <c r="D162" s="8">
        <v>0</v>
      </c>
      <c r="E162" s="8">
        <v>0</v>
      </c>
      <c r="F162" s="8">
        <v>0</v>
      </c>
      <c r="G162" s="8">
        <v>0</v>
      </c>
      <c r="H162" s="8">
        <v>0</v>
      </c>
      <c r="I162" s="8">
        <v>0</v>
      </c>
      <c r="J162" s="8">
        <v>0</v>
      </c>
      <c r="K162" s="8">
        <v>0</v>
      </c>
      <c r="L162" s="8">
        <v>0</v>
      </c>
      <c r="M162" s="8">
        <v>0</v>
      </c>
      <c r="O162" t="str">
        <f t="shared" si="2"/>
        <v>37150000</v>
      </c>
    </row>
    <row r="163" spans="1:15" hidden="1" x14ac:dyDescent="0.55000000000000004">
      <c r="A163" t="s">
        <v>509</v>
      </c>
      <c r="B163" t="s">
        <v>172</v>
      </c>
      <c r="C163" s="8">
        <v>0</v>
      </c>
      <c r="D163" s="8">
        <v>0</v>
      </c>
      <c r="E163" s="8">
        <v>0</v>
      </c>
      <c r="F163" s="8">
        <v>0</v>
      </c>
      <c r="G163" s="8">
        <v>0</v>
      </c>
      <c r="H163" s="8">
        <v>0</v>
      </c>
      <c r="I163" s="8">
        <v>0</v>
      </c>
      <c r="J163" s="8">
        <v>0</v>
      </c>
      <c r="K163" s="8">
        <v>0</v>
      </c>
      <c r="L163" s="8">
        <v>0</v>
      </c>
      <c r="M163" s="8">
        <v>0</v>
      </c>
      <c r="O163" t="str">
        <f t="shared" si="2"/>
        <v>37440000</v>
      </c>
    </row>
    <row r="164" spans="1:15" x14ac:dyDescent="0.55000000000000004">
      <c r="A164" t="s">
        <v>508</v>
      </c>
      <c r="B164" t="s">
        <v>173</v>
      </c>
      <c r="C164" s="8">
        <v>31480</v>
      </c>
      <c r="D164" s="8">
        <v>3148</v>
      </c>
      <c r="E164" s="8">
        <v>3148</v>
      </c>
      <c r="F164" s="8">
        <v>3148</v>
      </c>
      <c r="G164" s="8">
        <v>3148</v>
      </c>
      <c r="H164" s="8">
        <v>3148</v>
      </c>
      <c r="I164" s="8">
        <v>3148</v>
      </c>
      <c r="J164" s="8">
        <v>3148</v>
      </c>
      <c r="K164" s="8">
        <v>3148</v>
      </c>
      <c r="L164" s="8">
        <v>3148</v>
      </c>
      <c r="M164" s="8">
        <v>3148</v>
      </c>
      <c r="O164" t="str">
        <f t="shared" si="2"/>
        <v>37980000</v>
      </c>
    </row>
    <row r="165" spans="1:15" hidden="1" x14ac:dyDescent="0.55000000000000004">
      <c r="A165" t="s">
        <v>507</v>
      </c>
      <c r="B165" t="s">
        <v>174</v>
      </c>
      <c r="C165" s="8">
        <v>0</v>
      </c>
      <c r="D165" s="8">
        <v>0</v>
      </c>
      <c r="E165" s="8">
        <v>0</v>
      </c>
      <c r="F165" s="8">
        <v>0</v>
      </c>
      <c r="G165" s="8">
        <v>0</v>
      </c>
      <c r="H165" s="8">
        <v>0</v>
      </c>
      <c r="I165" s="8">
        <v>0</v>
      </c>
      <c r="J165" s="8">
        <v>0</v>
      </c>
      <c r="K165" s="8">
        <v>0</v>
      </c>
      <c r="L165" s="8">
        <v>0</v>
      </c>
      <c r="M165" s="8">
        <v>0</v>
      </c>
      <c r="O165" t="str">
        <f t="shared" si="2"/>
        <v>38160000</v>
      </c>
    </row>
    <row r="166" spans="1:15" x14ac:dyDescent="0.55000000000000004">
      <c r="A166" t="s">
        <v>506</v>
      </c>
      <c r="B166" t="s">
        <v>175</v>
      </c>
      <c r="C166" s="8">
        <v>186513</v>
      </c>
      <c r="D166" s="8">
        <v>18651</v>
      </c>
      <c r="E166" s="8">
        <v>18651</v>
      </c>
      <c r="F166" s="8">
        <v>18651</v>
      </c>
      <c r="G166" s="8">
        <v>18651</v>
      </c>
      <c r="H166" s="8">
        <v>18651</v>
      </c>
      <c r="I166" s="8">
        <v>18651</v>
      </c>
      <c r="J166" s="8">
        <v>18651</v>
      </c>
      <c r="K166" s="8">
        <v>18651</v>
      </c>
      <c r="L166" s="8">
        <v>18651</v>
      </c>
      <c r="M166" s="8">
        <v>18654</v>
      </c>
      <c r="O166" t="str">
        <f t="shared" si="2"/>
        <v>38410000</v>
      </c>
    </row>
    <row r="167" spans="1:15" x14ac:dyDescent="0.55000000000000004">
      <c r="A167" t="s">
        <v>505</v>
      </c>
      <c r="B167" t="s">
        <v>1222</v>
      </c>
      <c r="C167" s="8">
        <v>62904</v>
      </c>
      <c r="D167" s="8">
        <v>6290</v>
      </c>
      <c r="E167" s="8">
        <v>6290</v>
      </c>
      <c r="F167" s="8">
        <v>6290</v>
      </c>
      <c r="G167" s="8">
        <v>6290</v>
      </c>
      <c r="H167" s="8">
        <v>6290</v>
      </c>
      <c r="I167" s="8">
        <v>6290</v>
      </c>
      <c r="J167" s="8">
        <v>6290</v>
      </c>
      <c r="K167" s="8">
        <v>6290</v>
      </c>
      <c r="L167" s="8">
        <v>6290</v>
      </c>
      <c r="M167" s="8">
        <v>6294</v>
      </c>
      <c r="O167" t="str">
        <f t="shared" si="2"/>
        <v>38970000</v>
      </c>
    </row>
    <row r="168" spans="1:15" x14ac:dyDescent="0.55000000000000004">
      <c r="A168" t="s">
        <v>504</v>
      </c>
      <c r="B168" t="s">
        <v>177</v>
      </c>
      <c r="C168" s="8">
        <v>52819</v>
      </c>
      <c r="D168" s="8">
        <v>5282</v>
      </c>
      <c r="E168" s="8">
        <v>5282</v>
      </c>
      <c r="F168" s="8">
        <v>5282</v>
      </c>
      <c r="G168" s="8">
        <v>5282</v>
      </c>
      <c r="H168" s="8">
        <v>5282</v>
      </c>
      <c r="I168" s="8">
        <v>5282</v>
      </c>
      <c r="J168" s="8">
        <v>5282</v>
      </c>
      <c r="K168" s="8">
        <v>5282</v>
      </c>
      <c r="L168" s="8">
        <v>5282</v>
      </c>
      <c r="M168" s="8">
        <v>5281</v>
      </c>
      <c r="O168" t="str">
        <f t="shared" si="2"/>
        <v>39060000</v>
      </c>
    </row>
    <row r="169" spans="1:15" hidden="1" x14ac:dyDescent="0.55000000000000004">
      <c r="A169" t="s">
        <v>503</v>
      </c>
      <c r="B169" t="s">
        <v>178</v>
      </c>
      <c r="C169" s="8">
        <v>0</v>
      </c>
      <c r="D169" s="8">
        <v>0</v>
      </c>
      <c r="E169" s="8">
        <v>0</v>
      </c>
      <c r="F169" s="8">
        <v>0</v>
      </c>
      <c r="G169" s="8">
        <v>0</v>
      </c>
      <c r="H169" s="8">
        <v>0</v>
      </c>
      <c r="I169" s="8">
        <v>0</v>
      </c>
      <c r="J169" s="8">
        <v>0</v>
      </c>
      <c r="K169" s="8">
        <v>0</v>
      </c>
      <c r="L169" s="8">
        <v>0</v>
      </c>
      <c r="M169" s="8">
        <v>0</v>
      </c>
      <c r="O169" t="str">
        <f t="shared" si="2"/>
        <v>39420000</v>
      </c>
    </row>
    <row r="170" spans="1:15" x14ac:dyDescent="0.55000000000000004">
      <c r="A170" t="s">
        <v>501</v>
      </c>
      <c r="B170" t="s">
        <v>1223</v>
      </c>
      <c r="C170" s="8">
        <v>342602</v>
      </c>
      <c r="D170" s="8">
        <v>34260</v>
      </c>
      <c r="E170" s="8">
        <v>34260</v>
      </c>
      <c r="F170" s="8">
        <v>34260</v>
      </c>
      <c r="G170" s="8">
        <v>34260</v>
      </c>
      <c r="H170" s="8">
        <v>34260</v>
      </c>
      <c r="I170" s="8">
        <v>34260</v>
      </c>
      <c r="J170" s="8">
        <v>34260</v>
      </c>
      <c r="K170" s="8">
        <v>34260</v>
      </c>
      <c r="L170" s="8">
        <v>34260</v>
      </c>
      <c r="M170" s="8">
        <v>34262</v>
      </c>
      <c r="O170" t="str">
        <f t="shared" si="2"/>
        <v>40230000</v>
      </c>
    </row>
    <row r="171" spans="1:15" x14ac:dyDescent="0.55000000000000004">
      <c r="A171" t="s">
        <v>500</v>
      </c>
      <c r="B171" t="s">
        <v>337</v>
      </c>
      <c r="C171" s="8">
        <v>258438</v>
      </c>
      <c r="D171" s="8">
        <v>25844</v>
      </c>
      <c r="E171" s="8">
        <v>25844</v>
      </c>
      <c r="F171" s="8">
        <v>25844</v>
      </c>
      <c r="G171" s="8">
        <v>25844</v>
      </c>
      <c r="H171" s="8">
        <v>25844</v>
      </c>
      <c r="I171" s="8">
        <v>25844</v>
      </c>
      <c r="J171" s="8">
        <v>25844</v>
      </c>
      <c r="K171" s="8">
        <v>25844</v>
      </c>
      <c r="L171" s="8">
        <v>25844</v>
      </c>
      <c r="M171" s="8">
        <v>25842</v>
      </c>
      <c r="O171" t="str">
        <f t="shared" si="2"/>
        <v>40330000</v>
      </c>
    </row>
    <row r="172" spans="1:15" hidden="1" x14ac:dyDescent="0.55000000000000004">
      <c r="A172" t="s">
        <v>499</v>
      </c>
      <c r="B172" t="s">
        <v>180</v>
      </c>
      <c r="C172" s="8">
        <v>0</v>
      </c>
      <c r="D172" s="8">
        <v>0</v>
      </c>
      <c r="E172" s="8">
        <v>0</v>
      </c>
      <c r="F172" s="8">
        <v>0</v>
      </c>
      <c r="G172" s="8">
        <v>0</v>
      </c>
      <c r="H172" s="8">
        <v>0</v>
      </c>
      <c r="I172" s="8">
        <v>0</v>
      </c>
      <c r="J172" s="8">
        <v>0</v>
      </c>
      <c r="K172" s="8">
        <v>0</v>
      </c>
      <c r="L172" s="8">
        <v>0</v>
      </c>
      <c r="M172" s="8">
        <v>0</v>
      </c>
      <c r="O172" t="str">
        <f t="shared" si="2"/>
        <v>40410000</v>
      </c>
    </row>
    <row r="173" spans="1:15" x14ac:dyDescent="0.55000000000000004">
      <c r="A173" t="s">
        <v>498</v>
      </c>
      <c r="B173" t="s">
        <v>181</v>
      </c>
      <c r="C173" s="8">
        <v>108810</v>
      </c>
      <c r="D173" s="8">
        <v>10881</v>
      </c>
      <c r="E173" s="8">
        <v>10881</v>
      </c>
      <c r="F173" s="8">
        <v>10881</v>
      </c>
      <c r="G173" s="8">
        <v>10881</v>
      </c>
      <c r="H173" s="8">
        <v>10881</v>
      </c>
      <c r="I173" s="8">
        <v>10881</v>
      </c>
      <c r="J173" s="8">
        <v>10881</v>
      </c>
      <c r="K173" s="8">
        <v>10881</v>
      </c>
      <c r="L173" s="8">
        <v>10881</v>
      </c>
      <c r="M173" s="8">
        <v>10881</v>
      </c>
      <c r="O173" t="str">
        <f t="shared" si="2"/>
        <v>40430000</v>
      </c>
    </row>
    <row r="174" spans="1:15" x14ac:dyDescent="0.55000000000000004">
      <c r="A174" t="s">
        <v>497</v>
      </c>
      <c r="B174" t="s">
        <v>1224</v>
      </c>
      <c r="C174" s="8">
        <v>49948</v>
      </c>
      <c r="D174" s="8">
        <v>4995</v>
      </c>
      <c r="E174" s="8">
        <v>4995</v>
      </c>
      <c r="F174" s="8">
        <v>4995</v>
      </c>
      <c r="G174" s="8">
        <v>4995</v>
      </c>
      <c r="H174" s="8">
        <v>4995</v>
      </c>
      <c r="I174" s="8">
        <v>4995</v>
      </c>
      <c r="J174" s="8">
        <v>4995</v>
      </c>
      <c r="K174" s="8">
        <v>4995</v>
      </c>
      <c r="L174" s="8">
        <v>4995</v>
      </c>
      <c r="M174" s="8">
        <v>4993</v>
      </c>
      <c r="O174" t="str">
        <f t="shared" si="2"/>
        <v>40680000</v>
      </c>
    </row>
    <row r="175" spans="1:15" hidden="1" x14ac:dyDescent="0.55000000000000004">
      <c r="A175" t="s">
        <v>496</v>
      </c>
      <c r="B175" t="s">
        <v>1225</v>
      </c>
      <c r="C175" s="8">
        <v>0</v>
      </c>
      <c r="D175" s="8">
        <v>0</v>
      </c>
      <c r="E175" s="8">
        <v>0</v>
      </c>
      <c r="F175" s="8">
        <v>0</v>
      </c>
      <c r="G175" s="8">
        <v>0</v>
      </c>
      <c r="H175" s="8">
        <v>0</v>
      </c>
      <c r="I175" s="8">
        <v>0</v>
      </c>
      <c r="J175" s="8">
        <v>0</v>
      </c>
      <c r="K175" s="8">
        <v>0</v>
      </c>
      <c r="L175" s="8">
        <v>0</v>
      </c>
      <c r="M175" s="8">
        <v>0</v>
      </c>
      <c r="O175" t="str">
        <f t="shared" si="2"/>
        <v>40860000</v>
      </c>
    </row>
    <row r="176" spans="1:15" hidden="1" x14ac:dyDescent="0.55000000000000004">
      <c r="A176" t="s">
        <v>495</v>
      </c>
      <c r="B176" t="s">
        <v>184</v>
      </c>
      <c r="C176" s="8">
        <v>0</v>
      </c>
      <c r="D176" s="8">
        <v>0</v>
      </c>
      <c r="E176" s="8">
        <v>0</v>
      </c>
      <c r="F176" s="8">
        <v>0</v>
      </c>
      <c r="G176" s="8">
        <v>0</v>
      </c>
      <c r="H176" s="8">
        <v>0</v>
      </c>
      <c r="I176" s="8">
        <v>0</v>
      </c>
      <c r="J176" s="8">
        <v>0</v>
      </c>
      <c r="K176" s="8">
        <v>0</v>
      </c>
      <c r="L176" s="8">
        <v>0</v>
      </c>
      <c r="M176" s="8">
        <v>0</v>
      </c>
      <c r="O176" t="str">
        <f t="shared" si="2"/>
        <v>41040000</v>
      </c>
    </row>
    <row r="177" spans="1:15" x14ac:dyDescent="0.55000000000000004">
      <c r="A177" t="s">
        <v>494</v>
      </c>
      <c r="B177" t="s">
        <v>185</v>
      </c>
      <c r="C177" s="8">
        <v>50247</v>
      </c>
      <c r="D177" s="8">
        <v>5025</v>
      </c>
      <c r="E177" s="8">
        <v>5025</v>
      </c>
      <c r="F177" s="8">
        <v>5025</v>
      </c>
      <c r="G177" s="8">
        <v>5025</v>
      </c>
      <c r="H177" s="8">
        <v>5025</v>
      </c>
      <c r="I177" s="8">
        <v>5025</v>
      </c>
      <c r="J177" s="8">
        <v>5025</v>
      </c>
      <c r="K177" s="8">
        <v>5025</v>
      </c>
      <c r="L177" s="8">
        <v>5025</v>
      </c>
      <c r="M177" s="8">
        <v>5022</v>
      </c>
      <c r="O177" t="str">
        <f t="shared" si="2"/>
        <v>41220000</v>
      </c>
    </row>
    <row r="178" spans="1:15" hidden="1" x14ac:dyDescent="0.55000000000000004">
      <c r="A178" t="s">
        <v>493</v>
      </c>
      <c r="B178" t="s">
        <v>186</v>
      </c>
      <c r="C178" s="8">
        <v>0</v>
      </c>
      <c r="D178" s="8">
        <v>0</v>
      </c>
      <c r="E178" s="8">
        <v>0</v>
      </c>
      <c r="F178" s="8">
        <v>0</v>
      </c>
      <c r="G178" s="8">
        <v>0</v>
      </c>
      <c r="H178" s="8">
        <v>0</v>
      </c>
      <c r="I178" s="8">
        <v>0</v>
      </c>
      <c r="J178" s="8">
        <v>0</v>
      </c>
      <c r="K178" s="8">
        <v>0</v>
      </c>
      <c r="L178" s="8">
        <v>0</v>
      </c>
      <c r="M178" s="8">
        <v>0</v>
      </c>
      <c r="O178" t="str">
        <f t="shared" si="2"/>
        <v>41310000</v>
      </c>
    </row>
    <row r="179" spans="1:15" x14ac:dyDescent="0.55000000000000004">
      <c r="A179" t="s">
        <v>491</v>
      </c>
      <c r="B179" t="s">
        <v>188</v>
      </c>
      <c r="C179" s="8">
        <v>239023</v>
      </c>
      <c r="D179" s="8">
        <v>23902</v>
      </c>
      <c r="E179" s="8">
        <v>23902</v>
      </c>
      <c r="F179" s="8">
        <v>23902</v>
      </c>
      <c r="G179" s="8">
        <v>23902</v>
      </c>
      <c r="H179" s="8">
        <v>23902</v>
      </c>
      <c r="I179" s="8">
        <v>23902</v>
      </c>
      <c r="J179" s="8">
        <v>23902</v>
      </c>
      <c r="K179" s="8">
        <v>23902</v>
      </c>
      <c r="L179" s="8">
        <v>23902</v>
      </c>
      <c r="M179" s="8">
        <v>23905</v>
      </c>
      <c r="O179" t="str">
        <f t="shared" si="2"/>
        <v>42030000</v>
      </c>
    </row>
    <row r="180" spans="1:15" hidden="1" x14ac:dyDescent="0.55000000000000004">
      <c r="A180" t="s">
        <v>490</v>
      </c>
      <c r="B180" t="s">
        <v>189</v>
      </c>
      <c r="C180" s="8">
        <v>0</v>
      </c>
      <c r="D180" s="8">
        <v>0</v>
      </c>
      <c r="E180" s="8">
        <v>0</v>
      </c>
      <c r="F180" s="8">
        <v>0</v>
      </c>
      <c r="G180" s="8">
        <v>0</v>
      </c>
      <c r="H180" s="8">
        <v>0</v>
      </c>
      <c r="I180" s="8">
        <v>0</v>
      </c>
      <c r="J180" s="8">
        <v>0</v>
      </c>
      <c r="K180" s="8">
        <v>0</v>
      </c>
      <c r="L180" s="8">
        <v>0</v>
      </c>
      <c r="M180" s="8">
        <v>0</v>
      </c>
      <c r="O180" t="str">
        <f t="shared" si="2"/>
        <v>42120000</v>
      </c>
    </row>
    <row r="181" spans="1:15" x14ac:dyDescent="0.55000000000000004">
      <c r="A181" t="s">
        <v>486</v>
      </c>
      <c r="B181" t="s">
        <v>1226</v>
      </c>
      <c r="C181" s="8">
        <v>185819</v>
      </c>
      <c r="D181" s="8">
        <v>18582</v>
      </c>
      <c r="E181" s="8">
        <v>18582</v>
      </c>
      <c r="F181" s="8">
        <v>18582</v>
      </c>
      <c r="G181" s="8">
        <v>18582</v>
      </c>
      <c r="H181" s="8">
        <v>18582</v>
      </c>
      <c r="I181" s="8">
        <v>18582</v>
      </c>
      <c r="J181" s="8">
        <v>18582</v>
      </c>
      <c r="K181" s="8">
        <v>18582</v>
      </c>
      <c r="L181" s="8">
        <v>18582</v>
      </c>
      <c r="M181" s="8">
        <v>18581</v>
      </c>
      <c r="O181" t="str">
        <f t="shared" si="2"/>
        <v>44190000</v>
      </c>
    </row>
    <row r="182" spans="1:15" x14ac:dyDescent="0.55000000000000004">
      <c r="A182" t="s">
        <v>489</v>
      </c>
      <c r="B182" t="s">
        <v>190</v>
      </c>
      <c r="C182" s="8">
        <v>234820</v>
      </c>
      <c r="D182" s="8">
        <v>23482</v>
      </c>
      <c r="E182" s="8">
        <v>23482</v>
      </c>
      <c r="F182" s="8">
        <v>23482</v>
      </c>
      <c r="G182" s="8">
        <v>23482</v>
      </c>
      <c r="H182" s="8">
        <v>23482</v>
      </c>
      <c r="I182" s="8">
        <v>23482</v>
      </c>
      <c r="J182" s="8">
        <v>23482</v>
      </c>
      <c r="K182" s="8">
        <v>23482</v>
      </c>
      <c r="L182" s="8">
        <v>23482</v>
      </c>
      <c r="M182" s="8">
        <v>23482</v>
      </c>
      <c r="O182" t="str">
        <f t="shared" si="2"/>
        <v>42690000</v>
      </c>
    </row>
    <row r="183" spans="1:15" x14ac:dyDescent="0.55000000000000004">
      <c r="A183" t="s">
        <v>488</v>
      </c>
      <c r="B183" t="s">
        <v>191</v>
      </c>
      <c r="C183" s="8">
        <v>226855</v>
      </c>
      <c r="D183" s="8">
        <v>22686</v>
      </c>
      <c r="E183" s="8">
        <v>22686</v>
      </c>
      <c r="F183" s="8">
        <v>22686</v>
      </c>
      <c r="G183" s="8">
        <v>22686</v>
      </c>
      <c r="H183" s="8">
        <v>22686</v>
      </c>
      <c r="I183" s="8">
        <v>22686</v>
      </c>
      <c r="J183" s="8">
        <v>22686</v>
      </c>
      <c r="K183" s="8">
        <v>22686</v>
      </c>
      <c r="L183" s="8">
        <v>22686</v>
      </c>
      <c r="M183" s="8">
        <v>22681</v>
      </c>
      <c r="O183" t="str">
        <f t="shared" si="2"/>
        <v>42710000</v>
      </c>
    </row>
    <row r="184" spans="1:15" x14ac:dyDescent="0.55000000000000004">
      <c r="A184" t="s">
        <v>487</v>
      </c>
      <c r="B184" t="s">
        <v>192</v>
      </c>
      <c r="C184" s="8">
        <v>15487</v>
      </c>
      <c r="D184" s="8">
        <v>1549</v>
      </c>
      <c r="E184" s="8">
        <v>1549</v>
      </c>
      <c r="F184" s="8">
        <v>1549</v>
      </c>
      <c r="G184" s="8">
        <v>1549</v>
      </c>
      <c r="H184" s="8">
        <v>1549</v>
      </c>
      <c r="I184" s="8">
        <v>1549</v>
      </c>
      <c r="J184" s="8">
        <v>1549</v>
      </c>
      <c r="K184" s="8">
        <v>1549</v>
      </c>
      <c r="L184" s="8">
        <v>1549</v>
      </c>
      <c r="M184" s="8">
        <v>1546</v>
      </c>
      <c r="O184" t="str">
        <f t="shared" si="2"/>
        <v>43560000</v>
      </c>
    </row>
    <row r="185" spans="1:15" hidden="1" x14ac:dyDescent="0.55000000000000004">
      <c r="A185" t="s">
        <v>492</v>
      </c>
      <c r="B185" t="s">
        <v>1227</v>
      </c>
      <c r="C185" s="8">
        <v>0</v>
      </c>
      <c r="D185" s="8">
        <v>0</v>
      </c>
      <c r="E185" s="8">
        <v>0</v>
      </c>
      <c r="F185" s="8">
        <v>0</v>
      </c>
      <c r="G185" s="8">
        <v>0</v>
      </c>
      <c r="H185" s="8">
        <v>0</v>
      </c>
      <c r="I185" s="8">
        <v>0</v>
      </c>
      <c r="J185" s="8">
        <v>0</v>
      </c>
      <c r="K185" s="8">
        <v>0</v>
      </c>
      <c r="L185" s="8">
        <v>0</v>
      </c>
      <c r="M185" s="8">
        <v>0</v>
      </c>
      <c r="O185" t="str">
        <f t="shared" si="2"/>
        <v>41490000</v>
      </c>
    </row>
    <row r="186" spans="1:15" hidden="1" x14ac:dyDescent="0.55000000000000004">
      <c r="A186" t="s">
        <v>485</v>
      </c>
      <c r="B186" t="s">
        <v>194</v>
      </c>
      <c r="C186" s="8">
        <v>0</v>
      </c>
      <c r="D186" s="8">
        <v>0</v>
      </c>
      <c r="E186" s="8">
        <v>0</v>
      </c>
      <c r="F186" s="8">
        <v>0</v>
      </c>
      <c r="G186" s="8">
        <v>0</v>
      </c>
      <c r="H186" s="8">
        <v>0</v>
      </c>
      <c r="I186" s="8">
        <v>0</v>
      </c>
      <c r="J186" s="8">
        <v>0</v>
      </c>
      <c r="K186" s="8">
        <v>0</v>
      </c>
      <c r="L186" s="8">
        <v>0</v>
      </c>
      <c r="M186" s="8">
        <v>0</v>
      </c>
      <c r="O186" t="str">
        <f t="shared" si="2"/>
        <v>44370000</v>
      </c>
    </row>
    <row r="187" spans="1:15" x14ac:dyDescent="0.55000000000000004">
      <c r="A187" t="s">
        <v>484</v>
      </c>
      <c r="B187" t="s">
        <v>195</v>
      </c>
      <c r="C187" s="8">
        <v>14823</v>
      </c>
      <c r="D187" s="8">
        <v>1482</v>
      </c>
      <c r="E187" s="8">
        <v>1482</v>
      </c>
      <c r="F187" s="8">
        <v>1482</v>
      </c>
      <c r="G187" s="8">
        <v>1482</v>
      </c>
      <c r="H187" s="8">
        <v>1482</v>
      </c>
      <c r="I187" s="8">
        <v>1482</v>
      </c>
      <c r="J187" s="8">
        <v>1482</v>
      </c>
      <c r="K187" s="8">
        <v>1482</v>
      </c>
      <c r="L187" s="8">
        <v>1482</v>
      </c>
      <c r="M187" s="8">
        <v>1485</v>
      </c>
      <c r="O187" t="str">
        <f t="shared" si="2"/>
        <v>44460000</v>
      </c>
    </row>
    <row r="188" spans="1:15" x14ac:dyDescent="0.55000000000000004">
      <c r="A188" t="s">
        <v>483</v>
      </c>
      <c r="B188" t="s">
        <v>196</v>
      </c>
      <c r="C188" s="8">
        <v>22666</v>
      </c>
      <c r="D188" s="8">
        <v>2267</v>
      </c>
      <c r="E188" s="8">
        <v>2267</v>
      </c>
      <c r="F188" s="8">
        <v>2267</v>
      </c>
      <c r="G188" s="8">
        <v>2267</v>
      </c>
      <c r="H188" s="8">
        <v>2267</v>
      </c>
      <c r="I188" s="8">
        <v>2267</v>
      </c>
      <c r="J188" s="8">
        <v>2267</v>
      </c>
      <c r="K188" s="8">
        <v>2267</v>
      </c>
      <c r="L188" s="8">
        <v>2267</v>
      </c>
      <c r="M188" s="8">
        <v>2263</v>
      </c>
      <c r="O188" t="str">
        <f t="shared" si="2"/>
        <v>44910000</v>
      </c>
    </row>
    <row r="189" spans="1:15" x14ac:dyDescent="0.55000000000000004">
      <c r="A189" t="s">
        <v>482</v>
      </c>
      <c r="B189" t="s">
        <v>197</v>
      </c>
      <c r="C189" s="8">
        <v>38465</v>
      </c>
      <c r="D189" s="8">
        <v>3847</v>
      </c>
      <c r="E189" s="8">
        <v>3847</v>
      </c>
      <c r="F189" s="8">
        <v>3847</v>
      </c>
      <c r="G189" s="8">
        <v>3847</v>
      </c>
      <c r="H189" s="8">
        <v>3847</v>
      </c>
      <c r="I189" s="8">
        <v>3847</v>
      </c>
      <c r="J189" s="8">
        <v>3847</v>
      </c>
      <c r="K189" s="8">
        <v>3847</v>
      </c>
      <c r="L189" s="8">
        <v>3847</v>
      </c>
      <c r="M189" s="8">
        <v>3842</v>
      </c>
      <c r="O189" t="str">
        <f t="shared" si="2"/>
        <v>45050000</v>
      </c>
    </row>
    <row r="190" spans="1:15" hidden="1" x14ac:dyDescent="0.55000000000000004">
      <c r="A190" t="s">
        <v>481</v>
      </c>
      <c r="B190" t="s">
        <v>198</v>
      </c>
      <c r="C190" s="8">
        <v>0</v>
      </c>
      <c r="D190" s="8">
        <v>0</v>
      </c>
      <c r="E190" s="8">
        <v>0</v>
      </c>
      <c r="F190" s="8">
        <v>0</v>
      </c>
      <c r="G190" s="8">
        <v>0</v>
      </c>
      <c r="H190" s="8">
        <v>0</v>
      </c>
      <c r="I190" s="8">
        <v>0</v>
      </c>
      <c r="J190" s="8">
        <v>0</v>
      </c>
      <c r="K190" s="8">
        <v>0</v>
      </c>
      <c r="L190" s="8">
        <v>0</v>
      </c>
      <c r="M190" s="8">
        <v>0</v>
      </c>
      <c r="O190" t="str">
        <f t="shared" si="2"/>
        <v>45090000</v>
      </c>
    </row>
    <row r="191" spans="1:15" x14ac:dyDescent="0.55000000000000004">
      <c r="A191" t="s">
        <v>480</v>
      </c>
      <c r="B191" t="s">
        <v>199</v>
      </c>
      <c r="C191" s="8">
        <v>33484</v>
      </c>
      <c r="D191" s="8">
        <v>3348</v>
      </c>
      <c r="E191" s="8">
        <v>3348</v>
      </c>
      <c r="F191" s="8">
        <v>3348</v>
      </c>
      <c r="G191" s="8">
        <v>3348</v>
      </c>
      <c r="H191" s="8">
        <v>3348</v>
      </c>
      <c r="I191" s="8">
        <v>3348</v>
      </c>
      <c r="J191" s="8">
        <v>3348</v>
      </c>
      <c r="K191" s="8">
        <v>3348</v>
      </c>
      <c r="L191" s="8">
        <v>3348</v>
      </c>
      <c r="M191" s="8">
        <v>3352</v>
      </c>
      <c r="O191" t="str">
        <f t="shared" si="2"/>
        <v>45180000</v>
      </c>
    </row>
    <row r="192" spans="1:15" x14ac:dyDescent="0.55000000000000004">
      <c r="A192" t="s">
        <v>479</v>
      </c>
      <c r="B192" t="s">
        <v>200</v>
      </c>
      <c r="C192" s="8">
        <v>146478</v>
      </c>
      <c r="D192" s="8">
        <v>14648</v>
      </c>
      <c r="E192" s="8">
        <v>14648</v>
      </c>
      <c r="F192" s="8">
        <v>14648</v>
      </c>
      <c r="G192" s="8">
        <v>14648</v>
      </c>
      <c r="H192" s="8">
        <v>14648</v>
      </c>
      <c r="I192" s="8">
        <v>14648</v>
      </c>
      <c r="J192" s="8">
        <v>14648</v>
      </c>
      <c r="K192" s="8">
        <v>14648</v>
      </c>
      <c r="L192" s="8">
        <v>14648</v>
      </c>
      <c r="M192" s="8">
        <v>14646</v>
      </c>
      <c r="O192" t="str">
        <f t="shared" si="2"/>
        <v>45270000</v>
      </c>
    </row>
    <row r="193" spans="1:15" hidden="1" x14ac:dyDescent="0.55000000000000004">
      <c r="A193" t="s">
        <v>478</v>
      </c>
      <c r="B193" t="s">
        <v>201</v>
      </c>
      <c r="C193" s="8">
        <v>0</v>
      </c>
      <c r="D193" s="8">
        <v>0</v>
      </c>
      <c r="E193" s="8">
        <v>0</v>
      </c>
      <c r="F193" s="8">
        <v>0</v>
      </c>
      <c r="G193" s="8">
        <v>0</v>
      </c>
      <c r="H193" s="8">
        <v>0</v>
      </c>
      <c r="I193" s="8">
        <v>0</v>
      </c>
      <c r="J193" s="8">
        <v>0</v>
      </c>
      <c r="K193" s="8">
        <v>0</v>
      </c>
      <c r="L193" s="8">
        <v>0</v>
      </c>
      <c r="M193" s="8">
        <v>0</v>
      </c>
      <c r="O193" t="str">
        <f t="shared" si="2"/>
        <v>45360000</v>
      </c>
    </row>
    <row r="194" spans="1:15" hidden="1" x14ac:dyDescent="0.55000000000000004">
      <c r="A194" t="s">
        <v>477</v>
      </c>
      <c r="B194" t="s">
        <v>202</v>
      </c>
      <c r="C194" s="8">
        <v>0</v>
      </c>
      <c r="D194" s="8">
        <v>0</v>
      </c>
      <c r="E194" s="8">
        <v>0</v>
      </c>
      <c r="F194" s="8">
        <v>0</v>
      </c>
      <c r="G194" s="8">
        <v>0</v>
      </c>
      <c r="H194" s="8">
        <v>0</v>
      </c>
      <c r="I194" s="8">
        <v>0</v>
      </c>
      <c r="J194" s="8">
        <v>0</v>
      </c>
      <c r="K194" s="8">
        <v>0</v>
      </c>
      <c r="L194" s="8">
        <v>0</v>
      </c>
      <c r="M194" s="8">
        <v>0</v>
      </c>
      <c r="O194" t="str">
        <f t="shared" si="2"/>
        <v>45540000</v>
      </c>
    </row>
    <row r="195" spans="1:15" x14ac:dyDescent="0.55000000000000004">
      <c r="A195" t="s">
        <v>476</v>
      </c>
      <c r="B195" t="s">
        <v>203</v>
      </c>
      <c r="C195" s="8">
        <v>44544</v>
      </c>
      <c r="D195" s="8">
        <v>4454</v>
      </c>
      <c r="E195" s="8">
        <v>4454</v>
      </c>
      <c r="F195" s="8">
        <v>4454</v>
      </c>
      <c r="G195" s="8">
        <v>4454</v>
      </c>
      <c r="H195" s="8">
        <v>4454</v>
      </c>
      <c r="I195" s="8">
        <v>4454</v>
      </c>
      <c r="J195" s="8">
        <v>4454</v>
      </c>
      <c r="K195" s="8">
        <v>4454</v>
      </c>
      <c r="L195" s="8">
        <v>4454</v>
      </c>
      <c r="M195" s="8">
        <v>4458</v>
      </c>
      <c r="O195" t="str">
        <f t="shared" ref="O195:O258" si="3">CONCATENATE(A195,"0000")</f>
        <v>45720000</v>
      </c>
    </row>
    <row r="196" spans="1:15" hidden="1" x14ac:dyDescent="0.55000000000000004">
      <c r="A196" t="s">
        <v>475</v>
      </c>
      <c r="B196" t="s">
        <v>204</v>
      </c>
      <c r="C196" s="8">
        <v>0</v>
      </c>
      <c r="D196" s="8">
        <v>0</v>
      </c>
      <c r="E196" s="8">
        <v>0</v>
      </c>
      <c r="F196" s="8">
        <v>0</v>
      </c>
      <c r="G196" s="8">
        <v>0</v>
      </c>
      <c r="H196" s="8">
        <v>0</v>
      </c>
      <c r="I196" s="8">
        <v>0</v>
      </c>
      <c r="J196" s="8">
        <v>0</v>
      </c>
      <c r="K196" s="8">
        <v>0</v>
      </c>
      <c r="L196" s="8">
        <v>0</v>
      </c>
      <c r="M196" s="8">
        <v>0</v>
      </c>
      <c r="O196" t="str">
        <f t="shared" si="3"/>
        <v>45810000</v>
      </c>
    </row>
    <row r="197" spans="1:15" x14ac:dyDescent="0.55000000000000004">
      <c r="A197" t="s">
        <v>474</v>
      </c>
      <c r="B197" t="s">
        <v>205</v>
      </c>
      <c r="C197" s="8">
        <v>69599</v>
      </c>
      <c r="D197" s="8">
        <v>6960</v>
      </c>
      <c r="E197" s="8">
        <v>6960</v>
      </c>
      <c r="F197" s="8">
        <v>6960</v>
      </c>
      <c r="G197" s="8">
        <v>6960</v>
      </c>
      <c r="H197" s="8">
        <v>6960</v>
      </c>
      <c r="I197" s="8">
        <v>6960</v>
      </c>
      <c r="J197" s="8">
        <v>6960</v>
      </c>
      <c r="K197" s="8">
        <v>6960</v>
      </c>
      <c r="L197" s="8">
        <v>6960</v>
      </c>
      <c r="M197" s="8">
        <v>6959</v>
      </c>
      <c r="O197" t="str">
        <f t="shared" si="3"/>
        <v>45990000</v>
      </c>
    </row>
    <row r="198" spans="1:15" hidden="1" x14ac:dyDescent="0.55000000000000004">
      <c r="A198" t="s">
        <v>473</v>
      </c>
      <c r="B198" t="s">
        <v>206</v>
      </c>
      <c r="C198" s="8">
        <v>0</v>
      </c>
      <c r="D198" s="8">
        <v>0</v>
      </c>
      <c r="E198" s="8">
        <v>0</v>
      </c>
      <c r="F198" s="8">
        <v>0</v>
      </c>
      <c r="G198" s="8">
        <v>0</v>
      </c>
      <c r="H198" s="8">
        <v>0</v>
      </c>
      <c r="I198" s="8">
        <v>0</v>
      </c>
      <c r="J198" s="8">
        <v>0</v>
      </c>
      <c r="K198" s="8">
        <v>0</v>
      </c>
      <c r="L198" s="8">
        <v>0</v>
      </c>
      <c r="M198" s="8">
        <v>0</v>
      </c>
      <c r="O198" t="str">
        <f t="shared" si="3"/>
        <v>46170000</v>
      </c>
    </row>
    <row r="199" spans="1:15" x14ac:dyDescent="0.55000000000000004">
      <c r="A199" t="s">
        <v>471</v>
      </c>
      <c r="B199" t="s">
        <v>208</v>
      </c>
      <c r="C199" s="8">
        <v>86096</v>
      </c>
      <c r="D199" s="8">
        <v>8610</v>
      </c>
      <c r="E199" s="8">
        <v>8610</v>
      </c>
      <c r="F199" s="8">
        <v>8610</v>
      </c>
      <c r="G199" s="8">
        <v>8610</v>
      </c>
      <c r="H199" s="8">
        <v>8610</v>
      </c>
      <c r="I199" s="8">
        <v>8610</v>
      </c>
      <c r="J199" s="8">
        <v>8610</v>
      </c>
      <c r="K199" s="8">
        <v>8610</v>
      </c>
      <c r="L199" s="8">
        <v>8610</v>
      </c>
      <c r="M199" s="8">
        <v>8606</v>
      </c>
      <c r="O199" t="str">
        <f t="shared" si="3"/>
        <v>46620000</v>
      </c>
    </row>
    <row r="200" spans="1:15" hidden="1" x14ac:dyDescent="0.55000000000000004">
      <c r="A200" t="s">
        <v>470</v>
      </c>
      <c r="B200" t="s">
        <v>209</v>
      </c>
      <c r="C200" s="8">
        <v>0</v>
      </c>
      <c r="D200" s="8">
        <v>0</v>
      </c>
      <c r="E200" s="8">
        <v>0</v>
      </c>
      <c r="F200" s="8">
        <v>0</v>
      </c>
      <c r="G200" s="8">
        <v>0</v>
      </c>
      <c r="H200" s="8">
        <v>0</v>
      </c>
      <c r="I200" s="8">
        <v>0</v>
      </c>
      <c r="J200" s="8">
        <v>0</v>
      </c>
      <c r="K200" s="8">
        <v>0</v>
      </c>
      <c r="L200" s="8">
        <v>0</v>
      </c>
      <c r="M200" s="8">
        <v>0</v>
      </c>
      <c r="O200" t="str">
        <f t="shared" si="3"/>
        <v>46890000</v>
      </c>
    </row>
    <row r="201" spans="1:15" x14ac:dyDescent="0.55000000000000004">
      <c r="A201" t="s">
        <v>472</v>
      </c>
      <c r="B201" t="s">
        <v>207</v>
      </c>
      <c r="C201" s="8">
        <v>62666</v>
      </c>
      <c r="D201" s="8">
        <v>6267</v>
      </c>
      <c r="E201" s="8">
        <v>6267</v>
      </c>
      <c r="F201" s="8">
        <v>6267</v>
      </c>
      <c r="G201" s="8">
        <v>6267</v>
      </c>
      <c r="H201" s="8">
        <v>6267</v>
      </c>
      <c r="I201" s="8">
        <v>6267</v>
      </c>
      <c r="J201" s="8">
        <v>6267</v>
      </c>
      <c r="K201" s="8">
        <v>6267</v>
      </c>
      <c r="L201" s="8">
        <v>6267</v>
      </c>
      <c r="M201" s="8">
        <v>6263</v>
      </c>
      <c r="O201" t="str">
        <f t="shared" si="3"/>
        <v>46440000</v>
      </c>
    </row>
    <row r="202" spans="1:15" hidden="1" x14ac:dyDescent="0.55000000000000004">
      <c r="A202" t="s">
        <v>469</v>
      </c>
      <c r="B202" t="s">
        <v>210</v>
      </c>
      <c r="C202" s="8">
        <v>0</v>
      </c>
      <c r="D202" s="8">
        <v>0</v>
      </c>
      <c r="E202" s="8">
        <v>0</v>
      </c>
      <c r="F202" s="8">
        <v>0</v>
      </c>
      <c r="G202" s="8">
        <v>0</v>
      </c>
      <c r="H202" s="8">
        <v>0</v>
      </c>
      <c r="I202" s="8">
        <v>0</v>
      </c>
      <c r="J202" s="8">
        <v>0</v>
      </c>
      <c r="K202" s="8">
        <v>0</v>
      </c>
      <c r="L202" s="8">
        <v>0</v>
      </c>
      <c r="M202" s="8">
        <v>0</v>
      </c>
      <c r="O202" t="str">
        <f t="shared" si="3"/>
        <v>47250000</v>
      </c>
    </row>
    <row r="203" spans="1:15" x14ac:dyDescent="0.55000000000000004">
      <c r="A203" t="s">
        <v>553</v>
      </c>
      <c r="B203" t="s">
        <v>130</v>
      </c>
      <c r="C203" s="8">
        <v>373565</v>
      </c>
      <c r="D203" s="8">
        <v>37357</v>
      </c>
      <c r="E203" s="8">
        <v>37357</v>
      </c>
      <c r="F203" s="8">
        <v>37357</v>
      </c>
      <c r="G203" s="8">
        <v>37357</v>
      </c>
      <c r="H203" s="8">
        <v>37357</v>
      </c>
      <c r="I203" s="8">
        <v>37357</v>
      </c>
      <c r="J203" s="8">
        <v>37357</v>
      </c>
      <c r="K203" s="8">
        <v>37357</v>
      </c>
      <c r="L203" s="8">
        <v>37357</v>
      </c>
      <c r="M203" s="8">
        <v>37352</v>
      </c>
      <c r="O203" t="str">
        <f t="shared" si="3"/>
        <v>26730000</v>
      </c>
    </row>
    <row r="204" spans="1:15" x14ac:dyDescent="0.55000000000000004">
      <c r="A204" t="s">
        <v>673</v>
      </c>
      <c r="B204" t="s">
        <v>329</v>
      </c>
      <c r="C204" s="8">
        <v>271428</v>
      </c>
      <c r="D204" s="8">
        <v>27143</v>
      </c>
      <c r="E204" s="8">
        <v>27143</v>
      </c>
      <c r="F204" s="8">
        <v>27143</v>
      </c>
      <c r="G204" s="8">
        <v>27143</v>
      </c>
      <c r="H204" s="8">
        <v>27143</v>
      </c>
      <c r="I204" s="8">
        <v>27143</v>
      </c>
      <c r="J204" s="8">
        <v>27143</v>
      </c>
      <c r="K204" s="8">
        <v>27143</v>
      </c>
      <c r="L204" s="8">
        <v>27143</v>
      </c>
      <c r="M204" s="8">
        <v>27141</v>
      </c>
      <c r="O204" t="str">
        <f t="shared" si="3"/>
        <v>01530000</v>
      </c>
    </row>
    <row r="205" spans="1:15" x14ac:dyDescent="0.55000000000000004">
      <c r="A205" t="s">
        <v>511</v>
      </c>
      <c r="B205" t="s">
        <v>170</v>
      </c>
      <c r="C205" s="8">
        <v>45325</v>
      </c>
      <c r="D205" s="8">
        <v>4533</v>
      </c>
      <c r="E205" s="8">
        <v>4533</v>
      </c>
      <c r="F205" s="8">
        <v>4533</v>
      </c>
      <c r="G205" s="8">
        <v>4533</v>
      </c>
      <c r="H205" s="8">
        <v>4533</v>
      </c>
      <c r="I205" s="8">
        <v>4533</v>
      </c>
      <c r="J205" s="8">
        <v>4533</v>
      </c>
      <c r="K205" s="8">
        <v>4533</v>
      </c>
      <c r="L205" s="8">
        <v>4533</v>
      </c>
      <c r="M205" s="8">
        <v>4528</v>
      </c>
      <c r="O205" t="str">
        <f t="shared" si="3"/>
        <v>36910000</v>
      </c>
    </row>
    <row r="206" spans="1:15" x14ac:dyDescent="0.55000000000000004">
      <c r="A206" t="s">
        <v>466</v>
      </c>
      <c r="B206" t="s">
        <v>1228</v>
      </c>
      <c r="C206" s="8">
        <v>177055</v>
      </c>
      <c r="D206" s="8">
        <v>17706</v>
      </c>
      <c r="E206" s="8">
        <v>17706</v>
      </c>
      <c r="F206" s="8">
        <v>17706</v>
      </c>
      <c r="G206" s="8">
        <v>17706</v>
      </c>
      <c r="H206" s="8">
        <v>17706</v>
      </c>
      <c r="I206" s="8">
        <v>17706</v>
      </c>
      <c r="J206" s="8">
        <v>17706</v>
      </c>
      <c r="K206" s="8">
        <v>17706</v>
      </c>
      <c r="L206" s="8">
        <v>17706</v>
      </c>
      <c r="M206" s="8">
        <v>17701</v>
      </c>
      <c r="O206" t="str">
        <f t="shared" si="3"/>
        <v>47740000</v>
      </c>
    </row>
    <row r="207" spans="1:15" x14ac:dyDescent="0.55000000000000004">
      <c r="A207" t="s">
        <v>642</v>
      </c>
      <c r="B207" t="s">
        <v>53</v>
      </c>
      <c r="C207" s="8">
        <v>7890</v>
      </c>
      <c r="D207" s="8">
        <v>789</v>
      </c>
      <c r="E207" s="8">
        <v>789</v>
      </c>
      <c r="F207" s="8">
        <v>789</v>
      </c>
      <c r="G207" s="8">
        <v>789</v>
      </c>
      <c r="H207" s="8">
        <v>789</v>
      </c>
      <c r="I207" s="8">
        <v>789</v>
      </c>
      <c r="J207" s="8">
        <v>789</v>
      </c>
      <c r="K207" s="8">
        <v>789</v>
      </c>
      <c r="L207" s="8">
        <v>789</v>
      </c>
      <c r="M207" s="8">
        <v>789</v>
      </c>
      <c r="O207" t="str">
        <f t="shared" si="3"/>
        <v>08730000</v>
      </c>
    </row>
    <row r="208" spans="1:15" x14ac:dyDescent="0.55000000000000004">
      <c r="A208" t="s">
        <v>462</v>
      </c>
      <c r="B208" t="s">
        <v>216</v>
      </c>
      <c r="C208" s="8">
        <v>97023</v>
      </c>
      <c r="D208" s="8">
        <v>9702</v>
      </c>
      <c r="E208" s="8">
        <v>9702</v>
      </c>
      <c r="F208" s="8">
        <v>9702</v>
      </c>
      <c r="G208" s="8">
        <v>9702</v>
      </c>
      <c r="H208" s="8">
        <v>9702</v>
      </c>
      <c r="I208" s="8">
        <v>9702</v>
      </c>
      <c r="J208" s="8">
        <v>9702</v>
      </c>
      <c r="K208" s="8">
        <v>9702</v>
      </c>
      <c r="L208" s="8">
        <v>9702</v>
      </c>
      <c r="M208" s="8">
        <v>9705</v>
      </c>
      <c r="O208" t="str">
        <f t="shared" si="3"/>
        <v>47780000</v>
      </c>
    </row>
    <row r="209" spans="1:15" x14ac:dyDescent="0.55000000000000004">
      <c r="A209" t="s">
        <v>463</v>
      </c>
      <c r="B209" t="s">
        <v>215</v>
      </c>
      <c r="C209" s="8">
        <v>74305</v>
      </c>
      <c r="D209" s="8">
        <v>7431</v>
      </c>
      <c r="E209" s="8">
        <v>7431</v>
      </c>
      <c r="F209" s="8">
        <v>7431</v>
      </c>
      <c r="G209" s="8">
        <v>7431</v>
      </c>
      <c r="H209" s="8">
        <v>7431</v>
      </c>
      <c r="I209" s="8">
        <v>7431</v>
      </c>
      <c r="J209" s="8">
        <v>7431</v>
      </c>
      <c r="K209" s="8">
        <v>7431</v>
      </c>
      <c r="L209" s="8">
        <v>7431</v>
      </c>
      <c r="M209" s="8">
        <v>7426</v>
      </c>
      <c r="O209" t="str">
        <f t="shared" si="3"/>
        <v>47770000</v>
      </c>
    </row>
    <row r="210" spans="1:15" x14ac:dyDescent="0.55000000000000004">
      <c r="A210" t="s">
        <v>464</v>
      </c>
      <c r="B210" t="s">
        <v>214</v>
      </c>
      <c r="C210" s="8">
        <v>27527</v>
      </c>
      <c r="D210" s="8">
        <v>2753</v>
      </c>
      <c r="E210" s="8">
        <v>2753</v>
      </c>
      <c r="F210" s="8">
        <v>2753</v>
      </c>
      <c r="G210" s="8">
        <v>2753</v>
      </c>
      <c r="H210" s="8">
        <v>2753</v>
      </c>
      <c r="I210" s="8">
        <v>2753</v>
      </c>
      <c r="J210" s="8">
        <v>2753</v>
      </c>
      <c r="K210" s="8">
        <v>2753</v>
      </c>
      <c r="L210" s="8">
        <v>2753</v>
      </c>
      <c r="M210" s="8">
        <v>2750</v>
      </c>
      <c r="O210" t="str">
        <f t="shared" si="3"/>
        <v>47760000</v>
      </c>
    </row>
    <row r="211" spans="1:15" x14ac:dyDescent="0.55000000000000004">
      <c r="A211" t="s">
        <v>461</v>
      </c>
      <c r="B211" t="s">
        <v>217</v>
      </c>
      <c r="C211" s="8">
        <v>118760</v>
      </c>
      <c r="D211" s="8">
        <v>11876</v>
      </c>
      <c r="E211" s="8">
        <v>11876</v>
      </c>
      <c r="F211" s="8">
        <v>11876</v>
      </c>
      <c r="G211" s="8">
        <v>11876</v>
      </c>
      <c r="H211" s="8">
        <v>11876</v>
      </c>
      <c r="I211" s="8">
        <v>11876</v>
      </c>
      <c r="J211" s="8">
        <v>11876</v>
      </c>
      <c r="K211" s="8">
        <v>11876</v>
      </c>
      <c r="L211" s="8">
        <v>11876</v>
      </c>
      <c r="M211" s="8">
        <v>11876</v>
      </c>
      <c r="O211" t="str">
        <f t="shared" si="3"/>
        <v>47790000</v>
      </c>
    </row>
    <row r="212" spans="1:15" hidden="1" x14ac:dyDescent="0.55000000000000004">
      <c r="A212" t="s">
        <v>460</v>
      </c>
      <c r="B212" t="s">
        <v>218</v>
      </c>
      <c r="C212" s="8">
        <v>0</v>
      </c>
      <c r="D212" s="8">
        <v>0</v>
      </c>
      <c r="E212" s="8">
        <v>0</v>
      </c>
      <c r="F212" s="8">
        <v>0</v>
      </c>
      <c r="G212" s="8">
        <v>0</v>
      </c>
      <c r="H212" s="8">
        <v>0</v>
      </c>
      <c r="I212" s="8">
        <v>0</v>
      </c>
      <c r="J212" s="8">
        <v>0</v>
      </c>
      <c r="K212" s="8">
        <v>0</v>
      </c>
      <c r="L212" s="8">
        <v>0</v>
      </c>
      <c r="M212" s="8">
        <v>0</v>
      </c>
      <c r="O212" t="str">
        <f t="shared" si="3"/>
        <v>47840000</v>
      </c>
    </row>
    <row r="213" spans="1:15" x14ac:dyDescent="0.55000000000000004">
      <c r="A213" t="s">
        <v>459</v>
      </c>
      <c r="B213" t="s">
        <v>1229</v>
      </c>
      <c r="C213" s="8">
        <v>79596</v>
      </c>
      <c r="D213" s="8">
        <v>7960</v>
      </c>
      <c r="E213" s="8">
        <v>7960</v>
      </c>
      <c r="F213" s="8">
        <v>7960</v>
      </c>
      <c r="G213" s="8">
        <v>7960</v>
      </c>
      <c r="H213" s="8">
        <v>7960</v>
      </c>
      <c r="I213" s="8">
        <v>7960</v>
      </c>
      <c r="J213" s="8">
        <v>7960</v>
      </c>
      <c r="K213" s="8">
        <v>7960</v>
      </c>
      <c r="L213" s="8">
        <v>7960</v>
      </c>
      <c r="M213" s="8">
        <v>7956</v>
      </c>
      <c r="O213" t="str">
        <f t="shared" si="3"/>
        <v>47850000</v>
      </c>
    </row>
    <row r="214" spans="1:15" x14ac:dyDescent="0.55000000000000004">
      <c r="A214" t="s">
        <v>666</v>
      </c>
      <c r="B214" t="s">
        <v>343</v>
      </c>
      <c r="C214" s="8">
        <v>124127</v>
      </c>
      <c r="D214" s="8">
        <v>12413</v>
      </c>
      <c r="E214" s="8">
        <v>12413</v>
      </c>
      <c r="F214" s="8">
        <v>12413</v>
      </c>
      <c r="G214" s="8">
        <v>12413</v>
      </c>
      <c r="H214" s="8">
        <v>12413</v>
      </c>
      <c r="I214" s="8">
        <v>12413</v>
      </c>
      <c r="J214" s="8">
        <v>12413</v>
      </c>
      <c r="K214" s="8">
        <v>12413</v>
      </c>
      <c r="L214" s="8">
        <v>12413</v>
      </c>
      <c r="M214" s="8">
        <v>12410</v>
      </c>
      <c r="O214" t="str">
        <f t="shared" si="3"/>
        <v>03330000</v>
      </c>
    </row>
    <row r="215" spans="1:15" x14ac:dyDescent="0.55000000000000004">
      <c r="A215" t="s">
        <v>467</v>
      </c>
      <c r="B215" t="s">
        <v>211</v>
      </c>
      <c r="C215" s="8">
        <v>144105</v>
      </c>
      <c r="D215" s="8">
        <v>14411</v>
      </c>
      <c r="E215" s="8">
        <v>14411</v>
      </c>
      <c r="F215" s="8">
        <v>14411</v>
      </c>
      <c r="G215" s="8">
        <v>14411</v>
      </c>
      <c r="H215" s="8">
        <v>14411</v>
      </c>
      <c r="I215" s="8">
        <v>14411</v>
      </c>
      <c r="J215" s="8">
        <v>14411</v>
      </c>
      <c r="K215" s="8">
        <v>14411</v>
      </c>
      <c r="L215" s="8">
        <v>14411</v>
      </c>
      <c r="M215" s="8">
        <v>14406</v>
      </c>
      <c r="O215" t="str">
        <f t="shared" si="3"/>
        <v>47730000</v>
      </c>
    </row>
    <row r="216" spans="1:15" x14ac:dyDescent="0.55000000000000004">
      <c r="A216" t="s">
        <v>457</v>
      </c>
      <c r="B216" t="s">
        <v>221</v>
      </c>
      <c r="C216" s="8">
        <v>45246</v>
      </c>
      <c r="D216" s="8">
        <v>4525</v>
      </c>
      <c r="E216" s="8">
        <v>4525</v>
      </c>
      <c r="F216" s="8">
        <v>4525</v>
      </c>
      <c r="G216" s="8">
        <v>4525</v>
      </c>
      <c r="H216" s="8">
        <v>4525</v>
      </c>
      <c r="I216" s="8">
        <v>4525</v>
      </c>
      <c r="J216" s="8">
        <v>4525</v>
      </c>
      <c r="K216" s="8">
        <v>4525</v>
      </c>
      <c r="L216" s="8">
        <v>4525</v>
      </c>
      <c r="M216" s="8">
        <v>4521</v>
      </c>
      <c r="O216" t="str">
        <f t="shared" si="3"/>
        <v>47880000</v>
      </c>
    </row>
    <row r="217" spans="1:15" hidden="1" x14ac:dyDescent="0.55000000000000004">
      <c r="A217" t="s">
        <v>456</v>
      </c>
      <c r="B217" t="s">
        <v>222</v>
      </c>
      <c r="C217" s="8">
        <v>0</v>
      </c>
      <c r="D217" s="8">
        <v>0</v>
      </c>
      <c r="E217" s="8">
        <v>0</v>
      </c>
      <c r="F217" s="8">
        <v>0</v>
      </c>
      <c r="G217" s="8">
        <v>0</v>
      </c>
      <c r="H217" s="8">
        <v>0</v>
      </c>
      <c r="I217" s="8">
        <v>0</v>
      </c>
      <c r="J217" s="8">
        <v>0</v>
      </c>
      <c r="K217" s="8">
        <v>0</v>
      </c>
      <c r="L217" s="8">
        <v>0</v>
      </c>
      <c r="M217" s="8">
        <v>0</v>
      </c>
      <c r="O217" t="str">
        <f t="shared" si="3"/>
        <v>47970000</v>
      </c>
    </row>
    <row r="218" spans="1:15" x14ac:dyDescent="0.55000000000000004">
      <c r="A218" t="s">
        <v>455</v>
      </c>
      <c r="B218" t="s">
        <v>1230</v>
      </c>
      <c r="C218" s="8">
        <v>73035</v>
      </c>
      <c r="D218" s="8">
        <v>7304</v>
      </c>
      <c r="E218" s="8">
        <v>7304</v>
      </c>
      <c r="F218" s="8">
        <v>7304</v>
      </c>
      <c r="G218" s="8">
        <v>7304</v>
      </c>
      <c r="H218" s="8">
        <v>7304</v>
      </c>
      <c r="I218" s="8">
        <v>7304</v>
      </c>
      <c r="J218" s="8">
        <v>7304</v>
      </c>
      <c r="K218" s="8">
        <v>7304</v>
      </c>
      <c r="L218" s="8">
        <v>7304</v>
      </c>
      <c r="M218" s="8">
        <v>7299</v>
      </c>
      <c r="O218" t="str">
        <f t="shared" si="3"/>
        <v>48600000</v>
      </c>
    </row>
    <row r="219" spans="1:15" hidden="1" x14ac:dyDescent="0.55000000000000004">
      <c r="A219" t="s">
        <v>454</v>
      </c>
      <c r="B219" t="s">
        <v>224</v>
      </c>
      <c r="C219" s="8">
        <v>0</v>
      </c>
      <c r="D219" s="8">
        <v>0</v>
      </c>
      <c r="E219" s="8">
        <v>0</v>
      </c>
      <c r="F219" s="8">
        <v>0</v>
      </c>
      <c r="G219" s="8">
        <v>0</v>
      </c>
      <c r="H219" s="8">
        <v>0</v>
      </c>
      <c r="I219" s="8">
        <v>0</v>
      </c>
      <c r="J219" s="8">
        <v>0</v>
      </c>
      <c r="K219" s="8">
        <v>0</v>
      </c>
      <c r="L219" s="8">
        <v>0</v>
      </c>
      <c r="M219" s="8">
        <v>0</v>
      </c>
      <c r="O219" t="str">
        <f t="shared" si="3"/>
        <v>48690000</v>
      </c>
    </row>
    <row r="220" spans="1:15" x14ac:dyDescent="0.55000000000000004">
      <c r="A220" t="s">
        <v>453</v>
      </c>
      <c r="B220" t="s">
        <v>225</v>
      </c>
      <c r="C220" s="8">
        <v>6011</v>
      </c>
      <c r="D220" s="8">
        <v>601</v>
      </c>
      <c r="E220" s="8">
        <v>601</v>
      </c>
      <c r="F220" s="8">
        <v>601</v>
      </c>
      <c r="G220" s="8">
        <v>601</v>
      </c>
      <c r="H220" s="8">
        <v>601</v>
      </c>
      <c r="I220" s="8">
        <v>601</v>
      </c>
      <c r="J220" s="8">
        <v>601</v>
      </c>
      <c r="K220" s="8">
        <v>601</v>
      </c>
      <c r="L220" s="8">
        <v>601</v>
      </c>
      <c r="M220" s="8">
        <v>602</v>
      </c>
      <c r="O220" t="str">
        <f t="shared" si="3"/>
        <v>48780000</v>
      </c>
    </row>
    <row r="221" spans="1:15" hidden="1" x14ac:dyDescent="0.55000000000000004">
      <c r="A221" t="s">
        <v>452</v>
      </c>
      <c r="B221" t="s">
        <v>226</v>
      </c>
      <c r="C221" s="8">
        <v>0</v>
      </c>
      <c r="D221" s="8">
        <v>0</v>
      </c>
      <c r="E221" s="8">
        <v>0</v>
      </c>
      <c r="F221" s="8">
        <v>0</v>
      </c>
      <c r="G221" s="8">
        <v>0</v>
      </c>
      <c r="H221" s="8">
        <v>0</v>
      </c>
      <c r="I221" s="8">
        <v>0</v>
      </c>
      <c r="J221" s="8">
        <v>0</v>
      </c>
      <c r="K221" s="8">
        <v>0</v>
      </c>
      <c r="L221" s="8">
        <v>0</v>
      </c>
      <c r="M221" s="8">
        <v>0</v>
      </c>
      <c r="O221" t="str">
        <f t="shared" si="3"/>
        <v>48900000</v>
      </c>
    </row>
    <row r="222" spans="1:15" x14ac:dyDescent="0.55000000000000004">
      <c r="A222" t="s">
        <v>451</v>
      </c>
      <c r="B222" t="s">
        <v>1231</v>
      </c>
      <c r="C222" s="8">
        <v>72033</v>
      </c>
      <c r="D222" s="8">
        <v>7203</v>
      </c>
      <c r="E222" s="8">
        <v>7203</v>
      </c>
      <c r="F222" s="8">
        <v>7203</v>
      </c>
      <c r="G222" s="8">
        <v>7203</v>
      </c>
      <c r="H222" s="8">
        <v>7203</v>
      </c>
      <c r="I222" s="8">
        <v>7203</v>
      </c>
      <c r="J222" s="8">
        <v>7203</v>
      </c>
      <c r="K222" s="8">
        <v>7203</v>
      </c>
      <c r="L222" s="8">
        <v>7203</v>
      </c>
      <c r="M222" s="8">
        <v>7206</v>
      </c>
      <c r="O222" t="str">
        <f t="shared" si="3"/>
        <v>49050000</v>
      </c>
    </row>
    <row r="223" spans="1:15" x14ac:dyDescent="0.55000000000000004">
      <c r="A223" t="s">
        <v>450</v>
      </c>
      <c r="B223" t="s">
        <v>228</v>
      </c>
      <c r="C223" s="8">
        <v>30307</v>
      </c>
      <c r="D223" s="8">
        <v>3031</v>
      </c>
      <c r="E223" s="8">
        <v>3031</v>
      </c>
      <c r="F223" s="8">
        <v>3031</v>
      </c>
      <c r="G223" s="8">
        <v>3031</v>
      </c>
      <c r="H223" s="8">
        <v>3031</v>
      </c>
      <c r="I223" s="8">
        <v>3031</v>
      </c>
      <c r="J223" s="8">
        <v>3031</v>
      </c>
      <c r="K223" s="8">
        <v>3031</v>
      </c>
      <c r="L223" s="8">
        <v>3031</v>
      </c>
      <c r="M223" s="8">
        <v>3028</v>
      </c>
      <c r="O223" t="str">
        <f t="shared" si="3"/>
        <v>49780000</v>
      </c>
    </row>
    <row r="224" spans="1:15" x14ac:dyDescent="0.55000000000000004">
      <c r="A224" t="s">
        <v>449</v>
      </c>
      <c r="B224" t="s">
        <v>229</v>
      </c>
      <c r="C224" s="8">
        <v>172859</v>
      </c>
      <c r="D224" s="8">
        <v>17286</v>
      </c>
      <c r="E224" s="8">
        <v>17286</v>
      </c>
      <c r="F224" s="8">
        <v>17286</v>
      </c>
      <c r="G224" s="8">
        <v>17286</v>
      </c>
      <c r="H224" s="8">
        <v>17286</v>
      </c>
      <c r="I224" s="8">
        <v>17286</v>
      </c>
      <c r="J224" s="8">
        <v>17286</v>
      </c>
      <c r="K224" s="8">
        <v>17286</v>
      </c>
      <c r="L224" s="8">
        <v>17286</v>
      </c>
      <c r="M224" s="8">
        <v>17285</v>
      </c>
      <c r="O224" t="str">
        <f t="shared" si="3"/>
        <v>49950000</v>
      </c>
    </row>
    <row r="225" spans="1:15" x14ac:dyDescent="0.55000000000000004">
      <c r="A225" t="s">
        <v>448</v>
      </c>
      <c r="B225" t="s">
        <v>230</v>
      </c>
      <c r="C225" s="8">
        <v>33755</v>
      </c>
      <c r="D225" s="8">
        <v>3376</v>
      </c>
      <c r="E225" s="8">
        <v>3376</v>
      </c>
      <c r="F225" s="8">
        <v>3376</v>
      </c>
      <c r="G225" s="8">
        <v>3376</v>
      </c>
      <c r="H225" s="8">
        <v>3376</v>
      </c>
      <c r="I225" s="8">
        <v>3376</v>
      </c>
      <c r="J225" s="8">
        <v>3376</v>
      </c>
      <c r="K225" s="8">
        <v>3376</v>
      </c>
      <c r="L225" s="8">
        <v>3376</v>
      </c>
      <c r="M225" s="8">
        <v>3371</v>
      </c>
      <c r="O225" t="str">
        <f t="shared" si="3"/>
        <v>50130000</v>
      </c>
    </row>
    <row r="226" spans="1:15" hidden="1" x14ac:dyDescent="0.55000000000000004">
      <c r="A226" t="s">
        <v>447</v>
      </c>
      <c r="B226" t="s">
        <v>231</v>
      </c>
      <c r="C226" s="8">
        <v>0</v>
      </c>
      <c r="D226" s="8">
        <v>0</v>
      </c>
      <c r="E226" s="8">
        <v>0</v>
      </c>
      <c r="F226" s="8">
        <v>0</v>
      </c>
      <c r="G226" s="8">
        <v>0</v>
      </c>
      <c r="H226" s="8">
        <v>0</v>
      </c>
      <c r="I226" s="8">
        <v>0</v>
      </c>
      <c r="J226" s="8">
        <v>0</v>
      </c>
      <c r="K226" s="8">
        <v>0</v>
      </c>
      <c r="L226" s="8">
        <v>0</v>
      </c>
      <c r="M226" s="8">
        <v>0</v>
      </c>
      <c r="O226" t="str">
        <f t="shared" si="3"/>
        <v>50490000</v>
      </c>
    </row>
    <row r="227" spans="1:15" x14ac:dyDescent="0.55000000000000004">
      <c r="A227" t="s">
        <v>446</v>
      </c>
      <c r="B227" t="s">
        <v>232</v>
      </c>
      <c r="C227" s="8">
        <v>104330</v>
      </c>
      <c r="D227" s="8">
        <v>10433</v>
      </c>
      <c r="E227" s="8">
        <v>10433</v>
      </c>
      <c r="F227" s="8">
        <v>10433</v>
      </c>
      <c r="G227" s="8">
        <v>10433</v>
      </c>
      <c r="H227" s="8">
        <v>10433</v>
      </c>
      <c r="I227" s="8">
        <v>10433</v>
      </c>
      <c r="J227" s="8">
        <v>10433</v>
      </c>
      <c r="K227" s="8">
        <v>10433</v>
      </c>
      <c r="L227" s="8">
        <v>10433</v>
      </c>
      <c r="M227" s="8">
        <v>10433</v>
      </c>
      <c r="O227" t="str">
        <f t="shared" si="3"/>
        <v>51210000</v>
      </c>
    </row>
    <row r="228" spans="1:15" x14ac:dyDescent="0.55000000000000004">
      <c r="A228" t="s">
        <v>445</v>
      </c>
      <c r="B228" t="s">
        <v>233</v>
      </c>
      <c r="C228" s="8">
        <v>89989</v>
      </c>
      <c r="D228" s="8">
        <v>8999</v>
      </c>
      <c r="E228" s="8">
        <v>8999</v>
      </c>
      <c r="F228" s="8">
        <v>8999</v>
      </c>
      <c r="G228" s="8">
        <v>8999</v>
      </c>
      <c r="H228" s="8">
        <v>8999</v>
      </c>
      <c r="I228" s="8">
        <v>8999</v>
      </c>
      <c r="J228" s="8">
        <v>8999</v>
      </c>
      <c r="K228" s="8">
        <v>8999</v>
      </c>
      <c r="L228" s="8">
        <v>8999</v>
      </c>
      <c r="M228" s="8">
        <v>8998</v>
      </c>
      <c r="O228" t="str">
        <f t="shared" si="3"/>
        <v>51390000</v>
      </c>
    </row>
    <row r="229" spans="1:15" x14ac:dyDescent="0.55000000000000004">
      <c r="A229" t="s">
        <v>444</v>
      </c>
      <c r="B229" t="s">
        <v>234</v>
      </c>
      <c r="C229" s="8">
        <v>30560</v>
      </c>
      <c r="D229" s="8">
        <v>3056</v>
      </c>
      <c r="E229" s="8">
        <v>3056</v>
      </c>
      <c r="F229" s="8">
        <v>3056</v>
      </c>
      <c r="G229" s="8">
        <v>3056</v>
      </c>
      <c r="H229" s="8">
        <v>3056</v>
      </c>
      <c r="I229" s="8">
        <v>3056</v>
      </c>
      <c r="J229" s="8">
        <v>3056</v>
      </c>
      <c r="K229" s="8">
        <v>3056</v>
      </c>
      <c r="L229" s="8">
        <v>3056</v>
      </c>
      <c r="M229" s="8">
        <v>3056</v>
      </c>
      <c r="O229" t="str">
        <f t="shared" si="3"/>
        <v>51600000</v>
      </c>
    </row>
    <row r="230" spans="1:15" x14ac:dyDescent="0.55000000000000004">
      <c r="A230" t="s">
        <v>443</v>
      </c>
      <c r="B230" t="s">
        <v>235</v>
      </c>
      <c r="C230" s="8">
        <v>245678</v>
      </c>
      <c r="D230" s="8">
        <v>24568</v>
      </c>
      <c r="E230" s="8">
        <v>24568</v>
      </c>
      <c r="F230" s="8">
        <v>24568</v>
      </c>
      <c r="G230" s="8">
        <v>24568</v>
      </c>
      <c r="H230" s="8">
        <v>24568</v>
      </c>
      <c r="I230" s="8">
        <v>24568</v>
      </c>
      <c r="J230" s="8">
        <v>24568</v>
      </c>
      <c r="K230" s="8">
        <v>24568</v>
      </c>
      <c r="L230" s="8">
        <v>24568</v>
      </c>
      <c r="M230" s="8">
        <v>24566</v>
      </c>
      <c r="O230" t="str">
        <f t="shared" si="3"/>
        <v>51630000</v>
      </c>
    </row>
    <row r="231" spans="1:15" hidden="1" x14ac:dyDescent="0.55000000000000004">
      <c r="A231" t="s">
        <v>442</v>
      </c>
      <c r="B231" t="s">
        <v>236</v>
      </c>
      <c r="C231" s="8">
        <v>0</v>
      </c>
      <c r="D231" s="8">
        <v>0</v>
      </c>
      <c r="E231" s="8">
        <v>0</v>
      </c>
      <c r="F231" s="8">
        <v>0</v>
      </c>
      <c r="G231" s="8">
        <v>0</v>
      </c>
      <c r="H231" s="8">
        <v>0</v>
      </c>
      <c r="I231" s="8">
        <v>0</v>
      </c>
      <c r="J231" s="8">
        <v>0</v>
      </c>
      <c r="K231" s="8">
        <v>0</v>
      </c>
      <c r="L231" s="8">
        <v>0</v>
      </c>
      <c r="M231" s="8">
        <v>0</v>
      </c>
      <c r="O231" t="str">
        <f t="shared" si="3"/>
        <v>51660000</v>
      </c>
    </row>
    <row r="232" spans="1:15" hidden="1" x14ac:dyDescent="0.55000000000000004">
      <c r="A232" t="s">
        <v>441</v>
      </c>
      <c r="B232" t="s">
        <v>237</v>
      </c>
      <c r="C232" s="8">
        <v>0</v>
      </c>
      <c r="D232" s="8">
        <v>0</v>
      </c>
      <c r="E232" s="8">
        <v>0</v>
      </c>
      <c r="F232" s="8">
        <v>0</v>
      </c>
      <c r="G232" s="8">
        <v>0</v>
      </c>
      <c r="H232" s="8">
        <v>0</v>
      </c>
      <c r="I232" s="8">
        <v>0</v>
      </c>
      <c r="J232" s="8">
        <v>0</v>
      </c>
      <c r="K232" s="8">
        <v>0</v>
      </c>
      <c r="L232" s="8">
        <v>0</v>
      </c>
      <c r="M232" s="8">
        <v>0</v>
      </c>
      <c r="O232" t="str">
        <f t="shared" si="3"/>
        <v>51840000</v>
      </c>
    </row>
    <row r="233" spans="1:15" hidden="1" x14ac:dyDescent="0.55000000000000004">
      <c r="A233" t="s">
        <v>440</v>
      </c>
      <c r="B233" t="s">
        <v>238</v>
      </c>
      <c r="C233" s="8">
        <v>0</v>
      </c>
      <c r="D233" s="8">
        <v>0</v>
      </c>
      <c r="E233" s="8">
        <v>0</v>
      </c>
      <c r="F233" s="8">
        <v>0</v>
      </c>
      <c r="G233" s="8">
        <v>0</v>
      </c>
      <c r="H233" s="8">
        <v>0</v>
      </c>
      <c r="I233" s="8">
        <v>0</v>
      </c>
      <c r="J233" s="8">
        <v>0</v>
      </c>
      <c r="K233" s="8">
        <v>0</v>
      </c>
      <c r="L233" s="8">
        <v>0</v>
      </c>
      <c r="M233" s="8">
        <v>0</v>
      </c>
      <c r="O233" t="str">
        <f t="shared" si="3"/>
        <v>52500000</v>
      </c>
    </row>
    <row r="234" spans="1:15" hidden="1" x14ac:dyDescent="0.55000000000000004">
      <c r="A234" t="s">
        <v>439</v>
      </c>
      <c r="B234" t="s">
        <v>239</v>
      </c>
      <c r="C234" s="8">
        <v>0</v>
      </c>
      <c r="D234" s="8">
        <v>0</v>
      </c>
      <c r="E234" s="8">
        <v>0</v>
      </c>
      <c r="F234" s="8">
        <v>0</v>
      </c>
      <c r="G234" s="8">
        <v>0</v>
      </c>
      <c r="H234" s="8">
        <v>0</v>
      </c>
      <c r="I234" s="8">
        <v>0</v>
      </c>
      <c r="J234" s="8">
        <v>0</v>
      </c>
      <c r="K234" s="8">
        <v>0</v>
      </c>
      <c r="L234" s="8">
        <v>0</v>
      </c>
      <c r="M234" s="8">
        <v>0</v>
      </c>
      <c r="O234" t="str">
        <f t="shared" si="3"/>
        <v>52560000</v>
      </c>
    </row>
    <row r="235" spans="1:15" x14ac:dyDescent="0.55000000000000004">
      <c r="A235" t="s">
        <v>438</v>
      </c>
      <c r="B235" t="s">
        <v>240</v>
      </c>
      <c r="C235" s="8">
        <v>198946</v>
      </c>
      <c r="D235" s="8">
        <v>19895</v>
      </c>
      <c r="E235" s="8">
        <v>19895</v>
      </c>
      <c r="F235" s="8">
        <v>19895</v>
      </c>
      <c r="G235" s="8">
        <v>19895</v>
      </c>
      <c r="H235" s="8">
        <v>19895</v>
      </c>
      <c r="I235" s="8">
        <v>19895</v>
      </c>
      <c r="J235" s="8">
        <v>19895</v>
      </c>
      <c r="K235" s="8">
        <v>19895</v>
      </c>
      <c r="L235" s="8">
        <v>19895</v>
      </c>
      <c r="M235" s="8">
        <v>19891</v>
      </c>
      <c r="O235" t="str">
        <f t="shared" si="3"/>
        <v>52830000</v>
      </c>
    </row>
    <row r="236" spans="1:15" hidden="1" x14ac:dyDescent="0.55000000000000004">
      <c r="A236" t="s">
        <v>437</v>
      </c>
      <c r="B236" t="s">
        <v>241</v>
      </c>
      <c r="C236" s="8">
        <v>0</v>
      </c>
      <c r="D236" s="8">
        <v>0</v>
      </c>
      <c r="E236" s="8">
        <v>0</v>
      </c>
      <c r="F236" s="8">
        <v>0</v>
      </c>
      <c r="G236" s="8">
        <v>0</v>
      </c>
      <c r="H236" s="8">
        <v>0</v>
      </c>
      <c r="I236" s="8">
        <v>0</v>
      </c>
      <c r="J236" s="8">
        <v>0</v>
      </c>
      <c r="K236" s="8">
        <v>0</v>
      </c>
      <c r="L236" s="8">
        <v>0</v>
      </c>
      <c r="M236" s="8">
        <v>0</v>
      </c>
      <c r="O236" t="str">
        <f t="shared" si="3"/>
        <v>53100000</v>
      </c>
    </row>
    <row r="237" spans="1:15" x14ac:dyDescent="0.55000000000000004">
      <c r="A237" t="s">
        <v>436</v>
      </c>
      <c r="B237" t="s">
        <v>242</v>
      </c>
      <c r="C237" s="8">
        <v>237380</v>
      </c>
      <c r="D237" s="8">
        <v>23738</v>
      </c>
      <c r="E237" s="8">
        <v>23738</v>
      </c>
      <c r="F237" s="8">
        <v>23738</v>
      </c>
      <c r="G237" s="8">
        <v>23738</v>
      </c>
      <c r="H237" s="8">
        <v>23738</v>
      </c>
      <c r="I237" s="8">
        <v>23738</v>
      </c>
      <c r="J237" s="8">
        <v>23738</v>
      </c>
      <c r="K237" s="8">
        <v>23738</v>
      </c>
      <c r="L237" s="8">
        <v>23738</v>
      </c>
      <c r="M237" s="8">
        <v>23738</v>
      </c>
      <c r="O237" t="str">
        <f t="shared" si="3"/>
        <v>53250000</v>
      </c>
    </row>
    <row r="238" spans="1:15" hidden="1" x14ac:dyDescent="0.55000000000000004">
      <c r="A238" t="s">
        <v>435</v>
      </c>
      <c r="B238" t="s">
        <v>243</v>
      </c>
      <c r="C238" s="8">
        <v>0</v>
      </c>
      <c r="D238" s="8">
        <v>0</v>
      </c>
      <c r="E238" s="8">
        <v>0</v>
      </c>
      <c r="F238" s="8">
        <v>0</v>
      </c>
      <c r="G238" s="8">
        <v>0</v>
      </c>
      <c r="H238" s="8">
        <v>0</v>
      </c>
      <c r="I238" s="8">
        <v>0</v>
      </c>
      <c r="J238" s="8">
        <v>0</v>
      </c>
      <c r="K238" s="8">
        <v>0</v>
      </c>
      <c r="L238" s="8">
        <v>0</v>
      </c>
      <c r="M238" s="8">
        <v>0</v>
      </c>
      <c r="O238" t="str">
        <f t="shared" si="3"/>
        <v>54630000</v>
      </c>
    </row>
    <row r="239" spans="1:15" x14ac:dyDescent="0.55000000000000004">
      <c r="A239" t="s">
        <v>434</v>
      </c>
      <c r="B239" t="s">
        <v>244</v>
      </c>
      <c r="C239" s="8">
        <v>26836</v>
      </c>
      <c r="D239" s="8">
        <v>2684</v>
      </c>
      <c r="E239" s="8">
        <v>2684</v>
      </c>
      <c r="F239" s="8">
        <v>2684</v>
      </c>
      <c r="G239" s="8">
        <v>2684</v>
      </c>
      <c r="H239" s="8">
        <v>2684</v>
      </c>
      <c r="I239" s="8">
        <v>2684</v>
      </c>
      <c r="J239" s="8">
        <v>2684</v>
      </c>
      <c r="K239" s="8">
        <v>2684</v>
      </c>
      <c r="L239" s="8">
        <v>2684</v>
      </c>
      <c r="M239" s="8">
        <v>2680</v>
      </c>
      <c r="O239" t="str">
        <f t="shared" si="3"/>
        <v>54860000</v>
      </c>
    </row>
    <row r="240" spans="1:15" x14ac:dyDescent="0.55000000000000004">
      <c r="A240" t="s">
        <v>433</v>
      </c>
      <c r="B240" t="s">
        <v>245</v>
      </c>
      <c r="C240" s="8">
        <v>45957</v>
      </c>
      <c r="D240" s="8">
        <v>4596</v>
      </c>
      <c r="E240" s="8">
        <v>4596</v>
      </c>
      <c r="F240" s="8">
        <v>4596</v>
      </c>
      <c r="G240" s="8">
        <v>4596</v>
      </c>
      <c r="H240" s="8">
        <v>4596</v>
      </c>
      <c r="I240" s="8">
        <v>4596</v>
      </c>
      <c r="J240" s="8">
        <v>4596</v>
      </c>
      <c r="K240" s="8">
        <v>4596</v>
      </c>
      <c r="L240" s="8">
        <v>4596</v>
      </c>
      <c r="M240" s="8">
        <v>4593</v>
      </c>
      <c r="O240" t="str">
        <f t="shared" si="3"/>
        <v>55080000</v>
      </c>
    </row>
    <row r="241" spans="1:15" x14ac:dyDescent="0.55000000000000004">
      <c r="A241" t="s">
        <v>577</v>
      </c>
      <c r="B241" t="s">
        <v>110</v>
      </c>
      <c r="C241" s="8">
        <v>105697</v>
      </c>
      <c r="D241" s="8">
        <v>10570</v>
      </c>
      <c r="E241" s="8">
        <v>10570</v>
      </c>
      <c r="F241" s="8">
        <v>10570</v>
      </c>
      <c r="G241" s="8">
        <v>10570</v>
      </c>
      <c r="H241" s="8">
        <v>10570</v>
      </c>
      <c r="I241" s="8">
        <v>10570</v>
      </c>
      <c r="J241" s="8">
        <v>10570</v>
      </c>
      <c r="K241" s="8">
        <v>10570</v>
      </c>
      <c r="L241" s="8">
        <v>10570</v>
      </c>
      <c r="M241" s="8">
        <v>10567</v>
      </c>
      <c r="O241" t="str">
        <f t="shared" si="3"/>
        <v>19750000</v>
      </c>
    </row>
    <row r="242" spans="1:15" x14ac:dyDescent="0.55000000000000004">
      <c r="A242" t="s">
        <v>432</v>
      </c>
      <c r="B242" t="s">
        <v>246</v>
      </c>
      <c r="C242" s="8">
        <v>89345</v>
      </c>
      <c r="D242" s="8">
        <v>8935</v>
      </c>
      <c r="E242" s="8">
        <v>8935</v>
      </c>
      <c r="F242" s="8">
        <v>8935</v>
      </c>
      <c r="G242" s="8">
        <v>8935</v>
      </c>
      <c r="H242" s="8">
        <v>8935</v>
      </c>
      <c r="I242" s="8">
        <v>8935</v>
      </c>
      <c r="J242" s="8">
        <v>8935</v>
      </c>
      <c r="K242" s="8">
        <v>8935</v>
      </c>
      <c r="L242" s="8">
        <v>8935</v>
      </c>
      <c r="M242" s="8">
        <v>8930</v>
      </c>
      <c r="O242" t="str">
        <f t="shared" si="3"/>
        <v>55100000</v>
      </c>
    </row>
    <row r="243" spans="1:15" hidden="1" x14ac:dyDescent="0.55000000000000004">
      <c r="A243" t="s">
        <v>431</v>
      </c>
      <c r="B243" t="s">
        <v>247</v>
      </c>
      <c r="C243" s="8">
        <v>0</v>
      </c>
      <c r="D243" s="8">
        <v>0</v>
      </c>
      <c r="E243" s="8">
        <v>0</v>
      </c>
      <c r="F243" s="8">
        <v>0</v>
      </c>
      <c r="G243" s="8">
        <v>0</v>
      </c>
      <c r="H243" s="8">
        <v>0</v>
      </c>
      <c r="I243" s="8">
        <v>0</v>
      </c>
      <c r="J243" s="8">
        <v>0</v>
      </c>
      <c r="K243" s="8">
        <v>0</v>
      </c>
      <c r="L243" s="8">
        <v>0</v>
      </c>
      <c r="M243" s="8">
        <v>0</v>
      </c>
      <c r="O243" t="str">
        <f t="shared" si="3"/>
        <v>56070000</v>
      </c>
    </row>
    <row r="244" spans="1:15" hidden="1" x14ac:dyDescent="0.55000000000000004">
      <c r="A244" t="s">
        <v>430</v>
      </c>
      <c r="B244" t="s">
        <v>248</v>
      </c>
      <c r="C244" s="8">
        <v>0</v>
      </c>
      <c r="D244" s="8">
        <v>0</v>
      </c>
      <c r="E244" s="8">
        <v>0</v>
      </c>
      <c r="F244" s="8">
        <v>0</v>
      </c>
      <c r="G244" s="8">
        <v>0</v>
      </c>
      <c r="H244" s="8">
        <v>0</v>
      </c>
      <c r="I244" s="8">
        <v>0</v>
      </c>
      <c r="J244" s="8">
        <v>0</v>
      </c>
      <c r="K244" s="8">
        <v>0</v>
      </c>
      <c r="L244" s="8">
        <v>0</v>
      </c>
      <c r="M244" s="8">
        <v>0</v>
      </c>
      <c r="O244" t="str">
        <f t="shared" si="3"/>
        <v>56430000</v>
      </c>
    </row>
    <row r="245" spans="1:15" x14ac:dyDescent="0.55000000000000004">
      <c r="A245" t="s">
        <v>429</v>
      </c>
      <c r="B245" t="s">
        <v>1195</v>
      </c>
      <c r="C245" s="8">
        <v>72337</v>
      </c>
      <c r="D245" s="8">
        <v>7234</v>
      </c>
      <c r="E245" s="8">
        <v>7234</v>
      </c>
      <c r="F245" s="8">
        <v>7234</v>
      </c>
      <c r="G245" s="8">
        <v>7234</v>
      </c>
      <c r="H245" s="8">
        <v>7234</v>
      </c>
      <c r="I245" s="8">
        <v>7234</v>
      </c>
      <c r="J245" s="8">
        <v>7234</v>
      </c>
      <c r="K245" s="8">
        <v>7234</v>
      </c>
      <c r="L245" s="8">
        <v>7234</v>
      </c>
      <c r="M245" s="8">
        <v>7231</v>
      </c>
      <c r="O245" t="str">
        <f t="shared" si="3"/>
        <v>56970000</v>
      </c>
    </row>
    <row r="246" spans="1:15" x14ac:dyDescent="0.55000000000000004">
      <c r="A246" t="s">
        <v>428</v>
      </c>
      <c r="B246" t="s">
        <v>249</v>
      </c>
      <c r="C246" s="8">
        <v>106598</v>
      </c>
      <c r="D246" s="8">
        <v>10660</v>
      </c>
      <c r="E246" s="8">
        <v>10660</v>
      </c>
      <c r="F246" s="8">
        <v>10660</v>
      </c>
      <c r="G246" s="8">
        <v>10660</v>
      </c>
      <c r="H246" s="8">
        <v>10660</v>
      </c>
      <c r="I246" s="8">
        <v>10660</v>
      </c>
      <c r="J246" s="8">
        <v>10660</v>
      </c>
      <c r="K246" s="8">
        <v>10660</v>
      </c>
      <c r="L246" s="8">
        <v>10660</v>
      </c>
      <c r="M246" s="8">
        <v>10658</v>
      </c>
      <c r="O246" t="str">
        <f t="shared" si="3"/>
        <v>57240000</v>
      </c>
    </row>
    <row r="247" spans="1:15" x14ac:dyDescent="0.55000000000000004">
      <c r="A247" t="s">
        <v>426</v>
      </c>
      <c r="B247" t="s">
        <v>251</v>
      </c>
      <c r="C247" s="8">
        <v>45138</v>
      </c>
      <c r="D247" s="8">
        <v>4514</v>
      </c>
      <c r="E247" s="8">
        <v>4514</v>
      </c>
      <c r="F247" s="8">
        <v>4514</v>
      </c>
      <c r="G247" s="8">
        <v>4514</v>
      </c>
      <c r="H247" s="8">
        <v>4514</v>
      </c>
      <c r="I247" s="8">
        <v>4514</v>
      </c>
      <c r="J247" s="8">
        <v>4514</v>
      </c>
      <c r="K247" s="8">
        <v>4514</v>
      </c>
      <c r="L247" s="8">
        <v>4514</v>
      </c>
      <c r="M247" s="8">
        <v>4512</v>
      </c>
      <c r="O247" t="str">
        <f t="shared" si="3"/>
        <v>58050000</v>
      </c>
    </row>
    <row r="248" spans="1:15" x14ac:dyDescent="0.55000000000000004">
      <c r="A248" t="s">
        <v>425</v>
      </c>
      <c r="B248" t="s">
        <v>252</v>
      </c>
      <c r="C248" s="8">
        <v>76331</v>
      </c>
      <c r="D248" s="8">
        <v>7633</v>
      </c>
      <c r="E248" s="8">
        <v>7633</v>
      </c>
      <c r="F248" s="8">
        <v>7633</v>
      </c>
      <c r="G248" s="8">
        <v>7633</v>
      </c>
      <c r="H248" s="8">
        <v>7633</v>
      </c>
      <c r="I248" s="8">
        <v>7633</v>
      </c>
      <c r="J248" s="8">
        <v>7633</v>
      </c>
      <c r="K248" s="8">
        <v>7633</v>
      </c>
      <c r="L248" s="8">
        <v>7633</v>
      </c>
      <c r="M248" s="8">
        <v>7634</v>
      </c>
      <c r="O248" t="str">
        <f t="shared" si="3"/>
        <v>58230000</v>
      </c>
    </row>
    <row r="249" spans="1:15" x14ac:dyDescent="0.55000000000000004">
      <c r="A249" t="s">
        <v>424</v>
      </c>
      <c r="B249" t="s">
        <v>253</v>
      </c>
      <c r="C249" s="8">
        <v>111479</v>
      </c>
      <c r="D249" s="8">
        <v>11148</v>
      </c>
      <c r="E249" s="8">
        <v>11148</v>
      </c>
      <c r="F249" s="8">
        <v>11148</v>
      </c>
      <c r="G249" s="8">
        <v>11148</v>
      </c>
      <c r="H249" s="8">
        <v>11148</v>
      </c>
      <c r="I249" s="8">
        <v>11148</v>
      </c>
      <c r="J249" s="8">
        <v>11148</v>
      </c>
      <c r="K249" s="8">
        <v>11148</v>
      </c>
      <c r="L249" s="8">
        <v>11148</v>
      </c>
      <c r="M249" s="8">
        <v>11147</v>
      </c>
      <c r="O249" t="str">
        <f t="shared" si="3"/>
        <v>58320000</v>
      </c>
    </row>
    <row r="250" spans="1:15" hidden="1" x14ac:dyDescent="0.55000000000000004">
      <c r="A250" t="s">
        <v>423</v>
      </c>
      <c r="B250" t="s">
        <v>254</v>
      </c>
      <c r="C250" s="8">
        <v>0</v>
      </c>
      <c r="D250" s="8">
        <v>0</v>
      </c>
      <c r="E250" s="8">
        <v>0</v>
      </c>
      <c r="F250" s="8">
        <v>0</v>
      </c>
      <c r="G250" s="8">
        <v>0</v>
      </c>
      <c r="H250" s="8">
        <v>0</v>
      </c>
      <c r="I250" s="8">
        <v>0</v>
      </c>
      <c r="J250" s="8">
        <v>0</v>
      </c>
      <c r="K250" s="8">
        <v>0</v>
      </c>
      <c r="L250" s="8">
        <v>0</v>
      </c>
      <c r="M250" s="8">
        <v>0</v>
      </c>
      <c r="O250" t="str">
        <f t="shared" si="3"/>
        <v>58770000</v>
      </c>
    </row>
    <row r="251" spans="1:15" x14ac:dyDescent="0.55000000000000004">
      <c r="A251" t="s">
        <v>422</v>
      </c>
      <c r="B251" t="s">
        <v>255</v>
      </c>
      <c r="C251" s="8">
        <v>19116</v>
      </c>
      <c r="D251" s="8">
        <v>1912</v>
      </c>
      <c r="E251" s="8">
        <v>1912</v>
      </c>
      <c r="F251" s="8">
        <v>1912</v>
      </c>
      <c r="G251" s="8">
        <v>1912</v>
      </c>
      <c r="H251" s="8">
        <v>1912</v>
      </c>
      <c r="I251" s="8">
        <v>1912</v>
      </c>
      <c r="J251" s="8">
        <v>1912</v>
      </c>
      <c r="K251" s="8">
        <v>1912</v>
      </c>
      <c r="L251" s="8">
        <v>1912</v>
      </c>
      <c r="M251" s="8">
        <v>1908</v>
      </c>
      <c r="O251" t="str">
        <f t="shared" si="3"/>
        <v>58950000</v>
      </c>
    </row>
    <row r="252" spans="1:15" hidden="1" x14ac:dyDescent="0.55000000000000004">
      <c r="A252" t="s">
        <v>420</v>
      </c>
      <c r="B252" t="s">
        <v>256</v>
      </c>
      <c r="C252" s="8">
        <v>0</v>
      </c>
      <c r="D252" s="8">
        <v>0</v>
      </c>
      <c r="E252" s="8">
        <v>0</v>
      </c>
      <c r="F252" s="8">
        <v>0</v>
      </c>
      <c r="G252" s="8">
        <v>0</v>
      </c>
      <c r="H252" s="8">
        <v>0</v>
      </c>
      <c r="I252" s="8">
        <v>0</v>
      </c>
      <c r="J252" s="8">
        <v>0</v>
      </c>
      <c r="K252" s="8">
        <v>0</v>
      </c>
      <c r="L252" s="8">
        <v>0</v>
      </c>
      <c r="M252" s="8">
        <v>0</v>
      </c>
      <c r="O252" t="str">
        <f t="shared" si="3"/>
        <v>59490000</v>
      </c>
    </row>
    <row r="253" spans="1:15" x14ac:dyDescent="0.55000000000000004">
      <c r="A253" t="s">
        <v>419</v>
      </c>
      <c r="B253" t="s">
        <v>257</v>
      </c>
      <c r="C253" s="8">
        <v>3726</v>
      </c>
      <c r="D253" s="8">
        <v>373</v>
      </c>
      <c r="E253" s="8">
        <v>373</v>
      </c>
      <c r="F253" s="8">
        <v>373</v>
      </c>
      <c r="G253" s="8">
        <v>373</v>
      </c>
      <c r="H253" s="8">
        <v>373</v>
      </c>
      <c r="I253" s="8">
        <v>373</v>
      </c>
      <c r="J253" s="8">
        <v>373</v>
      </c>
      <c r="K253" s="8">
        <v>373</v>
      </c>
      <c r="L253" s="8">
        <v>373</v>
      </c>
      <c r="M253" s="8">
        <v>369</v>
      </c>
      <c r="O253" t="str">
        <f t="shared" si="3"/>
        <v>59760000</v>
      </c>
    </row>
    <row r="254" spans="1:15" x14ac:dyDescent="0.55000000000000004">
      <c r="A254" t="s">
        <v>418</v>
      </c>
      <c r="B254" t="s">
        <v>258</v>
      </c>
      <c r="C254" s="8">
        <v>89369</v>
      </c>
      <c r="D254" s="8">
        <v>8937</v>
      </c>
      <c r="E254" s="8">
        <v>8937</v>
      </c>
      <c r="F254" s="8">
        <v>8937</v>
      </c>
      <c r="G254" s="8">
        <v>8937</v>
      </c>
      <c r="H254" s="8">
        <v>8937</v>
      </c>
      <c r="I254" s="8">
        <v>8937</v>
      </c>
      <c r="J254" s="8">
        <v>8937</v>
      </c>
      <c r="K254" s="8">
        <v>8937</v>
      </c>
      <c r="L254" s="8">
        <v>8937</v>
      </c>
      <c r="M254" s="8">
        <v>8936</v>
      </c>
      <c r="O254" t="str">
        <f t="shared" si="3"/>
        <v>59940000</v>
      </c>
    </row>
    <row r="255" spans="1:15" x14ac:dyDescent="0.55000000000000004">
      <c r="A255" t="s">
        <v>417</v>
      </c>
      <c r="B255" t="s">
        <v>259</v>
      </c>
      <c r="C255" s="8">
        <v>133374</v>
      </c>
      <c r="D255" s="8">
        <v>13337</v>
      </c>
      <c r="E255" s="8">
        <v>13337</v>
      </c>
      <c r="F255" s="8">
        <v>13337</v>
      </c>
      <c r="G255" s="8">
        <v>13337</v>
      </c>
      <c r="H255" s="8">
        <v>13337</v>
      </c>
      <c r="I255" s="8">
        <v>13337</v>
      </c>
      <c r="J255" s="8">
        <v>13337</v>
      </c>
      <c r="K255" s="8">
        <v>13337</v>
      </c>
      <c r="L255" s="8">
        <v>13337</v>
      </c>
      <c r="M255" s="8">
        <v>13341</v>
      </c>
      <c r="O255" t="str">
        <f t="shared" si="3"/>
        <v>60030000</v>
      </c>
    </row>
    <row r="256" spans="1:15" hidden="1" x14ac:dyDescent="0.55000000000000004">
      <c r="A256" t="s">
        <v>416</v>
      </c>
      <c r="B256" t="s">
        <v>260</v>
      </c>
      <c r="C256" s="8">
        <v>0</v>
      </c>
      <c r="D256" s="8">
        <v>0</v>
      </c>
      <c r="E256" s="8">
        <v>0</v>
      </c>
      <c r="F256" s="8">
        <v>0</v>
      </c>
      <c r="G256" s="8">
        <v>0</v>
      </c>
      <c r="H256" s="8">
        <v>0</v>
      </c>
      <c r="I256" s="8">
        <v>0</v>
      </c>
      <c r="J256" s="8">
        <v>0</v>
      </c>
      <c r="K256" s="8">
        <v>0</v>
      </c>
      <c r="L256" s="8">
        <v>0</v>
      </c>
      <c r="M256" s="8">
        <v>0</v>
      </c>
      <c r="O256" t="str">
        <f t="shared" si="3"/>
        <v>60120000</v>
      </c>
    </row>
    <row r="257" spans="1:15" hidden="1" x14ac:dyDescent="0.55000000000000004">
      <c r="A257" t="s">
        <v>415</v>
      </c>
      <c r="B257" t="s">
        <v>261</v>
      </c>
      <c r="C257" s="8">
        <v>0</v>
      </c>
      <c r="D257" s="8">
        <v>0</v>
      </c>
      <c r="E257" s="8">
        <v>0</v>
      </c>
      <c r="F257" s="8">
        <v>0</v>
      </c>
      <c r="G257" s="8">
        <v>0</v>
      </c>
      <c r="H257" s="8">
        <v>0</v>
      </c>
      <c r="I257" s="8">
        <v>0</v>
      </c>
      <c r="J257" s="8">
        <v>0</v>
      </c>
      <c r="K257" s="8">
        <v>0</v>
      </c>
      <c r="L257" s="8">
        <v>0</v>
      </c>
      <c r="M257" s="8">
        <v>0</v>
      </c>
      <c r="O257" t="str">
        <f t="shared" si="3"/>
        <v>60300000</v>
      </c>
    </row>
    <row r="258" spans="1:15" x14ac:dyDescent="0.55000000000000004">
      <c r="A258" t="s">
        <v>414</v>
      </c>
      <c r="B258" t="s">
        <v>262</v>
      </c>
      <c r="C258" s="8">
        <v>110900</v>
      </c>
      <c r="D258" s="8">
        <v>11090</v>
      </c>
      <c r="E258" s="8">
        <v>11090</v>
      </c>
      <c r="F258" s="8">
        <v>11090</v>
      </c>
      <c r="G258" s="8">
        <v>11090</v>
      </c>
      <c r="H258" s="8">
        <v>11090</v>
      </c>
      <c r="I258" s="8">
        <v>11090</v>
      </c>
      <c r="J258" s="8">
        <v>11090</v>
      </c>
      <c r="K258" s="8">
        <v>11090</v>
      </c>
      <c r="L258" s="8">
        <v>11090</v>
      </c>
      <c r="M258" s="8">
        <v>11090</v>
      </c>
      <c r="O258" t="str">
        <f t="shared" si="3"/>
        <v>60350000</v>
      </c>
    </row>
    <row r="259" spans="1:15" hidden="1" x14ac:dyDescent="0.55000000000000004">
      <c r="A259" t="s">
        <v>413</v>
      </c>
      <c r="B259" t="s">
        <v>263</v>
      </c>
      <c r="C259" s="8">
        <v>0</v>
      </c>
      <c r="D259" s="8">
        <v>0</v>
      </c>
      <c r="E259" s="8">
        <v>0</v>
      </c>
      <c r="F259" s="8">
        <v>0</v>
      </c>
      <c r="G259" s="8">
        <v>0</v>
      </c>
      <c r="H259" s="8">
        <v>0</v>
      </c>
      <c r="I259" s="8">
        <v>0</v>
      </c>
      <c r="J259" s="8">
        <v>0</v>
      </c>
      <c r="K259" s="8">
        <v>0</v>
      </c>
      <c r="L259" s="8">
        <v>0</v>
      </c>
      <c r="M259" s="8">
        <v>0</v>
      </c>
      <c r="O259" t="str">
        <f t="shared" ref="O259:O322" si="4">CONCATENATE(A259,"0000")</f>
        <v>60390000</v>
      </c>
    </row>
    <row r="260" spans="1:15" hidden="1" x14ac:dyDescent="0.55000000000000004">
      <c r="A260" t="s">
        <v>411</v>
      </c>
      <c r="B260" t="s">
        <v>264</v>
      </c>
      <c r="C260" s="8">
        <v>0</v>
      </c>
      <c r="D260" s="8">
        <v>0</v>
      </c>
      <c r="E260" s="8">
        <v>0</v>
      </c>
      <c r="F260" s="8">
        <v>0</v>
      </c>
      <c r="G260" s="8">
        <v>0</v>
      </c>
      <c r="H260" s="8">
        <v>0</v>
      </c>
      <c r="I260" s="8">
        <v>0</v>
      </c>
      <c r="J260" s="8">
        <v>0</v>
      </c>
      <c r="K260" s="8">
        <v>0</v>
      </c>
      <c r="L260" s="8">
        <v>0</v>
      </c>
      <c r="M260" s="8">
        <v>0</v>
      </c>
      <c r="O260" t="str">
        <f t="shared" si="4"/>
        <v>60930000</v>
      </c>
    </row>
    <row r="261" spans="1:15" x14ac:dyDescent="0.55000000000000004">
      <c r="A261" t="s">
        <v>412</v>
      </c>
      <c r="B261" t="s">
        <v>340</v>
      </c>
      <c r="C261" s="8">
        <v>186535</v>
      </c>
      <c r="D261" s="8">
        <v>18654</v>
      </c>
      <c r="E261" s="8">
        <v>18654</v>
      </c>
      <c r="F261" s="8">
        <v>18654</v>
      </c>
      <c r="G261" s="8">
        <v>18654</v>
      </c>
      <c r="H261" s="8">
        <v>18654</v>
      </c>
      <c r="I261" s="8">
        <v>18654</v>
      </c>
      <c r="J261" s="8">
        <v>18654</v>
      </c>
      <c r="K261" s="8">
        <v>18654</v>
      </c>
      <c r="L261" s="8">
        <v>18654</v>
      </c>
      <c r="M261" s="8">
        <v>18649</v>
      </c>
      <c r="O261" t="str">
        <f t="shared" si="4"/>
        <v>60910000</v>
      </c>
    </row>
    <row r="262" spans="1:15" x14ac:dyDescent="0.55000000000000004">
      <c r="A262" t="s">
        <v>409</v>
      </c>
      <c r="B262" t="s">
        <v>266</v>
      </c>
      <c r="C262" s="8">
        <v>141757</v>
      </c>
      <c r="D262" s="8">
        <v>14176</v>
      </c>
      <c r="E262" s="8">
        <v>14176</v>
      </c>
      <c r="F262" s="8">
        <v>14176</v>
      </c>
      <c r="G262" s="8">
        <v>14176</v>
      </c>
      <c r="H262" s="8">
        <v>14176</v>
      </c>
      <c r="I262" s="8">
        <v>14176</v>
      </c>
      <c r="J262" s="8">
        <v>14176</v>
      </c>
      <c r="K262" s="8">
        <v>14176</v>
      </c>
      <c r="L262" s="8">
        <v>14176</v>
      </c>
      <c r="M262" s="8">
        <v>14173</v>
      </c>
      <c r="O262" t="str">
        <f t="shared" si="4"/>
        <v>60950000</v>
      </c>
    </row>
    <row r="263" spans="1:15" x14ac:dyDescent="0.55000000000000004">
      <c r="A263" t="s">
        <v>405</v>
      </c>
      <c r="B263" t="s">
        <v>270</v>
      </c>
      <c r="C263" s="8">
        <v>55895</v>
      </c>
      <c r="D263" s="8">
        <v>5590</v>
      </c>
      <c r="E263" s="8">
        <v>5590</v>
      </c>
      <c r="F263" s="8">
        <v>5590</v>
      </c>
      <c r="G263" s="8">
        <v>5590</v>
      </c>
      <c r="H263" s="8">
        <v>5590</v>
      </c>
      <c r="I263" s="8">
        <v>5590</v>
      </c>
      <c r="J263" s="8">
        <v>5590</v>
      </c>
      <c r="K263" s="8">
        <v>5590</v>
      </c>
      <c r="L263" s="8">
        <v>5590</v>
      </c>
      <c r="M263" s="8">
        <v>5585</v>
      </c>
      <c r="O263" t="str">
        <f t="shared" si="4"/>
        <v>60990000</v>
      </c>
    </row>
    <row r="264" spans="1:15" x14ac:dyDescent="0.55000000000000004">
      <c r="A264" t="s">
        <v>407</v>
      </c>
      <c r="B264" t="s">
        <v>268</v>
      </c>
      <c r="C264" s="8">
        <v>24255</v>
      </c>
      <c r="D264" s="8">
        <v>2426</v>
      </c>
      <c r="E264" s="8">
        <v>2426</v>
      </c>
      <c r="F264" s="8">
        <v>2426</v>
      </c>
      <c r="G264" s="8">
        <v>2426</v>
      </c>
      <c r="H264" s="8">
        <v>2426</v>
      </c>
      <c r="I264" s="8">
        <v>2426</v>
      </c>
      <c r="J264" s="8">
        <v>2426</v>
      </c>
      <c r="K264" s="8">
        <v>2426</v>
      </c>
      <c r="L264" s="8">
        <v>2426</v>
      </c>
      <c r="M264" s="8">
        <v>2421</v>
      </c>
      <c r="O264" t="str">
        <f t="shared" si="4"/>
        <v>60970000</v>
      </c>
    </row>
    <row r="265" spans="1:15" x14ac:dyDescent="0.55000000000000004">
      <c r="A265" t="s">
        <v>406</v>
      </c>
      <c r="B265" t="s">
        <v>1232</v>
      </c>
      <c r="C265" s="8">
        <v>89209</v>
      </c>
      <c r="D265" s="8">
        <v>8921</v>
      </c>
      <c r="E265" s="8">
        <v>8921</v>
      </c>
      <c r="F265" s="8">
        <v>8921</v>
      </c>
      <c r="G265" s="8">
        <v>8921</v>
      </c>
      <c r="H265" s="8">
        <v>8921</v>
      </c>
      <c r="I265" s="8">
        <v>8921</v>
      </c>
      <c r="J265" s="8">
        <v>8921</v>
      </c>
      <c r="K265" s="8">
        <v>8921</v>
      </c>
      <c r="L265" s="8">
        <v>8921</v>
      </c>
      <c r="M265" s="8">
        <v>8920</v>
      </c>
      <c r="O265" t="str">
        <f t="shared" si="4"/>
        <v>60980000</v>
      </c>
    </row>
    <row r="266" spans="1:15" x14ac:dyDescent="0.55000000000000004">
      <c r="A266" t="s">
        <v>404</v>
      </c>
      <c r="B266" t="s">
        <v>271</v>
      </c>
      <c r="C266" s="8">
        <v>74150</v>
      </c>
      <c r="D266" s="8">
        <v>7415</v>
      </c>
      <c r="E266" s="8">
        <v>7415</v>
      </c>
      <c r="F266" s="8">
        <v>7415</v>
      </c>
      <c r="G266" s="8">
        <v>7415</v>
      </c>
      <c r="H266" s="8">
        <v>7415</v>
      </c>
      <c r="I266" s="8">
        <v>7415</v>
      </c>
      <c r="J266" s="8">
        <v>7415</v>
      </c>
      <c r="K266" s="8">
        <v>7415</v>
      </c>
      <c r="L266" s="8">
        <v>7415</v>
      </c>
      <c r="M266" s="8">
        <v>7415</v>
      </c>
      <c r="O266" t="str">
        <f t="shared" si="4"/>
        <v>61000000</v>
      </c>
    </row>
    <row r="267" spans="1:15" hidden="1" x14ac:dyDescent="0.55000000000000004">
      <c r="A267" t="s">
        <v>403</v>
      </c>
      <c r="B267" t="s">
        <v>272</v>
      </c>
      <c r="C267" s="8">
        <v>0</v>
      </c>
      <c r="D267" s="8">
        <v>0</v>
      </c>
      <c r="E267" s="8">
        <v>0</v>
      </c>
      <c r="F267" s="8">
        <v>0</v>
      </c>
      <c r="G267" s="8">
        <v>0</v>
      </c>
      <c r="H267" s="8">
        <v>0</v>
      </c>
      <c r="I267" s="8">
        <v>0</v>
      </c>
      <c r="J267" s="8">
        <v>0</v>
      </c>
      <c r="K267" s="8">
        <v>0</v>
      </c>
      <c r="L267" s="8">
        <v>0</v>
      </c>
      <c r="M267" s="8">
        <v>0</v>
      </c>
      <c r="O267" t="str">
        <f t="shared" si="4"/>
        <v>61010000</v>
      </c>
    </row>
    <row r="268" spans="1:15" x14ac:dyDescent="0.55000000000000004">
      <c r="A268" t="s">
        <v>410</v>
      </c>
      <c r="B268" t="s">
        <v>265</v>
      </c>
      <c r="C268" s="8">
        <v>86969</v>
      </c>
      <c r="D268" s="8">
        <v>8697</v>
      </c>
      <c r="E268" s="8">
        <v>8697</v>
      </c>
      <c r="F268" s="8">
        <v>8697</v>
      </c>
      <c r="G268" s="8">
        <v>8697</v>
      </c>
      <c r="H268" s="8">
        <v>8697</v>
      </c>
      <c r="I268" s="8">
        <v>8697</v>
      </c>
      <c r="J268" s="8">
        <v>8697</v>
      </c>
      <c r="K268" s="8">
        <v>8697</v>
      </c>
      <c r="L268" s="8">
        <v>8697</v>
      </c>
      <c r="M268" s="8">
        <v>8696</v>
      </c>
      <c r="O268" t="str">
        <f t="shared" si="4"/>
        <v>60940000</v>
      </c>
    </row>
    <row r="269" spans="1:15" x14ac:dyDescent="0.55000000000000004">
      <c r="A269" t="s">
        <v>408</v>
      </c>
      <c r="B269" t="s">
        <v>1233</v>
      </c>
      <c r="C269" s="8">
        <v>239483</v>
      </c>
      <c r="D269" s="8">
        <v>23948</v>
      </c>
      <c r="E269" s="8">
        <v>23948</v>
      </c>
      <c r="F269" s="8">
        <v>23948</v>
      </c>
      <c r="G269" s="8">
        <v>23948</v>
      </c>
      <c r="H269" s="8">
        <v>23948</v>
      </c>
      <c r="I269" s="8">
        <v>23948</v>
      </c>
      <c r="J269" s="8">
        <v>23948</v>
      </c>
      <c r="K269" s="8">
        <v>23948</v>
      </c>
      <c r="L269" s="8">
        <v>23948</v>
      </c>
      <c r="M269" s="8">
        <v>23951</v>
      </c>
      <c r="O269" t="str">
        <f t="shared" si="4"/>
        <v>60960000</v>
      </c>
    </row>
    <row r="270" spans="1:15" hidden="1" x14ac:dyDescent="0.55000000000000004">
      <c r="A270" t="s">
        <v>402</v>
      </c>
      <c r="B270" t="s">
        <v>273</v>
      </c>
      <c r="C270" s="8">
        <v>0</v>
      </c>
      <c r="D270" s="8">
        <v>0</v>
      </c>
      <c r="E270" s="8">
        <v>0</v>
      </c>
      <c r="F270" s="8">
        <v>0</v>
      </c>
      <c r="G270" s="8">
        <v>0</v>
      </c>
      <c r="H270" s="8">
        <v>0</v>
      </c>
      <c r="I270" s="8">
        <v>0</v>
      </c>
      <c r="J270" s="8">
        <v>0</v>
      </c>
      <c r="K270" s="8">
        <v>0</v>
      </c>
      <c r="L270" s="8">
        <v>0</v>
      </c>
      <c r="M270" s="8">
        <v>0</v>
      </c>
      <c r="O270" t="str">
        <f t="shared" si="4"/>
        <v>61020000</v>
      </c>
    </row>
    <row r="271" spans="1:15" hidden="1" x14ac:dyDescent="0.55000000000000004">
      <c r="A271" t="s">
        <v>401</v>
      </c>
      <c r="B271" t="s">
        <v>274</v>
      </c>
      <c r="C271" s="8">
        <v>0</v>
      </c>
      <c r="D271" s="8">
        <v>0</v>
      </c>
      <c r="E271" s="8">
        <v>0</v>
      </c>
      <c r="F271" s="8">
        <v>0</v>
      </c>
      <c r="G271" s="8">
        <v>0</v>
      </c>
      <c r="H271" s="8">
        <v>0</v>
      </c>
      <c r="I271" s="8">
        <v>0</v>
      </c>
      <c r="J271" s="8">
        <v>0</v>
      </c>
      <c r="K271" s="8">
        <v>0</v>
      </c>
      <c r="L271" s="8">
        <v>0</v>
      </c>
      <c r="M271" s="8">
        <v>0</v>
      </c>
      <c r="O271" t="str">
        <f t="shared" si="4"/>
        <v>61200000</v>
      </c>
    </row>
    <row r="272" spans="1:15" hidden="1" x14ac:dyDescent="0.55000000000000004">
      <c r="A272" t="s">
        <v>400</v>
      </c>
      <c r="B272" t="s">
        <v>275</v>
      </c>
      <c r="C272" s="8">
        <v>0</v>
      </c>
      <c r="D272" s="8">
        <v>0</v>
      </c>
      <c r="E272" s="8">
        <v>0</v>
      </c>
      <c r="F272" s="8">
        <v>0</v>
      </c>
      <c r="G272" s="8">
        <v>0</v>
      </c>
      <c r="H272" s="8">
        <v>0</v>
      </c>
      <c r="I272" s="8">
        <v>0</v>
      </c>
      <c r="J272" s="8">
        <v>0</v>
      </c>
      <c r="K272" s="8">
        <v>0</v>
      </c>
      <c r="L272" s="8">
        <v>0</v>
      </c>
      <c r="M272" s="8">
        <v>0</v>
      </c>
      <c r="O272" t="str">
        <f t="shared" si="4"/>
        <v>61380000</v>
      </c>
    </row>
    <row r="273" spans="1:15" x14ac:dyDescent="0.55000000000000004">
      <c r="A273" t="s">
        <v>427</v>
      </c>
      <c r="B273" t="s">
        <v>250</v>
      </c>
      <c r="C273" s="8">
        <v>136688</v>
      </c>
      <c r="D273" s="8">
        <v>13669</v>
      </c>
      <c r="E273" s="8">
        <v>13669</v>
      </c>
      <c r="F273" s="8">
        <v>13669</v>
      </c>
      <c r="G273" s="8">
        <v>13669</v>
      </c>
      <c r="H273" s="8">
        <v>13669</v>
      </c>
      <c r="I273" s="8">
        <v>13669</v>
      </c>
      <c r="J273" s="8">
        <v>13669</v>
      </c>
      <c r="K273" s="8">
        <v>13669</v>
      </c>
      <c r="L273" s="8">
        <v>13669</v>
      </c>
      <c r="M273" s="8">
        <v>13667</v>
      </c>
      <c r="O273" t="str">
        <f t="shared" si="4"/>
        <v>57510000</v>
      </c>
    </row>
    <row r="274" spans="1:15" hidden="1" x14ac:dyDescent="0.55000000000000004">
      <c r="A274" t="s">
        <v>399</v>
      </c>
      <c r="B274" t="s">
        <v>276</v>
      </c>
      <c r="C274" s="8">
        <v>0</v>
      </c>
      <c r="D274" s="8">
        <v>0</v>
      </c>
      <c r="E274" s="8">
        <v>0</v>
      </c>
      <c r="F274" s="8">
        <v>0</v>
      </c>
      <c r="G274" s="8">
        <v>0</v>
      </c>
      <c r="H274" s="8">
        <v>0</v>
      </c>
      <c r="I274" s="8">
        <v>0</v>
      </c>
      <c r="J274" s="8">
        <v>0</v>
      </c>
      <c r="K274" s="8">
        <v>0</v>
      </c>
      <c r="L274" s="8">
        <v>0</v>
      </c>
      <c r="M274" s="8">
        <v>0</v>
      </c>
      <c r="O274" t="str">
        <f t="shared" si="4"/>
        <v>61650000</v>
      </c>
    </row>
    <row r="275" spans="1:15" x14ac:dyDescent="0.55000000000000004">
      <c r="A275" t="s">
        <v>398</v>
      </c>
      <c r="B275" t="s">
        <v>277</v>
      </c>
      <c r="C275" s="8">
        <v>21496</v>
      </c>
      <c r="D275" s="8">
        <v>2150</v>
      </c>
      <c r="E275" s="8">
        <v>2150</v>
      </c>
      <c r="F275" s="8">
        <v>2150</v>
      </c>
      <c r="G275" s="8">
        <v>2150</v>
      </c>
      <c r="H275" s="8">
        <v>2150</v>
      </c>
      <c r="I275" s="8">
        <v>2150</v>
      </c>
      <c r="J275" s="8">
        <v>2150</v>
      </c>
      <c r="K275" s="8">
        <v>2150</v>
      </c>
      <c r="L275" s="8">
        <v>2150</v>
      </c>
      <c r="M275" s="8">
        <v>2146</v>
      </c>
      <c r="O275" t="str">
        <f t="shared" si="4"/>
        <v>61750000</v>
      </c>
    </row>
    <row r="276" spans="1:15" hidden="1" x14ac:dyDescent="0.55000000000000004">
      <c r="A276" t="s">
        <v>397</v>
      </c>
      <c r="B276" t="s">
        <v>278</v>
      </c>
      <c r="C276" s="8">
        <v>0</v>
      </c>
      <c r="D276" s="8">
        <v>0</v>
      </c>
      <c r="E276" s="8">
        <v>0</v>
      </c>
      <c r="F276" s="8">
        <v>0</v>
      </c>
      <c r="G276" s="8">
        <v>0</v>
      </c>
      <c r="H276" s="8">
        <v>0</v>
      </c>
      <c r="I276" s="8">
        <v>0</v>
      </c>
      <c r="J276" s="8">
        <v>0</v>
      </c>
      <c r="K276" s="8">
        <v>0</v>
      </c>
      <c r="L276" s="8">
        <v>0</v>
      </c>
      <c r="M276" s="8">
        <v>0</v>
      </c>
      <c r="O276" t="str">
        <f t="shared" si="4"/>
        <v>62190000</v>
      </c>
    </row>
    <row r="277" spans="1:15" x14ac:dyDescent="0.55000000000000004">
      <c r="A277" t="s">
        <v>396</v>
      </c>
      <c r="B277" t="s">
        <v>279</v>
      </c>
      <c r="C277" s="8">
        <v>27151</v>
      </c>
      <c r="D277" s="8">
        <v>2715</v>
      </c>
      <c r="E277" s="8">
        <v>2715</v>
      </c>
      <c r="F277" s="8">
        <v>2715</v>
      </c>
      <c r="G277" s="8">
        <v>2715</v>
      </c>
      <c r="H277" s="8">
        <v>2715</v>
      </c>
      <c r="I277" s="8">
        <v>2715</v>
      </c>
      <c r="J277" s="8">
        <v>2715</v>
      </c>
      <c r="K277" s="8">
        <v>2715</v>
      </c>
      <c r="L277" s="8">
        <v>2715</v>
      </c>
      <c r="M277" s="8">
        <v>2716</v>
      </c>
      <c r="O277" t="str">
        <f t="shared" si="4"/>
        <v>62460000</v>
      </c>
    </row>
    <row r="278" spans="1:15" x14ac:dyDescent="0.55000000000000004">
      <c r="A278" t="s">
        <v>394</v>
      </c>
      <c r="B278" t="s">
        <v>341</v>
      </c>
      <c r="C278" s="8">
        <v>152589</v>
      </c>
      <c r="D278" s="8">
        <v>15259</v>
      </c>
      <c r="E278" s="8">
        <v>15259</v>
      </c>
      <c r="F278" s="8">
        <v>15259</v>
      </c>
      <c r="G278" s="8">
        <v>15259</v>
      </c>
      <c r="H278" s="8">
        <v>15259</v>
      </c>
      <c r="I278" s="8">
        <v>15259</v>
      </c>
      <c r="J278" s="8">
        <v>15259</v>
      </c>
      <c r="K278" s="8">
        <v>15259</v>
      </c>
      <c r="L278" s="8">
        <v>15259</v>
      </c>
      <c r="M278" s="8">
        <v>15258</v>
      </c>
      <c r="O278" t="str">
        <f t="shared" si="4"/>
        <v>62730000</v>
      </c>
    </row>
    <row r="279" spans="1:15" hidden="1" x14ac:dyDescent="0.55000000000000004">
      <c r="A279" t="s">
        <v>393</v>
      </c>
      <c r="B279" t="s">
        <v>281</v>
      </c>
      <c r="C279" s="8">
        <v>0</v>
      </c>
      <c r="D279" s="8">
        <v>0</v>
      </c>
      <c r="E279" s="8">
        <v>0</v>
      </c>
      <c r="F279" s="8">
        <v>0</v>
      </c>
      <c r="G279" s="8">
        <v>0</v>
      </c>
      <c r="H279" s="8">
        <v>0</v>
      </c>
      <c r="I279" s="8">
        <v>0</v>
      </c>
      <c r="J279" s="8">
        <v>0</v>
      </c>
      <c r="K279" s="8">
        <v>0</v>
      </c>
      <c r="L279" s="8">
        <v>0</v>
      </c>
      <c r="M279" s="8">
        <v>0</v>
      </c>
      <c r="O279" t="str">
        <f t="shared" si="4"/>
        <v>64080000</v>
      </c>
    </row>
    <row r="280" spans="1:15" x14ac:dyDescent="0.55000000000000004">
      <c r="A280" t="s">
        <v>392</v>
      </c>
      <c r="B280" t="s">
        <v>282</v>
      </c>
      <c r="C280" s="8">
        <v>71489</v>
      </c>
      <c r="D280" s="8">
        <v>7149</v>
      </c>
      <c r="E280" s="8">
        <v>7149</v>
      </c>
      <c r="F280" s="8">
        <v>7149</v>
      </c>
      <c r="G280" s="8">
        <v>7149</v>
      </c>
      <c r="H280" s="8">
        <v>7149</v>
      </c>
      <c r="I280" s="8">
        <v>7149</v>
      </c>
      <c r="J280" s="8">
        <v>7149</v>
      </c>
      <c r="K280" s="8">
        <v>7149</v>
      </c>
      <c r="L280" s="8">
        <v>7149</v>
      </c>
      <c r="M280" s="8">
        <v>7148</v>
      </c>
      <c r="O280" t="str">
        <f t="shared" si="4"/>
        <v>64530000</v>
      </c>
    </row>
    <row r="281" spans="1:15" x14ac:dyDescent="0.55000000000000004">
      <c r="A281" t="s">
        <v>391</v>
      </c>
      <c r="B281" t="s">
        <v>283</v>
      </c>
      <c r="C281" s="8">
        <v>127403</v>
      </c>
      <c r="D281" s="8">
        <v>12740</v>
      </c>
      <c r="E281" s="8">
        <v>12740</v>
      </c>
      <c r="F281" s="8">
        <v>12740</v>
      </c>
      <c r="G281" s="8">
        <v>12740</v>
      </c>
      <c r="H281" s="8">
        <v>12740</v>
      </c>
      <c r="I281" s="8">
        <v>12740</v>
      </c>
      <c r="J281" s="8">
        <v>12740</v>
      </c>
      <c r="K281" s="8">
        <v>12740</v>
      </c>
      <c r="L281" s="8">
        <v>12740</v>
      </c>
      <c r="M281" s="8">
        <v>12743</v>
      </c>
      <c r="O281" t="str">
        <f t="shared" si="4"/>
        <v>64600000</v>
      </c>
    </row>
    <row r="282" spans="1:15" x14ac:dyDescent="0.55000000000000004">
      <c r="A282" t="s">
        <v>390</v>
      </c>
      <c r="B282" t="s">
        <v>284</v>
      </c>
      <c r="C282" s="8">
        <v>53029</v>
      </c>
      <c r="D282" s="8">
        <v>5303</v>
      </c>
      <c r="E282" s="8">
        <v>5303</v>
      </c>
      <c r="F282" s="8">
        <v>5303</v>
      </c>
      <c r="G282" s="8">
        <v>5303</v>
      </c>
      <c r="H282" s="8">
        <v>5303</v>
      </c>
      <c r="I282" s="8">
        <v>5303</v>
      </c>
      <c r="J282" s="8">
        <v>5303</v>
      </c>
      <c r="K282" s="8">
        <v>5303</v>
      </c>
      <c r="L282" s="8">
        <v>5303</v>
      </c>
      <c r="M282" s="8">
        <v>5302</v>
      </c>
      <c r="O282" t="str">
        <f t="shared" si="4"/>
        <v>64620000</v>
      </c>
    </row>
    <row r="283" spans="1:15" hidden="1" x14ac:dyDescent="0.55000000000000004">
      <c r="A283" t="s">
        <v>389</v>
      </c>
      <c r="B283" t="s">
        <v>285</v>
      </c>
      <c r="C283" s="8">
        <v>0</v>
      </c>
      <c r="D283" s="8">
        <v>0</v>
      </c>
      <c r="E283" s="8">
        <v>0</v>
      </c>
      <c r="F283" s="8">
        <v>0</v>
      </c>
      <c r="G283" s="8">
        <v>0</v>
      </c>
      <c r="H283" s="8">
        <v>0</v>
      </c>
      <c r="I283" s="8">
        <v>0</v>
      </c>
      <c r="J283" s="8">
        <v>0</v>
      </c>
      <c r="K283" s="8">
        <v>0</v>
      </c>
      <c r="L283" s="8">
        <v>0</v>
      </c>
      <c r="M283" s="8">
        <v>0</v>
      </c>
      <c r="O283" t="str">
        <f t="shared" si="4"/>
        <v>64710000</v>
      </c>
    </row>
    <row r="284" spans="1:15" x14ac:dyDescent="0.55000000000000004">
      <c r="A284" t="s">
        <v>388</v>
      </c>
      <c r="B284" t="s">
        <v>286</v>
      </c>
      <c r="C284" s="8">
        <v>122045</v>
      </c>
      <c r="D284" s="8">
        <v>12205</v>
      </c>
      <c r="E284" s="8">
        <v>12205</v>
      </c>
      <c r="F284" s="8">
        <v>12205</v>
      </c>
      <c r="G284" s="8">
        <v>12205</v>
      </c>
      <c r="H284" s="8">
        <v>12205</v>
      </c>
      <c r="I284" s="8">
        <v>12205</v>
      </c>
      <c r="J284" s="8">
        <v>12205</v>
      </c>
      <c r="K284" s="8">
        <v>12205</v>
      </c>
      <c r="L284" s="8">
        <v>12205</v>
      </c>
      <c r="M284" s="8">
        <v>12200</v>
      </c>
      <c r="O284" t="str">
        <f t="shared" si="4"/>
        <v>65090000</v>
      </c>
    </row>
    <row r="285" spans="1:15" x14ac:dyDescent="0.55000000000000004">
      <c r="A285" t="s">
        <v>387</v>
      </c>
      <c r="B285" t="s">
        <v>287</v>
      </c>
      <c r="C285" s="8">
        <v>53645</v>
      </c>
      <c r="D285" s="8">
        <v>5365</v>
      </c>
      <c r="E285" s="8">
        <v>5365</v>
      </c>
      <c r="F285" s="8">
        <v>5365</v>
      </c>
      <c r="G285" s="8">
        <v>5365</v>
      </c>
      <c r="H285" s="8">
        <v>5365</v>
      </c>
      <c r="I285" s="8">
        <v>5365</v>
      </c>
      <c r="J285" s="8">
        <v>5365</v>
      </c>
      <c r="K285" s="8">
        <v>5365</v>
      </c>
      <c r="L285" s="8">
        <v>5365</v>
      </c>
      <c r="M285" s="8">
        <v>5360</v>
      </c>
      <c r="O285" t="str">
        <f t="shared" si="4"/>
        <v>65120000</v>
      </c>
    </row>
    <row r="286" spans="1:15" x14ac:dyDescent="0.55000000000000004">
      <c r="A286" t="s">
        <v>386</v>
      </c>
      <c r="B286" t="s">
        <v>288</v>
      </c>
      <c r="C286" s="8">
        <v>66360</v>
      </c>
      <c r="D286" s="8">
        <v>6636</v>
      </c>
      <c r="E286" s="8">
        <v>6636</v>
      </c>
      <c r="F286" s="8">
        <v>6636</v>
      </c>
      <c r="G286" s="8">
        <v>6636</v>
      </c>
      <c r="H286" s="8">
        <v>6636</v>
      </c>
      <c r="I286" s="8">
        <v>6636</v>
      </c>
      <c r="J286" s="8">
        <v>6636</v>
      </c>
      <c r="K286" s="8">
        <v>6636</v>
      </c>
      <c r="L286" s="8">
        <v>6636</v>
      </c>
      <c r="M286" s="8">
        <v>6636</v>
      </c>
      <c r="O286" t="str">
        <f t="shared" si="4"/>
        <v>65160000</v>
      </c>
    </row>
    <row r="287" spans="1:15" x14ac:dyDescent="0.55000000000000004">
      <c r="A287" t="s">
        <v>385</v>
      </c>
      <c r="B287" t="s">
        <v>289</v>
      </c>
      <c r="C287" s="8">
        <v>86011</v>
      </c>
      <c r="D287" s="8">
        <v>8601</v>
      </c>
      <c r="E287" s="8">
        <v>8601</v>
      </c>
      <c r="F287" s="8">
        <v>8601</v>
      </c>
      <c r="G287" s="8">
        <v>8601</v>
      </c>
      <c r="H287" s="8">
        <v>8601</v>
      </c>
      <c r="I287" s="8">
        <v>8601</v>
      </c>
      <c r="J287" s="8">
        <v>8601</v>
      </c>
      <c r="K287" s="8">
        <v>8601</v>
      </c>
      <c r="L287" s="8">
        <v>8601</v>
      </c>
      <c r="M287" s="8">
        <v>8602</v>
      </c>
      <c r="O287" t="str">
        <f t="shared" si="4"/>
        <v>65340000</v>
      </c>
    </row>
    <row r="288" spans="1:15" x14ac:dyDescent="0.55000000000000004">
      <c r="A288" t="s">
        <v>384</v>
      </c>
      <c r="B288" t="s">
        <v>290</v>
      </c>
      <c r="C288" s="8">
        <v>72718</v>
      </c>
      <c r="D288" s="8">
        <v>7272</v>
      </c>
      <c r="E288" s="8">
        <v>7272</v>
      </c>
      <c r="F288" s="8">
        <v>7272</v>
      </c>
      <c r="G288" s="8">
        <v>7272</v>
      </c>
      <c r="H288" s="8">
        <v>7272</v>
      </c>
      <c r="I288" s="8">
        <v>7272</v>
      </c>
      <c r="J288" s="8">
        <v>7272</v>
      </c>
      <c r="K288" s="8">
        <v>7272</v>
      </c>
      <c r="L288" s="8">
        <v>7272</v>
      </c>
      <c r="M288" s="8">
        <v>7270</v>
      </c>
      <c r="O288" t="str">
        <f t="shared" si="4"/>
        <v>65360000</v>
      </c>
    </row>
    <row r="289" spans="1:15" x14ac:dyDescent="0.55000000000000004">
      <c r="A289" t="s">
        <v>383</v>
      </c>
      <c r="B289" t="s">
        <v>291</v>
      </c>
      <c r="C289" s="8">
        <v>77011</v>
      </c>
      <c r="D289" s="8">
        <v>7701</v>
      </c>
      <c r="E289" s="8">
        <v>7701</v>
      </c>
      <c r="F289" s="8">
        <v>7701</v>
      </c>
      <c r="G289" s="8">
        <v>7701</v>
      </c>
      <c r="H289" s="8">
        <v>7701</v>
      </c>
      <c r="I289" s="8">
        <v>7701</v>
      </c>
      <c r="J289" s="8">
        <v>7701</v>
      </c>
      <c r="K289" s="8">
        <v>7701</v>
      </c>
      <c r="L289" s="8">
        <v>7701</v>
      </c>
      <c r="M289" s="8">
        <v>7702</v>
      </c>
      <c r="O289" t="str">
        <f t="shared" si="4"/>
        <v>65610000</v>
      </c>
    </row>
    <row r="290" spans="1:15" hidden="1" x14ac:dyDescent="0.55000000000000004">
      <c r="A290" t="s">
        <v>382</v>
      </c>
      <c r="B290" t="s">
        <v>292</v>
      </c>
      <c r="C290" s="8">
        <v>0</v>
      </c>
      <c r="D290" s="8">
        <v>0</v>
      </c>
      <c r="E290" s="8">
        <v>0</v>
      </c>
      <c r="F290" s="8">
        <v>0</v>
      </c>
      <c r="G290" s="8">
        <v>0</v>
      </c>
      <c r="H290" s="8">
        <v>0</v>
      </c>
      <c r="I290" s="8">
        <v>0</v>
      </c>
      <c r="J290" s="8">
        <v>0</v>
      </c>
      <c r="K290" s="8">
        <v>0</v>
      </c>
      <c r="L290" s="8">
        <v>0</v>
      </c>
      <c r="M290" s="8">
        <v>0</v>
      </c>
      <c r="O290" t="str">
        <f t="shared" si="4"/>
        <v>65790000</v>
      </c>
    </row>
    <row r="291" spans="1:15" x14ac:dyDescent="0.55000000000000004">
      <c r="A291" t="s">
        <v>380</v>
      </c>
      <c r="B291" t="s">
        <v>1234</v>
      </c>
      <c r="C291" s="8">
        <v>555333</v>
      </c>
      <c r="D291" s="8">
        <v>55533</v>
      </c>
      <c r="E291" s="8">
        <v>55533</v>
      </c>
      <c r="F291" s="8">
        <v>55533</v>
      </c>
      <c r="G291" s="8">
        <v>55533</v>
      </c>
      <c r="H291" s="8">
        <v>55533</v>
      </c>
      <c r="I291" s="8">
        <v>55533</v>
      </c>
      <c r="J291" s="8">
        <v>55533</v>
      </c>
      <c r="K291" s="8">
        <v>55533</v>
      </c>
      <c r="L291" s="8">
        <v>55533</v>
      </c>
      <c r="M291" s="8">
        <v>55536</v>
      </c>
      <c r="O291" t="str">
        <f t="shared" si="4"/>
        <v>65920000</v>
      </c>
    </row>
    <row r="292" spans="1:15" hidden="1" x14ac:dyDescent="0.55000000000000004">
      <c r="A292" t="s">
        <v>379</v>
      </c>
      <c r="B292" t="s">
        <v>295</v>
      </c>
      <c r="C292" s="8">
        <v>0</v>
      </c>
      <c r="D292" s="8">
        <v>0</v>
      </c>
      <c r="E292" s="8">
        <v>0</v>
      </c>
      <c r="F292" s="8">
        <v>0</v>
      </c>
      <c r="G292" s="8">
        <v>0</v>
      </c>
      <c r="H292" s="8">
        <v>0</v>
      </c>
      <c r="I292" s="8">
        <v>0</v>
      </c>
      <c r="J292" s="8">
        <v>0</v>
      </c>
      <c r="K292" s="8">
        <v>0</v>
      </c>
      <c r="L292" s="8">
        <v>0</v>
      </c>
      <c r="M292" s="8">
        <v>0</v>
      </c>
      <c r="O292" t="str">
        <f t="shared" si="4"/>
        <v>66150000</v>
      </c>
    </row>
    <row r="293" spans="1:15" x14ac:dyDescent="0.55000000000000004">
      <c r="A293" t="s">
        <v>378</v>
      </c>
      <c r="B293" t="s">
        <v>296</v>
      </c>
      <c r="C293" s="8">
        <v>159983</v>
      </c>
      <c r="D293" s="8">
        <v>15998</v>
      </c>
      <c r="E293" s="8">
        <v>15998</v>
      </c>
      <c r="F293" s="8">
        <v>15998</v>
      </c>
      <c r="G293" s="8">
        <v>15998</v>
      </c>
      <c r="H293" s="8">
        <v>15998</v>
      </c>
      <c r="I293" s="8">
        <v>15998</v>
      </c>
      <c r="J293" s="8">
        <v>15998</v>
      </c>
      <c r="K293" s="8">
        <v>15998</v>
      </c>
      <c r="L293" s="8">
        <v>15998</v>
      </c>
      <c r="M293" s="8">
        <v>16001</v>
      </c>
      <c r="O293" t="str">
        <f t="shared" si="4"/>
        <v>66510000</v>
      </c>
    </row>
    <row r="294" spans="1:15" hidden="1" x14ac:dyDescent="0.55000000000000004">
      <c r="A294" t="s">
        <v>377</v>
      </c>
      <c r="B294" t="s">
        <v>297</v>
      </c>
      <c r="C294" s="8">
        <v>0</v>
      </c>
      <c r="D294" s="8">
        <v>0</v>
      </c>
      <c r="E294" s="8">
        <v>0</v>
      </c>
      <c r="F294" s="8">
        <v>0</v>
      </c>
      <c r="G294" s="8">
        <v>0</v>
      </c>
      <c r="H294" s="8">
        <v>0</v>
      </c>
      <c r="I294" s="8">
        <v>0</v>
      </c>
      <c r="J294" s="8">
        <v>0</v>
      </c>
      <c r="K294" s="8">
        <v>0</v>
      </c>
      <c r="L294" s="8">
        <v>0</v>
      </c>
      <c r="M294" s="8">
        <v>0</v>
      </c>
      <c r="O294" t="str">
        <f t="shared" si="4"/>
        <v>66600000</v>
      </c>
    </row>
    <row r="295" spans="1:15" hidden="1" x14ac:dyDescent="0.55000000000000004">
      <c r="A295" t="s">
        <v>376</v>
      </c>
      <c r="B295" t="s">
        <v>298</v>
      </c>
      <c r="C295" s="8">
        <v>0</v>
      </c>
      <c r="D295" s="8">
        <v>0</v>
      </c>
      <c r="E295" s="8">
        <v>0</v>
      </c>
      <c r="F295" s="8">
        <v>0</v>
      </c>
      <c r="G295" s="8">
        <v>0</v>
      </c>
      <c r="H295" s="8">
        <v>0</v>
      </c>
      <c r="I295" s="8">
        <v>0</v>
      </c>
      <c r="J295" s="8">
        <v>0</v>
      </c>
      <c r="K295" s="8">
        <v>0</v>
      </c>
      <c r="L295" s="8">
        <v>0</v>
      </c>
      <c r="M295" s="8">
        <v>0</v>
      </c>
      <c r="O295" t="str">
        <f t="shared" si="4"/>
        <v>67000000</v>
      </c>
    </row>
    <row r="296" spans="1:15" hidden="1" x14ac:dyDescent="0.55000000000000004">
      <c r="A296" t="s">
        <v>374</v>
      </c>
      <c r="B296" t="s">
        <v>299</v>
      </c>
      <c r="C296" s="8">
        <v>0</v>
      </c>
      <c r="D296" s="8">
        <v>0</v>
      </c>
      <c r="E296" s="8">
        <v>0</v>
      </c>
      <c r="F296" s="8">
        <v>0</v>
      </c>
      <c r="G296" s="8">
        <v>0</v>
      </c>
      <c r="H296" s="8">
        <v>0</v>
      </c>
      <c r="I296" s="8">
        <v>0</v>
      </c>
      <c r="J296" s="8">
        <v>0</v>
      </c>
      <c r="K296" s="8">
        <v>0</v>
      </c>
      <c r="L296" s="8">
        <v>0</v>
      </c>
      <c r="M296" s="8">
        <v>0</v>
      </c>
      <c r="O296" t="str">
        <f t="shared" si="4"/>
        <v>67590000</v>
      </c>
    </row>
    <row r="297" spans="1:15" hidden="1" x14ac:dyDescent="0.55000000000000004">
      <c r="A297" t="s">
        <v>373</v>
      </c>
      <c r="B297" t="s">
        <v>300</v>
      </c>
      <c r="C297" s="8">
        <v>0</v>
      </c>
      <c r="D297" s="8">
        <v>0</v>
      </c>
      <c r="E297" s="8">
        <v>0</v>
      </c>
      <c r="F297" s="8">
        <v>0</v>
      </c>
      <c r="G297" s="8">
        <v>0</v>
      </c>
      <c r="H297" s="8">
        <v>0</v>
      </c>
      <c r="I297" s="8">
        <v>0</v>
      </c>
      <c r="J297" s="8">
        <v>0</v>
      </c>
      <c r="K297" s="8">
        <v>0</v>
      </c>
      <c r="L297" s="8">
        <v>0</v>
      </c>
      <c r="M297" s="8">
        <v>0</v>
      </c>
      <c r="O297" t="str">
        <f t="shared" si="4"/>
        <v>67620000</v>
      </c>
    </row>
    <row r="298" spans="1:15" hidden="1" x14ac:dyDescent="0.55000000000000004">
      <c r="A298" t="s">
        <v>372</v>
      </c>
      <c r="B298" t="s">
        <v>301</v>
      </c>
      <c r="C298" s="8">
        <v>0</v>
      </c>
      <c r="D298" s="8">
        <v>0</v>
      </c>
      <c r="E298" s="8">
        <v>0</v>
      </c>
      <c r="F298" s="8">
        <v>0</v>
      </c>
      <c r="G298" s="8">
        <v>0</v>
      </c>
      <c r="H298" s="8">
        <v>0</v>
      </c>
      <c r="I298" s="8">
        <v>0</v>
      </c>
      <c r="J298" s="8">
        <v>0</v>
      </c>
      <c r="K298" s="8">
        <v>0</v>
      </c>
      <c r="L298" s="8">
        <v>0</v>
      </c>
      <c r="M298" s="8">
        <v>0</v>
      </c>
      <c r="O298" t="str">
        <f t="shared" si="4"/>
        <v>67680000</v>
      </c>
    </row>
    <row r="299" spans="1:15" x14ac:dyDescent="0.55000000000000004">
      <c r="A299" t="s">
        <v>371</v>
      </c>
      <c r="B299" t="s">
        <v>302</v>
      </c>
      <c r="C299" s="8">
        <v>420740</v>
      </c>
      <c r="D299" s="8">
        <v>42074</v>
      </c>
      <c r="E299" s="8">
        <v>42074</v>
      </c>
      <c r="F299" s="8">
        <v>42074</v>
      </c>
      <c r="G299" s="8">
        <v>42074</v>
      </c>
      <c r="H299" s="8">
        <v>42074</v>
      </c>
      <c r="I299" s="8">
        <v>42074</v>
      </c>
      <c r="J299" s="8">
        <v>42074</v>
      </c>
      <c r="K299" s="8">
        <v>42074</v>
      </c>
      <c r="L299" s="8">
        <v>42074</v>
      </c>
      <c r="M299" s="8">
        <v>42074</v>
      </c>
      <c r="O299" t="str">
        <f t="shared" si="4"/>
        <v>67950000</v>
      </c>
    </row>
    <row r="300" spans="1:15" hidden="1" x14ac:dyDescent="0.55000000000000004">
      <c r="A300" t="s">
        <v>370</v>
      </c>
      <c r="B300" t="s">
        <v>303</v>
      </c>
      <c r="C300" s="8">
        <v>0</v>
      </c>
      <c r="D300" s="8">
        <v>0</v>
      </c>
      <c r="E300" s="8">
        <v>0</v>
      </c>
      <c r="F300" s="8">
        <v>0</v>
      </c>
      <c r="G300" s="8">
        <v>0</v>
      </c>
      <c r="H300" s="8">
        <v>0</v>
      </c>
      <c r="I300" s="8">
        <v>0</v>
      </c>
      <c r="J300" s="8">
        <v>0</v>
      </c>
      <c r="K300" s="8">
        <v>0</v>
      </c>
      <c r="L300" s="8">
        <v>0</v>
      </c>
      <c r="M300" s="8">
        <v>0</v>
      </c>
      <c r="O300" t="str">
        <f t="shared" si="4"/>
        <v>68220000</v>
      </c>
    </row>
    <row r="301" spans="1:15" hidden="1" x14ac:dyDescent="0.55000000000000004">
      <c r="A301" t="s">
        <v>369</v>
      </c>
      <c r="B301" t="s">
        <v>304</v>
      </c>
      <c r="C301" s="8">
        <v>0</v>
      </c>
      <c r="D301" s="8">
        <v>0</v>
      </c>
      <c r="E301" s="8">
        <v>0</v>
      </c>
      <c r="F301" s="8">
        <v>0</v>
      </c>
      <c r="G301" s="8">
        <v>0</v>
      </c>
      <c r="H301" s="8">
        <v>0</v>
      </c>
      <c r="I301" s="8">
        <v>0</v>
      </c>
      <c r="J301" s="8">
        <v>0</v>
      </c>
      <c r="K301" s="8">
        <v>0</v>
      </c>
      <c r="L301" s="8">
        <v>0</v>
      </c>
      <c r="M301" s="8">
        <v>0</v>
      </c>
      <c r="O301" t="str">
        <f t="shared" si="4"/>
        <v>68400000</v>
      </c>
    </row>
    <row r="302" spans="1:15" x14ac:dyDescent="0.55000000000000004">
      <c r="A302" t="s">
        <v>368</v>
      </c>
      <c r="B302" t="s">
        <v>305</v>
      </c>
      <c r="C302" s="8">
        <v>79216</v>
      </c>
      <c r="D302" s="8">
        <v>7922</v>
      </c>
      <c r="E302" s="8">
        <v>7922</v>
      </c>
      <c r="F302" s="8">
        <v>7922</v>
      </c>
      <c r="G302" s="8">
        <v>7922</v>
      </c>
      <c r="H302" s="8">
        <v>7922</v>
      </c>
      <c r="I302" s="8">
        <v>7922</v>
      </c>
      <c r="J302" s="8">
        <v>7922</v>
      </c>
      <c r="K302" s="8">
        <v>7922</v>
      </c>
      <c r="L302" s="8">
        <v>7922</v>
      </c>
      <c r="M302" s="8">
        <v>7918</v>
      </c>
      <c r="O302" t="str">
        <f t="shared" si="4"/>
        <v>68540000</v>
      </c>
    </row>
    <row r="303" spans="1:15" x14ac:dyDescent="0.55000000000000004">
      <c r="A303" t="s">
        <v>367</v>
      </c>
      <c r="B303" t="s">
        <v>306</v>
      </c>
      <c r="C303" s="8">
        <v>168812</v>
      </c>
      <c r="D303" s="8">
        <v>16881</v>
      </c>
      <c r="E303" s="8">
        <v>16881</v>
      </c>
      <c r="F303" s="8">
        <v>16881</v>
      </c>
      <c r="G303" s="8">
        <v>16881</v>
      </c>
      <c r="H303" s="8">
        <v>16881</v>
      </c>
      <c r="I303" s="8">
        <v>16881</v>
      </c>
      <c r="J303" s="8">
        <v>16881</v>
      </c>
      <c r="K303" s="8">
        <v>16881</v>
      </c>
      <c r="L303" s="8">
        <v>16881</v>
      </c>
      <c r="M303" s="8">
        <v>16883</v>
      </c>
      <c r="O303" t="str">
        <f t="shared" si="4"/>
        <v>68670000</v>
      </c>
    </row>
    <row r="304" spans="1:15" x14ac:dyDescent="0.55000000000000004">
      <c r="A304" t="s">
        <v>366</v>
      </c>
      <c r="B304" t="s">
        <v>307</v>
      </c>
      <c r="C304" s="8">
        <v>115642</v>
      </c>
      <c r="D304" s="8">
        <v>11564</v>
      </c>
      <c r="E304" s="8">
        <v>11564</v>
      </c>
      <c r="F304" s="8">
        <v>11564</v>
      </c>
      <c r="G304" s="8">
        <v>11564</v>
      </c>
      <c r="H304" s="8">
        <v>11564</v>
      </c>
      <c r="I304" s="8">
        <v>11564</v>
      </c>
      <c r="J304" s="8">
        <v>11564</v>
      </c>
      <c r="K304" s="8">
        <v>11564</v>
      </c>
      <c r="L304" s="8">
        <v>11564</v>
      </c>
      <c r="M304" s="8">
        <v>11566</v>
      </c>
      <c r="O304" t="str">
        <f t="shared" si="4"/>
        <v>69210000</v>
      </c>
    </row>
    <row r="305" spans="1:15" x14ac:dyDescent="0.55000000000000004">
      <c r="A305" t="s">
        <v>365</v>
      </c>
      <c r="B305" t="s">
        <v>308</v>
      </c>
      <c r="C305" s="8">
        <v>35784</v>
      </c>
      <c r="D305" s="8">
        <v>3578</v>
      </c>
      <c r="E305" s="8">
        <v>3578</v>
      </c>
      <c r="F305" s="8">
        <v>3578</v>
      </c>
      <c r="G305" s="8">
        <v>3578</v>
      </c>
      <c r="H305" s="8">
        <v>3578</v>
      </c>
      <c r="I305" s="8">
        <v>3578</v>
      </c>
      <c r="J305" s="8">
        <v>3578</v>
      </c>
      <c r="K305" s="8">
        <v>3578</v>
      </c>
      <c r="L305" s="8">
        <v>3578</v>
      </c>
      <c r="M305" s="8">
        <v>3582</v>
      </c>
      <c r="O305" t="str">
        <f t="shared" si="4"/>
        <v>69300000</v>
      </c>
    </row>
    <row r="306" spans="1:15" hidden="1" x14ac:dyDescent="0.55000000000000004">
      <c r="A306" t="s">
        <v>364</v>
      </c>
      <c r="B306" t="s">
        <v>1235</v>
      </c>
      <c r="C306" s="8">
        <v>0</v>
      </c>
      <c r="D306" s="8">
        <v>0</v>
      </c>
      <c r="E306" s="8">
        <v>0</v>
      </c>
      <c r="F306" s="8">
        <v>0</v>
      </c>
      <c r="G306" s="8">
        <v>0</v>
      </c>
      <c r="H306" s="8">
        <v>0</v>
      </c>
      <c r="I306" s="8">
        <v>0</v>
      </c>
      <c r="J306" s="8">
        <v>0</v>
      </c>
      <c r="K306" s="8">
        <v>0</v>
      </c>
      <c r="L306" s="8">
        <v>0</v>
      </c>
      <c r="M306" s="8">
        <v>0</v>
      </c>
      <c r="O306" t="str">
        <f t="shared" si="4"/>
        <v>69370000</v>
      </c>
    </row>
    <row r="307" spans="1:15" x14ac:dyDescent="0.55000000000000004">
      <c r="A307" t="s">
        <v>363</v>
      </c>
      <c r="B307" t="s">
        <v>310</v>
      </c>
      <c r="C307" s="8">
        <v>19862</v>
      </c>
      <c r="D307" s="8">
        <v>1986</v>
      </c>
      <c r="E307" s="8">
        <v>1986</v>
      </c>
      <c r="F307" s="8">
        <v>1986</v>
      </c>
      <c r="G307" s="8">
        <v>1986</v>
      </c>
      <c r="H307" s="8">
        <v>1986</v>
      </c>
      <c r="I307" s="8">
        <v>1986</v>
      </c>
      <c r="J307" s="8">
        <v>1986</v>
      </c>
      <c r="K307" s="8">
        <v>1986</v>
      </c>
      <c r="L307" s="8">
        <v>1986</v>
      </c>
      <c r="M307" s="8">
        <v>1988</v>
      </c>
      <c r="O307" t="str">
        <f t="shared" si="4"/>
        <v>69430000</v>
      </c>
    </row>
    <row r="308" spans="1:15" x14ac:dyDescent="0.55000000000000004">
      <c r="A308" t="s">
        <v>395</v>
      </c>
      <c r="B308" t="s">
        <v>280</v>
      </c>
      <c r="C308" s="8">
        <v>64487</v>
      </c>
      <c r="D308" s="8">
        <v>6449</v>
      </c>
      <c r="E308" s="8">
        <v>6449</v>
      </c>
      <c r="F308" s="8">
        <v>6449</v>
      </c>
      <c r="G308" s="8">
        <v>6449</v>
      </c>
      <c r="H308" s="8">
        <v>6449</v>
      </c>
      <c r="I308" s="8">
        <v>6449</v>
      </c>
      <c r="J308" s="8">
        <v>6449</v>
      </c>
      <c r="K308" s="8">
        <v>6449</v>
      </c>
      <c r="L308" s="8">
        <v>6449</v>
      </c>
      <c r="M308" s="8">
        <v>6446</v>
      </c>
      <c r="O308" t="str">
        <f t="shared" si="4"/>
        <v>62640000</v>
      </c>
    </row>
    <row r="309" spans="1:15" x14ac:dyDescent="0.55000000000000004">
      <c r="A309" t="s">
        <v>362</v>
      </c>
      <c r="B309" t="s">
        <v>1236</v>
      </c>
      <c r="C309" s="8">
        <v>211</v>
      </c>
      <c r="D309" s="8">
        <v>21</v>
      </c>
      <c r="E309" s="8">
        <v>21</v>
      </c>
      <c r="F309" s="8">
        <v>21</v>
      </c>
      <c r="G309" s="8">
        <v>21</v>
      </c>
      <c r="H309" s="8">
        <v>21</v>
      </c>
      <c r="I309" s="8">
        <v>21</v>
      </c>
      <c r="J309" s="8">
        <v>21</v>
      </c>
      <c r="K309" s="8">
        <v>21</v>
      </c>
      <c r="L309" s="8">
        <v>21</v>
      </c>
      <c r="M309" s="8">
        <v>22</v>
      </c>
      <c r="O309" t="str">
        <f t="shared" si="4"/>
        <v>69500000</v>
      </c>
    </row>
    <row r="310" spans="1:15" hidden="1" x14ac:dyDescent="0.55000000000000004">
      <c r="A310" t="s">
        <v>361</v>
      </c>
      <c r="B310" t="s">
        <v>312</v>
      </c>
      <c r="C310" s="8">
        <v>0</v>
      </c>
      <c r="D310" s="8">
        <v>0</v>
      </c>
      <c r="E310" s="8">
        <v>0</v>
      </c>
      <c r="F310" s="8">
        <v>0</v>
      </c>
      <c r="G310" s="8">
        <v>0</v>
      </c>
      <c r="H310" s="8">
        <v>0</v>
      </c>
      <c r="I310" s="8">
        <v>0</v>
      </c>
      <c r="J310" s="8">
        <v>0</v>
      </c>
      <c r="K310" s="8">
        <v>0</v>
      </c>
      <c r="L310" s="8">
        <v>0</v>
      </c>
      <c r="M310" s="8">
        <v>0</v>
      </c>
      <c r="O310" t="str">
        <f t="shared" si="4"/>
        <v>69570000</v>
      </c>
    </row>
    <row r="311" spans="1:15" x14ac:dyDescent="0.55000000000000004">
      <c r="A311" t="s">
        <v>421</v>
      </c>
      <c r="B311" t="s">
        <v>1196</v>
      </c>
      <c r="C311" s="8">
        <v>173787</v>
      </c>
      <c r="D311" s="8">
        <v>17379</v>
      </c>
      <c r="E311" s="8">
        <v>17379</v>
      </c>
      <c r="F311" s="8">
        <v>17379</v>
      </c>
      <c r="G311" s="8">
        <v>17379</v>
      </c>
      <c r="H311" s="8">
        <v>17379</v>
      </c>
      <c r="I311" s="8">
        <v>17379</v>
      </c>
      <c r="J311" s="8">
        <v>17379</v>
      </c>
      <c r="K311" s="8">
        <v>17379</v>
      </c>
      <c r="L311" s="8">
        <v>17379</v>
      </c>
      <c r="M311" s="8">
        <v>17376</v>
      </c>
      <c r="O311" t="str">
        <f t="shared" si="4"/>
        <v>59220000</v>
      </c>
    </row>
    <row r="312" spans="1:15" x14ac:dyDescent="0.55000000000000004">
      <c r="A312" t="s">
        <v>644</v>
      </c>
      <c r="B312" t="s">
        <v>51</v>
      </c>
      <c r="C312" s="8">
        <v>59924</v>
      </c>
      <c r="D312" s="8">
        <v>5992</v>
      </c>
      <c r="E312" s="8">
        <v>5992</v>
      </c>
      <c r="F312" s="8">
        <v>5992</v>
      </c>
      <c r="G312" s="8">
        <v>5992</v>
      </c>
      <c r="H312" s="8">
        <v>5992</v>
      </c>
      <c r="I312" s="8">
        <v>5992</v>
      </c>
      <c r="J312" s="8">
        <v>5992</v>
      </c>
      <c r="K312" s="8">
        <v>5992</v>
      </c>
      <c r="L312" s="8">
        <v>5992</v>
      </c>
      <c r="M312" s="8">
        <v>5996</v>
      </c>
      <c r="O312" t="str">
        <f t="shared" si="4"/>
        <v>08190000</v>
      </c>
    </row>
    <row r="313" spans="1:15" x14ac:dyDescent="0.55000000000000004">
      <c r="A313" t="s">
        <v>359</v>
      </c>
      <c r="B313" t="s">
        <v>314</v>
      </c>
      <c r="C313" s="8">
        <v>33308</v>
      </c>
      <c r="D313" s="8">
        <v>3331</v>
      </c>
      <c r="E313" s="8">
        <v>3331</v>
      </c>
      <c r="F313" s="8">
        <v>3331</v>
      </c>
      <c r="G313" s="8">
        <v>3331</v>
      </c>
      <c r="H313" s="8">
        <v>3331</v>
      </c>
      <c r="I313" s="8">
        <v>3331</v>
      </c>
      <c r="J313" s="8">
        <v>3331</v>
      </c>
      <c r="K313" s="8">
        <v>3331</v>
      </c>
      <c r="L313" s="8">
        <v>3331</v>
      </c>
      <c r="M313" s="8">
        <v>3329</v>
      </c>
      <c r="O313" t="str">
        <f t="shared" si="4"/>
        <v>69690000</v>
      </c>
    </row>
    <row r="314" spans="1:15" hidden="1" x14ac:dyDescent="0.55000000000000004">
      <c r="A314" t="s">
        <v>358</v>
      </c>
      <c r="B314" t="s">
        <v>315</v>
      </c>
      <c r="C314" s="8">
        <v>0</v>
      </c>
      <c r="D314" s="8">
        <v>0</v>
      </c>
      <c r="E314" s="8">
        <v>0</v>
      </c>
      <c r="F314" s="8">
        <v>0</v>
      </c>
      <c r="G314" s="8">
        <v>0</v>
      </c>
      <c r="H314" s="8">
        <v>0</v>
      </c>
      <c r="I314" s="8">
        <v>0</v>
      </c>
      <c r="J314" s="8">
        <v>0</v>
      </c>
      <c r="K314" s="8">
        <v>0</v>
      </c>
      <c r="L314" s="8">
        <v>0</v>
      </c>
      <c r="M314" s="8">
        <v>0</v>
      </c>
      <c r="O314" t="str">
        <f t="shared" si="4"/>
        <v>69750000</v>
      </c>
    </row>
    <row r="315" spans="1:15" x14ac:dyDescent="0.55000000000000004">
      <c r="A315" t="s">
        <v>357</v>
      </c>
      <c r="B315" t="s">
        <v>316</v>
      </c>
      <c r="C315" s="8">
        <v>204496</v>
      </c>
      <c r="D315" s="8">
        <v>20450</v>
      </c>
      <c r="E315" s="8">
        <v>20450</v>
      </c>
      <c r="F315" s="8">
        <v>20450</v>
      </c>
      <c r="G315" s="8">
        <v>20450</v>
      </c>
      <c r="H315" s="8">
        <v>20450</v>
      </c>
      <c r="I315" s="8">
        <v>20450</v>
      </c>
      <c r="J315" s="8">
        <v>20450</v>
      </c>
      <c r="K315" s="8">
        <v>20450</v>
      </c>
      <c r="L315" s="8">
        <v>20450</v>
      </c>
      <c r="M315" s="8">
        <v>20446</v>
      </c>
      <c r="O315" t="str">
        <f t="shared" si="4"/>
        <v>69830000</v>
      </c>
    </row>
    <row r="316" spans="1:15" x14ac:dyDescent="0.55000000000000004">
      <c r="A316" t="s">
        <v>356</v>
      </c>
      <c r="B316" t="s">
        <v>317</v>
      </c>
      <c r="C316" s="8">
        <v>104505</v>
      </c>
      <c r="D316" s="8">
        <v>10451</v>
      </c>
      <c r="E316" s="8">
        <v>10451</v>
      </c>
      <c r="F316" s="8">
        <v>10451</v>
      </c>
      <c r="G316" s="8">
        <v>10451</v>
      </c>
      <c r="H316" s="8">
        <v>10451</v>
      </c>
      <c r="I316" s="8">
        <v>10451</v>
      </c>
      <c r="J316" s="8">
        <v>10451</v>
      </c>
      <c r="K316" s="8">
        <v>10451</v>
      </c>
      <c r="L316" s="8">
        <v>10451</v>
      </c>
      <c r="M316" s="8">
        <v>10446</v>
      </c>
      <c r="O316" t="str">
        <f t="shared" si="4"/>
        <v>69850000</v>
      </c>
    </row>
    <row r="317" spans="1:15" x14ac:dyDescent="0.55000000000000004">
      <c r="A317" t="s">
        <v>355</v>
      </c>
      <c r="B317" t="s">
        <v>318</v>
      </c>
      <c r="C317" s="8">
        <v>40355</v>
      </c>
      <c r="D317" s="8">
        <v>4036</v>
      </c>
      <c r="E317" s="8">
        <v>4036</v>
      </c>
      <c r="F317" s="8">
        <v>4036</v>
      </c>
      <c r="G317" s="8">
        <v>4036</v>
      </c>
      <c r="H317" s="8">
        <v>4036</v>
      </c>
      <c r="I317" s="8">
        <v>4036</v>
      </c>
      <c r="J317" s="8">
        <v>4036</v>
      </c>
      <c r="K317" s="8">
        <v>4036</v>
      </c>
      <c r="L317" s="8">
        <v>4036</v>
      </c>
      <c r="M317" s="8">
        <v>4031</v>
      </c>
      <c r="O317" t="str">
        <f t="shared" si="4"/>
        <v>69870000</v>
      </c>
    </row>
    <row r="318" spans="1:15" x14ac:dyDescent="0.55000000000000004">
      <c r="A318" t="s">
        <v>354</v>
      </c>
      <c r="B318" t="s">
        <v>319</v>
      </c>
      <c r="C318" s="8">
        <v>29310</v>
      </c>
      <c r="D318" s="8">
        <v>2931</v>
      </c>
      <c r="E318" s="8">
        <v>2931</v>
      </c>
      <c r="F318" s="8">
        <v>2931</v>
      </c>
      <c r="G318" s="8">
        <v>2931</v>
      </c>
      <c r="H318" s="8">
        <v>2931</v>
      </c>
      <c r="I318" s="8">
        <v>2931</v>
      </c>
      <c r="J318" s="8">
        <v>2931</v>
      </c>
      <c r="K318" s="8">
        <v>2931</v>
      </c>
      <c r="L318" s="8">
        <v>2931</v>
      </c>
      <c r="M318" s="8">
        <v>2931</v>
      </c>
      <c r="O318" t="str">
        <f t="shared" si="4"/>
        <v>69900000</v>
      </c>
    </row>
    <row r="319" spans="1:15" x14ac:dyDescent="0.55000000000000004">
      <c r="A319" t="s">
        <v>360</v>
      </c>
      <c r="B319" t="s">
        <v>1237</v>
      </c>
      <c r="C319" s="8">
        <v>487295</v>
      </c>
      <c r="D319" s="8">
        <v>48730</v>
      </c>
      <c r="E319" s="8">
        <v>48730</v>
      </c>
      <c r="F319" s="8">
        <v>48730</v>
      </c>
      <c r="G319" s="8">
        <v>48730</v>
      </c>
      <c r="H319" s="8">
        <v>48730</v>
      </c>
      <c r="I319" s="8">
        <v>48730</v>
      </c>
      <c r="J319" s="8">
        <v>48730</v>
      </c>
      <c r="K319" s="8">
        <v>48730</v>
      </c>
      <c r="L319" s="8">
        <v>48730</v>
      </c>
      <c r="M319" s="8">
        <v>48725</v>
      </c>
      <c r="O319" t="str">
        <f t="shared" si="4"/>
        <v>69610000</v>
      </c>
    </row>
    <row r="320" spans="1:15" x14ac:dyDescent="0.55000000000000004">
      <c r="A320" t="s">
        <v>353</v>
      </c>
      <c r="B320" t="s">
        <v>320</v>
      </c>
      <c r="C320" s="8">
        <v>244129</v>
      </c>
      <c r="D320" s="8">
        <v>24413</v>
      </c>
      <c r="E320" s="8">
        <v>24413</v>
      </c>
      <c r="F320" s="8">
        <v>24413</v>
      </c>
      <c r="G320" s="8">
        <v>24413</v>
      </c>
      <c r="H320" s="8">
        <v>24413</v>
      </c>
      <c r="I320" s="8">
        <v>24413</v>
      </c>
      <c r="J320" s="8">
        <v>24413</v>
      </c>
      <c r="K320" s="8">
        <v>24413</v>
      </c>
      <c r="L320" s="8">
        <v>24413</v>
      </c>
      <c r="M320" s="8">
        <v>24412</v>
      </c>
      <c r="O320" t="str">
        <f t="shared" si="4"/>
        <v>69920000</v>
      </c>
    </row>
    <row r="321" spans="1:15" hidden="1" x14ac:dyDescent="0.55000000000000004">
      <c r="A321" t="s">
        <v>352</v>
      </c>
      <c r="B321" t="s">
        <v>321</v>
      </c>
      <c r="C321" s="8">
        <v>0</v>
      </c>
      <c r="D321" s="8">
        <v>0</v>
      </c>
      <c r="E321" s="8">
        <v>0</v>
      </c>
      <c r="F321" s="8">
        <v>0</v>
      </c>
      <c r="G321" s="8">
        <v>0</v>
      </c>
      <c r="H321" s="8">
        <v>0</v>
      </c>
      <c r="I321" s="8">
        <v>0</v>
      </c>
      <c r="J321" s="8">
        <v>0</v>
      </c>
      <c r="K321" s="8">
        <v>0</v>
      </c>
      <c r="L321" s="8">
        <v>0</v>
      </c>
      <c r="M321" s="8">
        <v>0</v>
      </c>
      <c r="O321" t="str">
        <f t="shared" si="4"/>
        <v>70020000</v>
      </c>
    </row>
    <row r="322" spans="1:15" x14ac:dyDescent="0.55000000000000004">
      <c r="A322" t="s">
        <v>351</v>
      </c>
      <c r="B322" t="s">
        <v>322</v>
      </c>
      <c r="C322" s="8">
        <v>103797</v>
      </c>
      <c r="D322" s="8">
        <v>10380</v>
      </c>
      <c r="E322" s="8">
        <v>10380</v>
      </c>
      <c r="F322" s="8">
        <v>10380</v>
      </c>
      <c r="G322" s="8">
        <v>10380</v>
      </c>
      <c r="H322" s="8">
        <v>10380</v>
      </c>
      <c r="I322" s="8">
        <v>10380</v>
      </c>
      <c r="J322" s="8">
        <v>10380</v>
      </c>
      <c r="K322" s="8">
        <v>10380</v>
      </c>
      <c r="L322" s="8">
        <v>10380</v>
      </c>
      <c r="M322" s="8">
        <v>10377</v>
      </c>
      <c r="O322" t="str">
        <f t="shared" si="4"/>
        <v>70290000</v>
      </c>
    </row>
    <row r="323" spans="1:15" hidden="1" x14ac:dyDescent="0.55000000000000004">
      <c r="A323" t="s">
        <v>350</v>
      </c>
      <c r="B323" t="s">
        <v>323</v>
      </c>
      <c r="C323" s="8">
        <v>0</v>
      </c>
      <c r="D323" s="8">
        <v>0</v>
      </c>
      <c r="E323" s="8">
        <v>0</v>
      </c>
      <c r="F323" s="8">
        <v>0</v>
      </c>
      <c r="G323" s="8">
        <v>0</v>
      </c>
      <c r="H323" s="8">
        <v>0</v>
      </c>
      <c r="I323" s="8">
        <v>0</v>
      </c>
      <c r="J323" s="8">
        <v>0</v>
      </c>
      <c r="K323" s="8">
        <v>0</v>
      </c>
      <c r="L323" s="8">
        <v>0</v>
      </c>
      <c r="M323" s="8">
        <v>0</v>
      </c>
      <c r="O323" t="str">
        <f t="shared" ref="O323:O328" si="5">CONCATENATE(A323,"0000")</f>
        <v>70380000</v>
      </c>
    </row>
    <row r="324" spans="1:15" hidden="1" x14ac:dyDescent="0.55000000000000004">
      <c r="A324" t="s">
        <v>349</v>
      </c>
      <c r="B324" t="s">
        <v>324</v>
      </c>
      <c r="C324" s="8">
        <v>0</v>
      </c>
      <c r="D324" s="8">
        <v>0</v>
      </c>
      <c r="E324" s="8">
        <v>0</v>
      </c>
      <c r="F324" s="8">
        <v>0</v>
      </c>
      <c r="G324" s="8">
        <v>0</v>
      </c>
      <c r="H324" s="8">
        <v>0</v>
      </c>
      <c r="I324" s="8">
        <v>0</v>
      </c>
      <c r="J324" s="8">
        <v>0</v>
      </c>
      <c r="K324" s="8">
        <v>0</v>
      </c>
      <c r="L324" s="8">
        <v>0</v>
      </c>
      <c r="M324" s="8">
        <v>0</v>
      </c>
      <c r="O324" t="str">
        <f t="shared" si="5"/>
        <v>70470000</v>
      </c>
    </row>
    <row r="325" spans="1:15" x14ac:dyDescent="0.55000000000000004">
      <c r="A325" t="s">
        <v>348</v>
      </c>
      <c r="B325" t="s">
        <v>325</v>
      </c>
      <c r="C325" s="8">
        <v>157938</v>
      </c>
      <c r="D325" s="8">
        <v>15794</v>
      </c>
      <c r="E325" s="8">
        <v>15794</v>
      </c>
      <c r="F325" s="8">
        <v>15794</v>
      </c>
      <c r="G325" s="8">
        <v>15794</v>
      </c>
      <c r="H325" s="8">
        <v>15794</v>
      </c>
      <c r="I325" s="8">
        <v>15794</v>
      </c>
      <c r="J325" s="8">
        <v>15794</v>
      </c>
      <c r="K325" s="8">
        <v>15794</v>
      </c>
      <c r="L325" s="8">
        <v>15794</v>
      </c>
      <c r="M325" s="8">
        <v>15792</v>
      </c>
      <c r="O325" t="str">
        <f t="shared" si="5"/>
        <v>70560000</v>
      </c>
    </row>
    <row r="326" spans="1:15" hidden="1" x14ac:dyDescent="0.55000000000000004">
      <c r="A326" t="s">
        <v>347</v>
      </c>
      <c r="B326" t="s">
        <v>326</v>
      </c>
      <c r="C326" s="8">
        <v>0</v>
      </c>
      <c r="D326" s="8">
        <v>0</v>
      </c>
      <c r="E326" s="8">
        <v>0</v>
      </c>
      <c r="F326" s="8">
        <v>0</v>
      </c>
      <c r="G326" s="8">
        <v>0</v>
      </c>
      <c r="H326" s="8">
        <v>0</v>
      </c>
      <c r="I326" s="8">
        <v>0</v>
      </c>
      <c r="J326" s="8">
        <v>0</v>
      </c>
      <c r="K326" s="8">
        <v>0</v>
      </c>
      <c r="L326" s="8">
        <v>0</v>
      </c>
      <c r="M326" s="8">
        <v>0</v>
      </c>
      <c r="O326" t="str">
        <f t="shared" si="5"/>
        <v>70920000</v>
      </c>
    </row>
    <row r="327" spans="1:15" x14ac:dyDescent="0.55000000000000004">
      <c r="A327" t="s">
        <v>346</v>
      </c>
      <c r="B327" t="s">
        <v>327</v>
      </c>
      <c r="C327" s="8">
        <v>103285</v>
      </c>
      <c r="D327" s="8">
        <v>10329</v>
      </c>
      <c r="E327" s="8">
        <v>10329</v>
      </c>
      <c r="F327" s="8">
        <v>10329</v>
      </c>
      <c r="G327" s="8">
        <v>10329</v>
      </c>
      <c r="H327" s="8">
        <v>10329</v>
      </c>
      <c r="I327" s="8">
        <v>10329</v>
      </c>
      <c r="J327" s="8">
        <v>10329</v>
      </c>
      <c r="K327" s="8">
        <v>10329</v>
      </c>
      <c r="L327" s="8">
        <v>10329</v>
      </c>
      <c r="M327" s="8">
        <v>10324</v>
      </c>
      <c r="O327" t="str">
        <f t="shared" si="5"/>
        <v>70980000</v>
      </c>
    </row>
    <row r="328" spans="1:15" x14ac:dyDescent="0.55000000000000004">
      <c r="A328" t="s">
        <v>345</v>
      </c>
      <c r="B328" t="s">
        <v>328</v>
      </c>
      <c r="C328" s="8">
        <v>50516</v>
      </c>
      <c r="D328" s="8">
        <v>5052</v>
      </c>
      <c r="E328" s="8">
        <v>5052</v>
      </c>
      <c r="F328" s="8">
        <v>5052</v>
      </c>
      <c r="G328" s="8">
        <v>5052</v>
      </c>
      <c r="H328" s="8">
        <v>5052</v>
      </c>
      <c r="I328" s="8">
        <v>5052</v>
      </c>
      <c r="J328" s="8">
        <v>5052</v>
      </c>
      <c r="K328" s="8">
        <v>5052</v>
      </c>
      <c r="L328" s="8">
        <v>5052</v>
      </c>
      <c r="M328" s="8">
        <v>5048</v>
      </c>
      <c r="O328" t="str">
        <f t="shared" si="5"/>
        <v>71100000</v>
      </c>
    </row>
  </sheetData>
  <autoFilter ref="A1:M328">
    <filterColumn colId="2">
      <filters>
        <filter val="102,073.00"/>
        <filter val="103,285.00"/>
        <filter val="103,797.00"/>
        <filter val="104,330.00"/>
        <filter val="104,505.00"/>
        <filter val="105,697.00"/>
        <filter val="106,598.00"/>
        <filter val="108,810.00"/>
        <filter val="109,802.00"/>
        <filter val="11,887.00"/>
        <filter val="110,429.00"/>
        <filter val="110,900.00"/>
        <filter val="111,479.00"/>
        <filter val="111,897.00"/>
        <filter val="115,396.00"/>
        <filter val="115,642.00"/>
        <filter val="116,635.00"/>
        <filter val="116,854.00"/>
        <filter val="117,646.00"/>
        <filter val="118,760.00"/>
        <filter val="122,045.00"/>
        <filter val="123,456.00"/>
        <filter val="124,127.00"/>
        <filter val="124,232.00"/>
        <filter val="125,429.00"/>
        <filter val="127,403.00"/>
        <filter val="127,613.00"/>
        <filter val="127,717.00"/>
        <filter val="128,925.00"/>
        <filter val="130,945.00"/>
        <filter val="133,374.00"/>
        <filter val="133,536.00"/>
        <filter val="134,675.00"/>
        <filter val="134,938.00"/>
        <filter val="136,688.00"/>
        <filter val="138,183.00"/>
        <filter val="14,468.00"/>
        <filter val="14,721.00"/>
        <filter val="14,823.00"/>
        <filter val="140,699.00"/>
        <filter val="141,757.00"/>
        <filter val="144,105.00"/>
        <filter val="146,478.00"/>
        <filter val="147,260.00"/>
        <filter val="147,679.00"/>
        <filter val="147,977.00"/>
        <filter val="15,487.00"/>
        <filter val="152,589.00"/>
        <filter val="156,860.00"/>
        <filter val="157,938.00"/>
        <filter val="159,983.00"/>
        <filter val="166,354.00"/>
        <filter val="168,812.00"/>
        <filter val="171,082.00"/>
        <filter val="172,859.00"/>
        <filter val="173,787.00"/>
        <filter val="174,747.00"/>
        <filter val="175,554.00"/>
        <filter val="177,055.00"/>
        <filter val="18,017.00"/>
        <filter val="185,819.00"/>
        <filter val="186,218.00"/>
        <filter val="186,513.00"/>
        <filter val="186,535.00"/>
        <filter val="19,116.00"/>
        <filter val="19,206.00"/>
        <filter val="19,862.00"/>
        <filter val="192,663.00"/>
        <filter val="198,946.00"/>
        <filter val="20,245.00"/>
        <filter val="204,496.00"/>
        <filter val="21,359.00"/>
        <filter val="21,496.00"/>
        <filter val="211.00"/>
        <filter val="219,647.00"/>
        <filter val="22,551.00"/>
        <filter val="22,666.00"/>
        <filter val="226,855.00"/>
        <filter val="234,820.00"/>
        <filter val="237,380.00"/>
        <filter val="239,023.00"/>
        <filter val="239,036.00"/>
        <filter val="239,241.00"/>
        <filter val="239,483.00"/>
        <filter val="24,180.00"/>
        <filter val="24,255.00"/>
        <filter val="244,129.00"/>
        <filter val="244,852.00"/>
        <filter val="245,678.00"/>
        <filter val="249,423.00"/>
        <filter val="25,098.00"/>
        <filter val="255,482.00"/>
        <filter val="258,438.00"/>
        <filter val="26,813.00"/>
        <filter val="26,836.00"/>
        <filter val="27,151.00"/>
        <filter val="27,527.00"/>
        <filter val="270,530.00"/>
        <filter val="271,428.00"/>
        <filter val="275,145.00"/>
        <filter val="28,168.00"/>
        <filter val="28,530.00"/>
        <filter val="28,882.00"/>
        <filter val="29,310.00"/>
        <filter val="294,913.00"/>
        <filter val="3,726.00"/>
        <filter val="30,307.00"/>
        <filter val="30,560.00"/>
        <filter val="30,675.00"/>
        <filter val="30,825.00"/>
        <filter val="31,480.00"/>
        <filter val="32,723.00"/>
        <filter val="324,433.00"/>
        <filter val="326,223.00"/>
        <filter val="329,646.00"/>
        <filter val="33,308.00"/>
        <filter val="33,484.00"/>
        <filter val="33,755.00"/>
        <filter val="334,581.00"/>
        <filter val="342,602.00"/>
        <filter val="35,612.00"/>
        <filter val="35,784.00"/>
        <filter val="36,184.00"/>
        <filter val="373,565.00"/>
        <filter val="38,465.00"/>
        <filter val="380,049.00"/>
        <filter val="40,355.00"/>
        <filter val="41,201.00"/>
        <filter val="41,209.00"/>
        <filter val="411,458.00"/>
        <filter val="42,527.00"/>
        <filter val="420,740.00"/>
        <filter val="43,361.00"/>
        <filter val="44,544.00"/>
        <filter val="44,820.00"/>
        <filter val="44,867.00"/>
        <filter val="45,138.00"/>
        <filter val="45,246.00"/>
        <filter val="45,325.00"/>
        <filter val="45,957.00"/>
        <filter val="454,643.00"/>
        <filter val="48,804.00"/>
        <filter val="485,930.00"/>
        <filter val="487,295.00"/>
        <filter val="49,332.00"/>
        <filter val="49,948.00"/>
        <filter val="50,247.00"/>
        <filter val="50,516.00"/>
        <filter val="51,103.00"/>
        <filter val="52,819.00"/>
        <filter val="53,029.00"/>
        <filter val="53,645.00"/>
        <filter val="53,885.00"/>
        <filter val="54,130.00"/>
        <filter val="55,034.00"/>
        <filter val="55,895.00"/>
        <filter val="555,333.00"/>
        <filter val="57,706.00"/>
        <filter val="59,447.00"/>
        <filter val="59,814.00"/>
        <filter val="59,924.00"/>
        <filter val="6,011.00"/>
        <filter val="61,992.00"/>
        <filter val="62,666.00"/>
        <filter val="62,865.00"/>
        <filter val="62,904.00"/>
        <filter val="64,487.00"/>
        <filter val="66,360.00"/>
        <filter val="67,529.00"/>
        <filter val="68,091.00"/>
        <filter val="69,599.00"/>
        <filter val="7,890.00"/>
        <filter val="71,489.00"/>
        <filter val="72,033.00"/>
        <filter val="72,337.00"/>
        <filter val="72,718.00"/>
        <filter val="73,035.00"/>
        <filter val="74,150.00"/>
        <filter val="74,305.00"/>
        <filter val="76,331.00"/>
        <filter val="77,011.00"/>
        <filter val="77,258.00"/>
        <filter val="79,216.00"/>
        <filter val="79,596.00"/>
        <filter val="809,241.00"/>
        <filter val="81,639.00"/>
        <filter val="81,754.00"/>
        <filter val="82,071.00"/>
        <filter val="84,144.00"/>
        <filter val="84,955.00"/>
        <filter val="86,011.00"/>
        <filter val="86,096.00"/>
        <filter val="86,688.00"/>
        <filter val="86,969.00"/>
        <filter val="88,361.00"/>
        <filter val="89,209.00"/>
        <filter val="89,345.00"/>
        <filter val="89,369.00"/>
        <filter val="89,939.00"/>
        <filter val="89,989.00"/>
        <filter val="97,023.00"/>
        <filter val="98,156.00"/>
      </filters>
    </filterColumn>
  </autoFilter>
  <sortState ref="A2:K331">
    <sortCondition ref="A2:A33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2"/>
  <sheetViews>
    <sheetView topLeftCell="A169" workbookViewId="0">
      <selection activeCell="F185" sqref="F185:F202"/>
    </sheetView>
  </sheetViews>
  <sheetFormatPr defaultRowHeight="14.4" x14ac:dyDescent="0.55000000000000004"/>
  <cols>
    <col min="2" max="2" width="10.83984375" style="9" customWidth="1"/>
  </cols>
  <sheetData>
    <row r="1" spans="1:6" x14ac:dyDescent="0.55000000000000004">
      <c r="A1" t="s">
        <v>1057</v>
      </c>
      <c r="B1" s="9">
        <f>INDEX(Payment!$A$2:$M$328,MATCH(LEFT('Payment 1 through 9'!$A1,4),Payment!$A$2:$A$328,0),4)</f>
        <v>18622</v>
      </c>
      <c r="F1" s="9">
        <f>INDEX(FinalPayment!$F$2:$R$328,MATCH(LEFT('Payment 1 through 9'!$A1,4),FinalPayment!$F$2:$F$328,0),4)-B1</f>
        <v>327</v>
      </c>
    </row>
    <row r="2" spans="1:6" x14ac:dyDescent="0.55000000000000004">
      <c r="A2" t="s">
        <v>1323</v>
      </c>
      <c r="B2" s="9">
        <f>INDEX(Payment!$A$2:$M$328,MATCH(LEFT('Payment 1 through 9'!$A2,4),Payment!$A$2:$A$328,0),4)</f>
        <v>5945</v>
      </c>
      <c r="F2" s="9">
        <f>INDEX(FinalPayment!$F$2:$R$328,MATCH(LEFT('Payment 1 through 9'!$A2,4),FinalPayment!$F$2:$F$328,0),4)-B2</f>
        <v>1902</v>
      </c>
    </row>
    <row r="3" spans="1:6" x14ac:dyDescent="0.55000000000000004">
      <c r="A3" t="s">
        <v>1056</v>
      </c>
      <c r="B3" s="9">
        <f>INDEX(Payment!$A$2:$M$328,MATCH(LEFT('Payment 1 through 9'!$A3,4),Payment!$A$2:$A$328,0),4)</f>
        <v>17555</v>
      </c>
      <c r="F3" s="9">
        <f>INDEX(FinalPayment!$F$2:$R$328,MATCH(LEFT('Payment 1 through 9'!$A3,4),FinalPayment!$F$2:$F$328,0),4)-B3</f>
        <v>684</v>
      </c>
    </row>
    <row r="4" spans="1:6" x14ac:dyDescent="0.55000000000000004">
      <c r="A4" t="s">
        <v>1068</v>
      </c>
      <c r="B4" s="9">
        <f>INDEX(Payment!$A$2:$M$328,MATCH(LEFT('Payment 1 through 9'!$A4,4),Payment!$A$2:$A$328,0),4)</f>
        <v>8669</v>
      </c>
      <c r="F4" s="9">
        <f>INDEX(FinalPayment!$F$2:$R$328,MATCH(LEFT('Payment 1 through 9'!$A4,4),FinalPayment!$F$2:$F$328,0),4)-B4</f>
        <v>830</v>
      </c>
    </row>
    <row r="5" spans="1:6" x14ac:dyDescent="0.55000000000000004">
      <c r="A5" t="s">
        <v>1058</v>
      </c>
      <c r="B5" s="9">
        <f>INDEX(Payment!$A$2:$M$328,MATCH(LEFT('Payment 1 through 9'!$A5,4),Payment!$A$2:$A$328,0),4)</f>
        <v>14798</v>
      </c>
      <c r="F5" s="9">
        <f>INDEX(FinalPayment!$F$2:$R$328,MATCH(LEFT('Payment 1 through 9'!$A5,4),FinalPayment!$F$2:$F$328,0),4)-B5</f>
        <v>596</v>
      </c>
    </row>
    <row r="6" spans="1:6" x14ac:dyDescent="0.55000000000000004">
      <c r="A6" t="s">
        <v>1059</v>
      </c>
      <c r="B6" s="9">
        <f>INDEX(Payment!$A$2:$M$328,MATCH(LEFT('Payment 1 through 9'!$A6,4),Payment!$A$2:$A$328,0),4)</f>
        <v>11190</v>
      </c>
      <c r="F6" s="9">
        <f>INDEX(FinalPayment!$F$2:$R$328,MATCH(LEFT('Payment 1 through 9'!$A6,4),FinalPayment!$F$2:$F$328,0),4)-B6</f>
        <v>214</v>
      </c>
    </row>
    <row r="7" spans="1:6" x14ac:dyDescent="0.55000000000000004">
      <c r="A7" t="s">
        <v>1324</v>
      </c>
      <c r="B7" s="9">
        <f>INDEX(Payment!$A$2:$M$328,MATCH(LEFT('Payment 1 through 9'!$A7,4),Payment!$A$2:$A$328,0),4)</f>
        <v>1802</v>
      </c>
      <c r="F7" s="9">
        <f>INDEX(FinalPayment!$F$2:$R$328,MATCH(LEFT('Payment 1 through 9'!$A7,4),FinalPayment!$F$2:$F$328,0),4)-B7</f>
        <v>1231</v>
      </c>
    </row>
    <row r="8" spans="1:6" x14ac:dyDescent="0.55000000000000004">
      <c r="A8" t="s">
        <v>1060</v>
      </c>
      <c r="B8" s="9">
        <f>INDEX(Payment!$A$2:$M$328,MATCH(LEFT('Payment 1 through 9'!$A8,4),Payment!$A$2:$A$328,0),4)</f>
        <v>14070</v>
      </c>
      <c r="F8" s="9">
        <f>INDEX(FinalPayment!$F$2:$R$328,MATCH(LEFT('Payment 1 through 9'!$A8,4),FinalPayment!$F$2:$F$328,0),4)-B8</f>
        <v>544</v>
      </c>
    </row>
    <row r="9" spans="1:6" x14ac:dyDescent="0.55000000000000004">
      <c r="A9" t="s">
        <v>1061</v>
      </c>
      <c r="B9" s="9">
        <f>INDEX(Payment!$A$2:$M$328,MATCH(LEFT('Payment 1 through 9'!$A9,4),Payment!$A$2:$A$328,0),4)</f>
        <v>4121</v>
      </c>
      <c r="F9" s="9">
        <f>INDEX(FinalPayment!$F$2:$R$328,MATCH(LEFT('Payment 1 through 9'!$A9,4),FinalPayment!$F$2:$F$328,0),4)-B9</f>
        <v>290</v>
      </c>
    </row>
    <row r="10" spans="1:6" x14ac:dyDescent="0.55000000000000004">
      <c r="A10" t="s">
        <v>1238</v>
      </c>
      <c r="B10" s="9">
        <f>INDEX(Payment!$A$2:$M$328,MATCH(LEFT('Payment 1 through 9'!$A10,4),Payment!$A$2:$A$328,0),4)</f>
        <v>12543</v>
      </c>
      <c r="F10" s="9">
        <f>INDEX(FinalPayment!$F$2:$R$328,MATCH(LEFT('Payment 1 through 9'!$A10,4),FinalPayment!$F$2:$F$328,0),4)-B10</f>
        <v>1354</v>
      </c>
    </row>
    <row r="11" spans="1:6" x14ac:dyDescent="0.55000000000000004">
      <c r="A11" t="s">
        <v>1062</v>
      </c>
      <c r="B11" s="9">
        <f>INDEX(Payment!$A$2:$M$328,MATCH(LEFT('Payment 1 through 9'!$A11,4),Payment!$A$2:$A$328,0),4)</f>
        <v>32622</v>
      </c>
      <c r="F11" s="9">
        <f>INDEX(FinalPayment!$F$2:$R$328,MATCH(LEFT('Payment 1 through 9'!$A11,4),FinalPayment!$F$2:$F$328,0),4)-B11</f>
        <v>1156</v>
      </c>
    </row>
    <row r="12" spans="1:6" x14ac:dyDescent="0.55000000000000004">
      <c r="A12" t="s">
        <v>1063</v>
      </c>
      <c r="B12" s="9">
        <f>INDEX(Payment!$A$2:$M$328,MATCH(LEFT('Payment 1 through 9'!$A12,4),Payment!$A$2:$A$328,0),4)</f>
        <v>4482</v>
      </c>
      <c r="F12" s="9">
        <f>INDEX(FinalPayment!$F$2:$R$328,MATCH(LEFT('Payment 1 through 9'!$A12,4),FinalPayment!$F$2:$F$328,0),4)-B12</f>
        <v>860</v>
      </c>
    </row>
    <row r="13" spans="1:6" x14ac:dyDescent="0.55000000000000004">
      <c r="A13" t="s">
        <v>1064</v>
      </c>
      <c r="B13" s="9">
        <f>INDEX(Payment!$A$2:$M$328,MATCH(LEFT('Payment 1 through 9'!$A13,4),Payment!$A$2:$A$328,0),4)</f>
        <v>80924</v>
      </c>
      <c r="F13" s="9">
        <f>INDEX(FinalPayment!$F$2:$R$328,MATCH(LEFT('Payment 1 through 9'!$A13,4),FinalPayment!$F$2:$F$328,0),4)-B13</f>
        <v>4643</v>
      </c>
    </row>
    <row r="14" spans="1:6" x14ac:dyDescent="0.55000000000000004">
      <c r="A14" t="s">
        <v>1065</v>
      </c>
      <c r="B14" s="9">
        <f>INDEX(Payment!$A$2:$M$328,MATCH(LEFT('Payment 1 through 9'!$A14,4),Payment!$A$2:$A$328,0),4)</f>
        <v>6809</v>
      </c>
      <c r="F14" s="9">
        <f>INDEX(FinalPayment!$F$2:$R$328,MATCH(LEFT('Payment 1 through 9'!$A14,4),FinalPayment!$F$2:$F$328,0),4)-B14</f>
        <v>254</v>
      </c>
    </row>
    <row r="15" spans="1:6" x14ac:dyDescent="0.55000000000000004">
      <c r="A15" t="s">
        <v>1325</v>
      </c>
      <c r="B15" s="9">
        <f>INDEX(Payment!$A$2:$M$328,MATCH(LEFT('Payment 1 through 9'!$A15,4),Payment!$A$2:$A$328,0),4)</f>
        <v>3068</v>
      </c>
      <c r="F15" s="9">
        <f>INDEX(FinalPayment!$F$2:$R$328,MATCH(LEFT('Payment 1 through 9'!$A15,4),FinalPayment!$F$2:$F$328,0),4)-B15</f>
        <v>850</v>
      </c>
    </row>
    <row r="16" spans="1:6" x14ac:dyDescent="0.55000000000000004">
      <c r="A16" t="s">
        <v>1067</v>
      </c>
      <c r="B16" s="9">
        <f>INDEX(Payment!$A$2:$M$328,MATCH(LEFT('Payment 1 through 9'!$A16,4),Payment!$A$2:$A$328,0),4)</f>
        <v>8836</v>
      </c>
      <c r="F16" s="9">
        <f>INDEX(FinalPayment!$F$2:$R$328,MATCH(LEFT('Payment 1 through 9'!$A16,4),FinalPayment!$F$2:$F$328,0),4)-B16</f>
        <v>294</v>
      </c>
    </row>
    <row r="17" spans="1:6" x14ac:dyDescent="0.55000000000000004">
      <c r="A17" t="s">
        <v>1239</v>
      </c>
      <c r="B17" s="9">
        <f>INDEX(Payment!$A$2:$M$328,MATCH(LEFT('Payment 1 through 9'!$A17,4),Payment!$A$2:$A$328,0),4)</f>
        <v>1921</v>
      </c>
      <c r="F17" s="9">
        <f>INDEX(FinalPayment!$F$2:$R$328,MATCH(LEFT('Payment 1 through 9'!$A17,4),FinalPayment!$F$2:$F$328,0),4)-B17</f>
        <v>528</v>
      </c>
    </row>
    <row r="18" spans="1:6" x14ac:dyDescent="0.55000000000000004">
      <c r="A18" t="s">
        <v>1240</v>
      </c>
      <c r="B18" s="9">
        <f>INDEX(Payment!$A$2:$M$328,MATCH(LEFT('Payment 1 through 9'!$A18,4),Payment!$A$2:$A$328,0),4)</f>
        <v>4120</v>
      </c>
      <c r="F18" s="9">
        <f>INDEX(FinalPayment!$F$2:$R$328,MATCH(LEFT('Payment 1 through 9'!$A18,4),FinalPayment!$F$2:$F$328,0),4)-B18</f>
        <v>1717</v>
      </c>
    </row>
    <row r="19" spans="1:6" x14ac:dyDescent="0.55000000000000004">
      <c r="A19" t="s">
        <v>1241</v>
      </c>
      <c r="B19" s="9">
        <f>INDEX(Payment!$A$2:$M$328,MATCH(LEFT('Payment 1 through 9'!$A19,4),Payment!$A$2:$A$328,0),4)</f>
        <v>3272</v>
      </c>
      <c r="F19" s="9">
        <f>INDEX(FinalPayment!$F$2:$R$328,MATCH(LEFT('Payment 1 through 9'!$A19,4),FinalPayment!$F$2:$F$328,0),4)-B19</f>
        <v>327</v>
      </c>
    </row>
    <row r="20" spans="1:6" x14ac:dyDescent="0.55000000000000004">
      <c r="A20" t="s">
        <v>1069</v>
      </c>
      <c r="B20" s="9">
        <f>INDEX(Payment!$A$2:$M$328,MATCH(LEFT('Payment 1 through 9'!$A20,4),Payment!$A$2:$A$328,0),4)</f>
        <v>12893</v>
      </c>
      <c r="F20" s="9">
        <f>INDEX(FinalPayment!$F$2:$R$328,MATCH(LEFT('Payment 1 through 9'!$A20,4),FinalPayment!$F$2:$F$328,0),4)-B20</f>
        <v>550</v>
      </c>
    </row>
    <row r="21" spans="1:6" x14ac:dyDescent="0.55000000000000004">
      <c r="A21" t="s">
        <v>1242</v>
      </c>
      <c r="B21" s="9">
        <f>INDEX(Payment!$A$2:$M$328,MATCH(LEFT('Payment 1 through 9'!$A21,4),Payment!$A$2:$A$328,0),4)</f>
        <v>3083</v>
      </c>
      <c r="F21" s="9">
        <f>INDEX(FinalPayment!$F$2:$R$328,MATCH(LEFT('Payment 1 through 9'!$A21,4),FinalPayment!$F$2:$F$328,0),4)-B21</f>
        <v>501</v>
      </c>
    </row>
    <row r="22" spans="1:6" x14ac:dyDescent="0.55000000000000004">
      <c r="A22" t="s">
        <v>1070</v>
      </c>
      <c r="B22" s="9">
        <f>INDEX(Payment!$A$2:$M$328,MATCH(LEFT('Payment 1 through 9'!$A22,4),Payment!$A$2:$A$328,0),4)</f>
        <v>4880</v>
      </c>
      <c r="F22" s="9">
        <f>INDEX(FinalPayment!$F$2:$R$328,MATCH(LEFT('Payment 1 through 9'!$A22,4),FinalPayment!$F$2:$F$328,0),4)-B22</f>
        <v>517</v>
      </c>
    </row>
    <row r="23" spans="1:6" x14ac:dyDescent="0.55000000000000004">
      <c r="A23" t="s">
        <v>1243</v>
      </c>
      <c r="B23" s="9">
        <f>INDEX(Payment!$A$2:$M$328,MATCH(LEFT('Payment 1 through 9'!$A23,4),Payment!$A$2:$A$328,0),4)</f>
        <v>3561</v>
      </c>
      <c r="F23" s="9">
        <f>INDEX(FinalPayment!$F$2:$R$328,MATCH(LEFT('Payment 1 through 9'!$A23,4),FinalPayment!$F$2:$F$328,0),4)-B23</f>
        <v>626</v>
      </c>
    </row>
    <row r="24" spans="1:6" x14ac:dyDescent="0.55000000000000004">
      <c r="A24" t="s">
        <v>1071</v>
      </c>
      <c r="B24" s="9">
        <f>INDEX(Payment!$A$2:$M$328,MATCH(LEFT('Payment 1 through 9'!$A24,4),Payment!$A$2:$A$328,0),4)</f>
        <v>5389</v>
      </c>
      <c r="F24" s="9">
        <f>INDEX(FinalPayment!$F$2:$R$328,MATCH(LEFT('Payment 1 through 9'!$A24,4),FinalPayment!$F$2:$F$328,0),4)-B24</f>
        <v>219</v>
      </c>
    </row>
    <row r="25" spans="1:6" x14ac:dyDescent="0.55000000000000004">
      <c r="A25" t="s">
        <v>1072</v>
      </c>
      <c r="B25" s="9">
        <f>INDEX(Payment!$A$2:$M$328,MATCH(LEFT('Payment 1 through 9'!$A25,4),Payment!$A$2:$A$328,0),4)</f>
        <v>32965</v>
      </c>
      <c r="F25" s="9">
        <f>INDEX(FinalPayment!$F$2:$R$328,MATCH(LEFT('Payment 1 through 9'!$A25,4),FinalPayment!$F$2:$F$328,0),4)-B25</f>
        <v>1589</v>
      </c>
    </row>
    <row r="26" spans="1:6" x14ac:dyDescent="0.55000000000000004">
      <c r="A26" t="s">
        <v>1326</v>
      </c>
      <c r="B26" s="9">
        <f>INDEX(Payment!$A$2:$M$328,MATCH(LEFT('Payment 1 through 9'!$A26,4),Payment!$A$2:$A$328,0),4)</f>
        <v>1472</v>
      </c>
      <c r="F26" s="9">
        <f>INDEX(FinalPayment!$F$2:$R$328,MATCH(LEFT('Payment 1 through 9'!$A26,4),FinalPayment!$F$2:$F$328,0),4)-B26</f>
        <v>617</v>
      </c>
    </row>
    <row r="27" spans="1:6" x14ac:dyDescent="0.55000000000000004">
      <c r="A27" t="s">
        <v>1091</v>
      </c>
      <c r="B27" s="9">
        <f>INDEX(Payment!$A$2:$M$328,MATCH(LEFT('Payment 1 through 9'!$A27,4),Payment!$A$2:$A$328,0),4)</f>
        <v>8496</v>
      </c>
      <c r="F27" s="9">
        <f>INDEX(FinalPayment!$F$2:$R$328,MATCH(LEFT('Payment 1 through 9'!$A27,4),FinalPayment!$F$2:$F$328,0),4)-B27</f>
        <v>416</v>
      </c>
    </row>
    <row r="28" spans="1:6" x14ac:dyDescent="0.55000000000000004">
      <c r="A28" t="s">
        <v>1244</v>
      </c>
      <c r="B28" s="9">
        <f>INDEX(Payment!$A$2:$M$328,MATCH(LEFT('Payment 1 through 9'!$A28,4),Payment!$A$2:$A$328,0),4)</f>
        <v>4336</v>
      </c>
      <c r="F28" s="9">
        <f>INDEX(FinalPayment!$F$2:$R$328,MATCH(LEFT('Payment 1 through 9'!$A28,4),FinalPayment!$F$2:$F$328,0),4)-B28</f>
        <v>254</v>
      </c>
    </row>
    <row r="29" spans="1:6" x14ac:dyDescent="0.55000000000000004">
      <c r="A29" t="s">
        <v>1075</v>
      </c>
      <c r="B29" s="9">
        <f>INDEX(Payment!$A$2:$M$328,MATCH(LEFT('Payment 1 through 9'!$A29,4),Payment!$A$2:$A$328,0),4)</f>
        <v>8164</v>
      </c>
      <c r="F29" s="9">
        <f>INDEX(FinalPayment!$F$2:$R$328,MATCH(LEFT('Payment 1 through 9'!$A29,4),FinalPayment!$F$2:$F$328,0),4)-B29</f>
        <v>450</v>
      </c>
    </row>
    <row r="30" spans="1:6" x14ac:dyDescent="0.55000000000000004">
      <c r="A30" t="s">
        <v>1074</v>
      </c>
      <c r="B30" s="9">
        <f>INDEX(Payment!$A$2:$M$328,MATCH(LEFT('Payment 1 through 9'!$A30,4),Payment!$A$2:$A$328,0),4)</f>
        <v>13494</v>
      </c>
      <c r="F30" s="9">
        <f>INDEX(FinalPayment!$F$2:$R$328,MATCH(LEFT('Payment 1 through 9'!$A30,4),FinalPayment!$F$2:$F$328,0),4)-B30</f>
        <v>520</v>
      </c>
    </row>
    <row r="31" spans="1:6" x14ac:dyDescent="0.55000000000000004">
      <c r="A31" t="s">
        <v>1076</v>
      </c>
      <c r="B31" s="9">
        <f>INDEX(Payment!$A$2:$M$328,MATCH(LEFT('Payment 1 through 9'!$A31,4),Payment!$A$2:$A$328,0),4)</f>
        <v>27053</v>
      </c>
      <c r="F31" s="9">
        <f>INDEX(FinalPayment!$F$2:$R$328,MATCH(LEFT('Payment 1 through 9'!$A31,4),FinalPayment!$F$2:$F$328,0),4)-B31</f>
        <v>604</v>
      </c>
    </row>
    <row r="32" spans="1:6" x14ac:dyDescent="0.55000000000000004">
      <c r="A32" t="s">
        <v>1245</v>
      </c>
      <c r="B32" s="9">
        <f>INDEX(Payment!$A$2:$M$328,MATCH(LEFT('Payment 1 through 9'!$A32,4),Payment!$A$2:$A$328,0),4)</f>
        <v>4933</v>
      </c>
      <c r="F32" s="9">
        <f>INDEX(FinalPayment!$F$2:$R$328,MATCH(LEFT('Payment 1 through 9'!$A32,4),FinalPayment!$F$2:$F$328,0),4)-B32</f>
        <v>2097</v>
      </c>
    </row>
    <row r="33" spans="1:6" x14ac:dyDescent="0.55000000000000004">
      <c r="A33" t="s">
        <v>1246</v>
      </c>
      <c r="B33" s="9">
        <f>INDEX(Payment!$A$2:$M$328,MATCH(LEFT('Payment 1 through 9'!$A33,4),Payment!$A$2:$A$328,0),4)</f>
        <v>11765</v>
      </c>
      <c r="F33" s="9">
        <f>INDEX(FinalPayment!$F$2:$R$328,MATCH(LEFT('Payment 1 through 9'!$A33,4),FinalPayment!$F$2:$F$328,0),4)-B33</f>
        <v>1797</v>
      </c>
    </row>
    <row r="34" spans="1:6" x14ac:dyDescent="0.55000000000000004">
      <c r="A34" t="s">
        <v>1327</v>
      </c>
      <c r="B34" s="9">
        <f>INDEX(Payment!$A$2:$M$328,MATCH(LEFT('Payment 1 through 9'!$A34,4),Payment!$A$2:$A$328,0),4)</f>
        <v>11685</v>
      </c>
      <c r="F34" s="9">
        <f>INDEX(FinalPayment!$F$2:$R$328,MATCH(LEFT('Payment 1 through 9'!$A34,4),FinalPayment!$F$2:$F$328,0),4)-B34</f>
        <v>17931</v>
      </c>
    </row>
    <row r="35" spans="1:6" x14ac:dyDescent="0.55000000000000004">
      <c r="A35" t="s">
        <v>1078</v>
      </c>
      <c r="B35" s="9">
        <f>INDEX(Payment!$A$2:$M$328,MATCH(LEFT('Payment 1 through 9'!$A35,4),Payment!$A$2:$A$328,0),4)</f>
        <v>13818</v>
      </c>
      <c r="F35" s="9">
        <f>INDEX(FinalPayment!$F$2:$R$328,MATCH(LEFT('Payment 1 through 9'!$A35,4),FinalPayment!$F$2:$F$328,0),4)-B35</f>
        <v>449</v>
      </c>
    </row>
    <row r="36" spans="1:6" x14ac:dyDescent="0.55000000000000004">
      <c r="A36" t="s">
        <v>1079</v>
      </c>
      <c r="B36" s="9">
        <f>INDEX(Payment!$A$2:$M$328,MATCH(LEFT('Payment 1 through 9'!$A36,4),Payment!$A$2:$A$328,0),4)</f>
        <v>45464</v>
      </c>
      <c r="F36" s="9">
        <f>INDEX(FinalPayment!$F$2:$R$328,MATCH(LEFT('Payment 1 through 9'!$A36,4),FinalPayment!$F$2:$F$328,0),4)-B36</f>
        <v>652</v>
      </c>
    </row>
    <row r="37" spans="1:6" x14ac:dyDescent="0.55000000000000004">
      <c r="A37" t="s">
        <v>1077</v>
      </c>
      <c r="B37" s="9">
        <f>INDEX(Payment!$A$2:$M$328,MATCH(LEFT('Payment 1 through 9'!$A37,4),Payment!$A$2:$A$328,0),4)</f>
        <v>24485</v>
      </c>
      <c r="F37" s="9">
        <f>INDEX(FinalPayment!$F$2:$R$328,MATCH(LEFT('Payment 1 through 9'!$A37,4),FinalPayment!$F$2:$F$328,0),4)-B37</f>
        <v>809</v>
      </c>
    </row>
    <row r="38" spans="1:6" x14ac:dyDescent="0.55000000000000004">
      <c r="A38" t="s">
        <v>1141</v>
      </c>
      <c r="B38" s="9">
        <f>INDEX(Payment!$A$2:$M$328,MATCH(LEFT('Payment 1 through 9'!$A38,4),Payment!$A$2:$A$328,0),4)</f>
        <v>12761</v>
      </c>
      <c r="F38" s="9">
        <f>INDEX(FinalPayment!$F$2:$R$328,MATCH(LEFT('Payment 1 through 9'!$A38,4),FinalPayment!$F$2:$F$328,0),4)-B38</f>
        <v>844</v>
      </c>
    </row>
    <row r="39" spans="1:6" x14ac:dyDescent="0.55000000000000004">
      <c r="A39" t="s">
        <v>1247</v>
      </c>
      <c r="B39" s="9">
        <f>INDEX(Payment!$A$2:$M$328,MATCH(LEFT('Payment 1 through 9'!$A39,4),Payment!$A$2:$A$328,0),4)</f>
        <v>8994</v>
      </c>
      <c r="F39" s="9">
        <f>INDEX(FinalPayment!$F$2:$R$328,MATCH(LEFT('Payment 1 through 9'!$A39,4),FinalPayment!$F$2:$F$328,0),4)-B39</f>
        <v>1350</v>
      </c>
    </row>
    <row r="40" spans="1:6" x14ac:dyDescent="0.55000000000000004">
      <c r="A40" t="s">
        <v>1080</v>
      </c>
      <c r="B40" s="9">
        <f>INDEX(Payment!$A$2:$M$328,MATCH(LEFT('Payment 1 through 9'!$A40,4),Payment!$A$2:$A$328,0),4)</f>
        <v>15686</v>
      </c>
      <c r="F40" s="9">
        <f>INDEX(FinalPayment!$F$2:$R$328,MATCH(LEFT('Payment 1 through 9'!$A40,4),FinalPayment!$F$2:$F$328,0),4)-B40</f>
        <v>284</v>
      </c>
    </row>
    <row r="41" spans="1:6" x14ac:dyDescent="0.55000000000000004">
      <c r="A41" t="s">
        <v>1081</v>
      </c>
      <c r="B41" s="9">
        <f>INDEX(Payment!$A$2:$M$328,MATCH(LEFT('Payment 1 through 9'!$A41,4),Payment!$A$2:$A$328,0),4)</f>
        <v>32443</v>
      </c>
      <c r="F41" s="9">
        <f>INDEX(FinalPayment!$F$2:$R$328,MATCH(LEFT('Payment 1 through 9'!$A41,4),FinalPayment!$F$2:$F$328,0),4)-B41</f>
        <v>998</v>
      </c>
    </row>
    <row r="42" spans="1:6" x14ac:dyDescent="0.55000000000000004">
      <c r="A42" t="s">
        <v>1082</v>
      </c>
      <c r="B42" s="9">
        <f>INDEX(Payment!$A$2:$M$328,MATCH(LEFT('Payment 1 through 9'!$A42,4),Payment!$A$2:$A$328,0),4)</f>
        <v>8414</v>
      </c>
      <c r="F42" s="9">
        <f>INDEX(FinalPayment!$F$2:$R$328,MATCH(LEFT('Payment 1 through 9'!$A42,4),FinalPayment!$F$2:$F$328,0),4)-B42</f>
        <v>1535</v>
      </c>
    </row>
    <row r="43" spans="1:6" x14ac:dyDescent="0.55000000000000004">
      <c r="A43" t="s">
        <v>1083</v>
      </c>
      <c r="B43" s="9">
        <f>INDEX(Payment!$A$2:$M$328,MATCH(LEFT('Payment 1 through 9'!$A43,4),Payment!$A$2:$A$328,0),4)</f>
        <v>5771</v>
      </c>
      <c r="F43" s="9">
        <f>INDEX(FinalPayment!$F$2:$R$328,MATCH(LEFT('Payment 1 through 9'!$A43,4),FinalPayment!$F$2:$F$328,0),4)-B43</f>
        <v>330</v>
      </c>
    </row>
    <row r="44" spans="1:6" x14ac:dyDescent="0.55000000000000004">
      <c r="A44" t="s">
        <v>1111</v>
      </c>
      <c r="B44" s="9">
        <f>INDEX(Payment!$A$2:$M$328,MATCH(LEFT('Payment 1 through 9'!$A44,4),Payment!$A$2:$A$328,0),4)</f>
        <v>13354</v>
      </c>
      <c r="F44" s="9">
        <f>INDEX(FinalPayment!$F$2:$R$328,MATCH(LEFT('Payment 1 through 9'!$A44,4),FinalPayment!$F$2:$F$328,0),4)-B44</f>
        <v>619</v>
      </c>
    </row>
    <row r="45" spans="1:6" x14ac:dyDescent="0.55000000000000004">
      <c r="A45" t="s">
        <v>1328</v>
      </c>
      <c r="B45" s="9">
        <f>INDEX(Payment!$A$2:$M$328,MATCH(LEFT('Payment 1 through 9'!$A45,4),Payment!$A$2:$A$328,0),4)</f>
        <v>2888</v>
      </c>
      <c r="F45" s="9">
        <f>INDEX(FinalPayment!$F$2:$R$328,MATCH(LEFT('Payment 1 through 9'!$A45,4),FinalPayment!$F$2:$F$328,0),4)-B45</f>
        <v>2521</v>
      </c>
    </row>
    <row r="46" spans="1:6" x14ac:dyDescent="0.55000000000000004">
      <c r="A46" t="s">
        <v>1248</v>
      </c>
      <c r="B46" s="9">
        <f>INDEX(Payment!$A$2:$M$328,MATCH(LEFT('Payment 1 through 9'!$A46,4),Payment!$A$2:$A$328,0),4)</f>
        <v>41146</v>
      </c>
      <c r="F46" s="9">
        <f>INDEX(FinalPayment!$F$2:$R$328,MATCH(LEFT('Payment 1 through 9'!$A46,4),FinalPayment!$F$2:$F$328,0),4)-B46</f>
        <v>5439</v>
      </c>
    </row>
    <row r="47" spans="1:6" x14ac:dyDescent="0.55000000000000004">
      <c r="A47" t="s">
        <v>1249</v>
      </c>
      <c r="B47" s="9">
        <f>INDEX(Payment!$A$2:$M$328,MATCH(LEFT('Payment 1 through 9'!$A47,4),Payment!$A$2:$A$328,0),4)</f>
        <v>2418</v>
      </c>
      <c r="F47" s="9">
        <f>INDEX(FinalPayment!$F$2:$R$328,MATCH(LEFT('Payment 1 through 9'!$A47,4),FinalPayment!$F$2:$F$328,0),4)-B47</f>
        <v>518</v>
      </c>
    </row>
    <row r="48" spans="1:6" x14ac:dyDescent="0.55000000000000004">
      <c r="A48" t="s">
        <v>1329</v>
      </c>
      <c r="B48" s="9">
        <f>INDEX(Payment!$A$2:$M$328,MATCH(LEFT('Payment 1 through 9'!$A48,4),Payment!$A$2:$A$328,0),4)</f>
        <v>1447</v>
      </c>
      <c r="F48" s="9">
        <f>INDEX(FinalPayment!$F$2:$R$328,MATCH(LEFT('Payment 1 through 9'!$A48,4),FinalPayment!$F$2:$F$328,0),4)-B48</f>
        <v>797</v>
      </c>
    </row>
    <row r="49" spans="1:6" x14ac:dyDescent="0.55000000000000004">
      <c r="A49" t="s">
        <v>1084</v>
      </c>
      <c r="B49" s="9">
        <f>INDEX(Payment!$A$2:$M$328,MATCH(LEFT('Payment 1 through 9'!$A49,4),Payment!$A$2:$A$328,0),4)</f>
        <v>6287</v>
      </c>
      <c r="F49" s="9">
        <f>INDEX(FinalPayment!$F$2:$R$328,MATCH(LEFT('Payment 1 through 9'!$A49,4),FinalPayment!$F$2:$F$328,0),4)-B49</f>
        <v>447</v>
      </c>
    </row>
    <row r="50" spans="1:6" x14ac:dyDescent="0.55000000000000004">
      <c r="A50" t="s">
        <v>1085</v>
      </c>
      <c r="B50" s="9">
        <f>INDEX(Payment!$A$2:$M$328,MATCH(LEFT('Payment 1 through 9'!$A50,4),Payment!$A$2:$A$328,0),4)</f>
        <v>23924</v>
      </c>
      <c r="F50" s="9">
        <f>INDEX(FinalPayment!$F$2:$R$328,MATCH(LEFT('Payment 1 through 9'!$A50,4),FinalPayment!$F$2:$F$328,0),4)-B50</f>
        <v>438</v>
      </c>
    </row>
    <row r="51" spans="1:6" x14ac:dyDescent="0.55000000000000004">
      <c r="A51" t="s">
        <v>1086</v>
      </c>
      <c r="B51" s="9">
        <f>INDEX(Payment!$A$2:$M$328,MATCH(LEFT('Payment 1 through 9'!$A51,4),Payment!$A$2:$A$328,0),4)</f>
        <v>6753</v>
      </c>
      <c r="F51" s="9">
        <f>INDEX(FinalPayment!$F$2:$R$328,MATCH(LEFT('Payment 1 through 9'!$A51,4),FinalPayment!$F$2:$F$328,0),4)-B51</f>
        <v>538</v>
      </c>
    </row>
    <row r="52" spans="1:6" x14ac:dyDescent="0.55000000000000004">
      <c r="A52" t="s">
        <v>1087</v>
      </c>
      <c r="B52" s="9">
        <f>INDEX(Payment!$A$2:$M$328,MATCH(LEFT('Payment 1 through 9'!$A52,4),Payment!$A$2:$A$328,0),4)</f>
        <v>48593</v>
      </c>
      <c r="F52" s="9">
        <f>INDEX(FinalPayment!$F$2:$R$328,MATCH(LEFT('Payment 1 through 9'!$A52,4),FinalPayment!$F$2:$F$328,0),4)-B52</f>
        <v>1221</v>
      </c>
    </row>
    <row r="53" spans="1:6" x14ac:dyDescent="0.55000000000000004">
      <c r="A53" t="s">
        <v>1088</v>
      </c>
      <c r="B53" s="9">
        <f>INDEX(Payment!$A$2:$M$328,MATCH(LEFT('Payment 1 through 9'!$A53,4),Payment!$A$2:$A$328,0),4)</f>
        <v>33458</v>
      </c>
      <c r="F53" s="9">
        <f>INDEX(FinalPayment!$F$2:$R$328,MATCH(LEFT('Payment 1 through 9'!$A53,4),FinalPayment!$F$2:$F$328,0),4)-B53</f>
        <v>1720</v>
      </c>
    </row>
    <row r="54" spans="1:6" x14ac:dyDescent="0.55000000000000004">
      <c r="A54" t="s">
        <v>1089</v>
      </c>
      <c r="B54" s="9">
        <f>INDEX(Payment!$A$2:$M$328,MATCH(LEFT('Payment 1 through 9'!$A54,4),Payment!$A$2:$A$328,0),4)</f>
        <v>11664</v>
      </c>
      <c r="F54" s="9">
        <f>INDEX(FinalPayment!$F$2:$R$328,MATCH(LEFT('Payment 1 through 9'!$A54,4),FinalPayment!$F$2:$F$328,0),4)-B54</f>
        <v>217</v>
      </c>
    </row>
    <row r="55" spans="1:6" x14ac:dyDescent="0.55000000000000004">
      <c r="A55" t="s">
        <v>1250</v>
      </c>
      <c r="B55" s="9">
        <f>INDEX(Payment!$A$2:$M$328,MATCH(LEFT('Payment 1 through 9'!$A55,4),Payment!$A$2:$A$328,0),4)</f>
        <v>8175</v>
      </c>
      <c r="F55" s="9">
        <f>INDEX(FinalPayment!$F$2:$R$328,MATCH(LEFT('Payment 1 through 9'!$A55,4),FinalPayment!$F$2:$F$328,0),4)-B55</f>
        <v>2297</v>
      </c>
    </row>
    <row r="56" spans="1:6" x14ac:dyDescent="0.55000000000000004">
      <c r="A56" t="s">
        <v>1090</v>
      </c>
      <c r="B56" s="9">
        <f>INDEX(Payment!$A$2:$M$328,MATCH(LEFT('Payment 1 through 9'!$A56,4),Payment!$A$2:$A$328,0),4)</f>
        <v>2817</v>
      </c>
      <c r="F56" s="9">
        <f>INDEX(FinalPayment!$F$2:$R$328,MATCH(LEFT('Payment 1 through 9'!$A56,4),FinalPayment!$F$2:$F$328,0),4)-B56</f>
        <v>109</v>
      </c>
    </row>
    <row r="57" spans="1:6" x14ac:dyDescent="0.55000000000000004">
      <c r="A57" t="s">
        <v>1330</v>
      </c>
      <c r="B57" s="9">
        <f>INDEX(Payment!$A$2:$M$328,MATCH(LEFT('Payment 1 through 9'!$A57,4),Payment!$A$2:$A$328,0),4)</f>
        <v>1189</v>
      </c>
      <c r="F57" s="9">
        <f>INDEX(FinalPayment!$F$2:$R$328,MATCH(LEFT('Payment 1 through 9'!$A57,4),FinalPayment!$F$2:$F$328,0),4)-B57</f>
        <v>587</v>
      </c>
    </row>
    <row r="58" spans="1:6" x14ac:dyDescent="0.55000000000000004">
      <c r="A58" t="s">
        <v>1251</v>
      </c>
      <c r="B58" s="9">
        <f>INDEX(Payment!$A$2:$M$328,MATCH(LEFT('Payment 1 through 9'!$A58,4),Payment!$A$2:$A$328,0),4)</f>
        <v>6199</v>
      </c>
      <c r="F58" s="9">
        <f>INDEX(FinalPayment!$F$2:$R$328,MATCH(LEFT('Payment 1 through 9'!$A58,4),FinalPayment!$F$2:$F$328,0),4)-B58</f>
        <v>591</v>
      </c>
    </row>
    <row r="59" spans="1:6" x14ac:dyDescent="0.55000000000000004">
      <c r="A59" t="s">
        <v>1093</v>
      </c>
      <c r="B59" s="9">
        <f>INDEX(Payment!$A$2:$M$328,MATCH(LEFT('Payment 1 through 9'!$A59,4),Payment!$A$2:$A$328,0),4)</f>
        <v>21965</v>
      </c>
      <c r="F59" s="9">
        <f>INDEX(FinalPayment!$F$2:$R$328,MATCH(LEFT('Payment 1 through 9'!$A59,4),FinalPayment!$F$2:$F$328,0),4)-B59</f>
        <v>590</v>
      </c>
    </row>
    <row r="60" spans="1:6" x14ac:dyDescent="0.55000000000000004">
      <c r="A60" t="s">
        <v>1127</v>
      </c>
      <c r="B60" s="9">
        <f>INDEX(Payment!$A$2:$M$328,MATCH(LEFT('Payment 1 through 9'!$A60,4),Payment!$A$2:$A$328,0),4)</f>
        <v>19266</v>
      </c>
      <c r="F60" s="9">
        <f>INDEX(FinalPayment!$F$2:$R$328,MATCH(LEFT('Payment 1 through 9'!$A60,4),FinalPayment!$F$2:$F$328,0),4)-B60</f>
        <v>584</v>
      </c>
    </row>
    <row r="61" spans="1:6" x14ac:dyDescent="0.55000000000000004">
      <c r="A61" t="s">
        <v>1180</v>
      </c>
      <c r="B61" s="9">
        <f>INDEX(Payment!$A$2:$M$328,MATCH(LEFT('Payment 1 through 9'!$A61,4),Payment!$A$2:$A$328,0),4)</f>
        <v>12772</v>
      </c>
      <c r="F61" s="9">
        <f>INDEX(FinalPayment!$F$2:$R$328,MATCH(LEFT('Payment 1 through 9'!$A61,4),FinalPayment!$F$2:$F$328,0),4)-B61</f>
        <v>883</v>
      </c>
    </row>
    <row r="62" spans="1:6" x14ac:dyDescent="0.55000000000000004">
      <c r="A62" t="s">
        <v>1094</v>
      </c>
      <c r="B62" s="9">
        <f>INDEX(Payment!$A$2:$M$328,MATCH(LEFT('Payment 1 through 9'!$A62,4),Payment!$A$2:$A$328,0),4)</f>
        <v>14768</v>
      </c>
      <c r="F62" s="9">
        <f>INDEX(FinalPayment!$F$2:$R$328,MATCH(LEFT('Payment 1 through 9'!$A62,4),FinalPayment!$F$2:$F$328,0),4)-B62</f>
        <v>520</v>
      </c>
    </row>
    <row r="63" spans="1:6" x14ac:dyDescent="0.55000000000000004">
      <c r="A63" t="s">
        <v>1095</v>
      </c>
      <c r="B63" s="9">
        <f>INDEX(Payment!$A$2:$M$328,MATCH(LEFT('Payment 1 through 9'!$A63,4),Payment!$A$2:$A$328,0),4)</f>
        <v>12346</v>
      </c>
      <c r="F63" s="9">
        <f>INDEX(FinalPayment!$F$2:$R$328,MATCH(LEFT('Payment 1 through 9'!$A63,4),FinalPayment!$F$2:$F$328,0),4)-B63</f>
        <v>346</v>
      </c>
    </row>
    <row r="64" spans="1:6" x14ac:dyDescent="0.55000000000000004">
      <c r="A64" t="s">
        <v>1092</v>
      </c>
      <c r="B64" s="9">
        <f>INDEX(Payment!$A$2:$M$328,MATCH(LEFT('Payment 1 through 9'!$A64,4),Payment!$A$2:$A$328,0),4)</f>
        <v>13468</v>
      </c>
      <c r="F64" s="9">
        <f>INDEX(FinalPayment!$F$2:$R$328,MATCH(LEFT('Payment 1 through 9'!$A64,4),FinalPayment!$F$2:$F$328,0),4)-B64</f>
        <v>627</v>
      </c>
    </row>
    <row r="65" spans="1:6" x14ac:dyDescent="0.55000000000000004">
      <c r="A65" t="s">
        <v>1073</v>
      </c>
      <c r="B65" s="9">
        <f>INDEX(Payment!$A$2:$M$328,MATCH(LEFT('Payment 1 through 9'!$A65,4),Payment!$A$2:$A$328,0),4)</f>
        <v>38005</v>
      </c>
      <c r="F65" s="9">
        <f>INDEX(FinalPayment!$F$2:$R$328,MATCH(LEFT('Payment 1 through 9'!$A65,4),FinalPayment!$F$2:$F$328,0),4)-B65</f>
        <v>943</v>
      </c>
    </row>
    <row r="66" spans="1:6" x14ac:dyDescent="0.55000000000000004">
      <c r="A66" t="s">
        <v>1097</v>
      </c>
      <c r="B66" s="9">
        <f>INDEX(Payment!$A$2:$M$328,MATCH(LEFT('Payment 1 through 9'!$A66,4),Payment!$A$2:$A$328,0),4)</f>
        <v>14726</v>
      </c>
      <c r="F66" s="9">
        <f>INDEX(FinalPayment!$F$2:$R$328,MATCH(LEFT('Payment 1 through 9'!$A66,4),FinalPayment!$F$2:$F$328,0),4)-B66</f>
        <v>443</v>
      </c>
    </row>
    <row r="67" spans="1:6" x14ac:dyDescent="0.55000000000000004">
      <c r="A67" t="s">
        <v>1331</v>
      </c>
      <c r="B67" s="9">
        <f>INDEX(Payment!$A$2:$M$328,MATCH(LEFT('Payment 1 through 9'!$A67,4),Payment!$A$2:$A$328,0),4)</f>
        <v>2681</v>
      </c>
      <c r="F67" s="9">
        <f>INDEX(FinalPayment!$F$2:$R$328,MATCH(LEFT('Payment 1 through 9'!$A67,4),FinalPayment!$F$2:$F$328,0),4)-B67</f>
        <v>668</v>
      </c>
    </row>
    <row r="68" spans="1:6" x14ac:dyDescent="0.55000000000000004">
      <c r="A68" t="s">
        <v>1098</v>
      </c>
      <c r="B68" s="9">
        <f>INDEX(Payment!$A$2:$M$328,MATCH(LEFT('Payment 1 through 9'!$A68,4),Payment!$A$2:$A$328,0),4)</f>
        <v>2255</v>
      </c>
      <c r="F68" s="9">
        <f>INDEX(FinalPayment!$F$2:$R$328,MATCH(LEFT('Payment 1 through 9'!$A68,4),FinalPayment!$F$2:$F$328,0),4)-B68</f>
        <v>741</v>
      </c>
    </row>
    <row r="69" spans="1:6" x14ac:dyDescent="0.55000000000000004">
      <c r="A69" t="s">
        <v>1099</v>
      </c>
      <c r="B69" s="9">
        <f>INDEX(Payment!$A$2:$M$328,MATCH(LEFT('Payment 1 through 9'!$A69,4),Payment!$A$2:$A$328,0),4)</f>
        <v>5413</v>
      </c>
      <c r="F69" s="9">
        <f>INDEX(FinalPayment!$F$2:$R$328,MATCH(LEFT('Payment 1 through 9'!$A69,4),FinalPayment!$F$2:$F$328,0),4)-B69</f>
        <v>495</v>
      </c>
    </row>
    <row r="70" spans="1:6" x14ac:dyDescent="0.55000000000000004">
      <c r="A70" t="s">
        <v>1100</v>
      </c>
      <c r="B70" s="9">
        <f>INDEX(Payment!$A$2:$M$328,MATCH(LEFT('Payment 1 through 9'!$A70,4),Payment!$A$2:$A$328,0),4)</f>
        <v>9816</v>
      </c>
      <c r="F70" s="9">
        <f>INDEX(FinalPayment!$F$2:$R$328,MATCH(LEFT('Payment 1 through 9'!$A70,4),FinalPayment!$F$2:$F$328,0),4)-B70</f>
        <v>452</v>
      </c>
    </row>
    <row r="71" spans="1:6" x14ac:dyDescent="0.55000000000000004">
      <c r="A71" t="s">
        <v>1332</v>
      </c>
      <c r="B71" s="9">
        <f>INDEX(Payment!$A$2:$M$328,MATCH(LEFT('Payment 1 through 9'!$A71,4),Payment!$A$2:$A$328,0),4)</f>
        <v>2510</v>
      </c>
      <c r="F71" s="9">
        <f>INDEX(FinalPayment!$F$2:$R$328,MATCH(LEFT('Payment 1 through 9'!$A71,4),FinalPayment!$F$2:$F$328,0),4)-B71</f>
        <v>1716</v>
      </c>
    </row>
    <row r="72" spans="1:6" x14ac:dyDescent="0.55000000000000004">
      <c r="A72" t="s">
        <v>1252</v>
      </c>
      <c r="B72" s="9">
        <f>INDEX(Payment!$A$2:$M$328,MATCH(LEFT('Payment 1 through 9'!$A72,4),Payment!$A$2:$A$328,0),4)</f>
        <v>2853</v>
      </c>
      <c r="F72" s="9">
        <f>INDEX(FinalPayment!$F$2:$R$328,MATCH(LEFT('Payment 1 through 9'!$A72,4),FinalPayment!$F$2:$F$328,0),4)-B72</f>
        <v>1136</v>
      </c>
    </row>
    <row r="73" spans="1:6" x14ac:dyDescent="0.55000000000000004">
      <c r="A73" t="s">
        <v>1253</v>
      </c>
      <c r="B73" s="9">
        <f>INDEX(Payment!$A$2:$M$328,MATCH(LEFT('Payment 1 through 9'!$A73,4),Payment!$A$2:$A$328,0),4)</f>
        <v>2025</v>
      </c>
      <c r="F73" s="9">
        <f>INDEX(FinalPayment!$F$2:$R$328,MATCH(LEFT('Payment 1 through 9'!$A73,4),FinalPayment!$F$2:$F$328,0),4)-B73</f>
        <v>498</v>
      </c>
    </row>
    <row r="74" spans="1:6" x14ac:dyDescent="0.55000000000000004">
      <c r="A74" t="s">
        <v>1101</v>
      </c>
      <c r="B74" s="9">
        <f>INDEX(Payment!$A$2:$M$328,MATCH(LEFT('Payment 1 through 9'!$A74,4),Payment!$A$2:$A$328,0),4)</f>
        <v>11540</v>
      </c>
      <c r="F74" s="9">
        <f>INDEX(FinalPayment!$F$2:$R$328,MATCH(LEFT('Payment 1 through 9'!$A74,4),FinalPayment!$F$2:$F$328,0),4)-B74</f>
        <v>485</v>
      </c>
    </row>
    <row r="75" spans="1:6" x14ac:dyDescent="0.55000000000000004">
      <c r="A75" t="s">
        <v>1102</v>
      </c>
      <c r="B75" s="9">
        <f>INDEX(Payment!$A$2:$M$328,MATCH(LEFT('Payment 1 through 9'!$A75,4),Payment!$A$2:$A$328,0),4)</f>
        <v>10980</v>
      </c>
      <c r="F75" s="9">
        <f>INDEX(FinalPayment!$F$2:$R$328,MATCH(LEFT('Payment 1 through 9'!$A75,4),FinalPayment!$F$2:$F$328,0),4)-B75</f>
        <v>952</v>
      </c>
    </row>
    <row r="76" spans="1:6" x14ac:dyDescent="0.55000000000000004">
      <c r="A76" t="s">
        <v>1103</v>
      </c>
      <c r="B76" s="9">
        <f>INDEX(Payment!$A$2:$M$328,MATCH(LEFT('Payment 1 through 9'!$A76,4),Payment!$A$2:$A$328,0),4)</f>
        <v>10207</v>
      </c>
      <c r="F76" s="9">
        <f>INDEX(FinalPayment!$F$2:$R$328,MATCH(LEFT('Payment 1 through 9'!$A76,4),FinalPayment!$F$2:$F$328,0),4)-B76</f>
        <v>458</v>
      </c>
    </row>
    <row r="77" spans="1:6" x14ac:dyDescent="0.55000000000000004">
      <c r="A77" t="s">
        <v>1104</v>
      </c>
      <c r="B77" s="9">
        <f>INDEX(Payment!$A$2:$M$328,MATCH(LEFT('Payment 1 through 9'!$A77,4),Payment!$A$2:$A$328,0),4)</f>
        <v>2136</v>
      </c>
      <c r="F77" s="9">
        <f>INDEX(FinalPayment!$F$2:$R$328,MATCH(LEFT('Payment 1 through 9'!$A77,4),FinalPayment!$F$2:$F$328,0),4)-B77</f>
        <v>170</v>
      </c>
    </row>
    <row r="78" spans="1:6" x14ac:dyDescent="0.55000000000000004">
      <c r="A78" t="s">
        <v>1105</v>
      </c>
      <c r="B78" s="9">
        <f>INDEX(Payment!$A$2:$M$328,MATCH(LEFT('Payment 1 through 9'!$A78,4),Payment!$A$2:$A$328,0),4)</f>
        <v>3618</v>
      </c>
      <c r="F78" s="9">
        <f>INDEX(FinalPayment!$F$2:$R$328,MATCH(LEFT('Payment 1 through 9'!$A78,4),FinalPayment!$F$2:$F$328,0),4)-B78</f>
        <v>625</v>
      </c>
    </row>
    <row r="79" spans="1:6" x14ac:dyDescent="0.55000000000000004">
      <c r="A79" t="s">
        <v>1108</v>
      </c>
      <c r="B79" s="9">
        <f>INDEX(Payment!$A$2:$M$328,MATCH(LEFT('Payment 1 through 9'!$A79,4),Payment!$A$2:$A$328,0),4)</f>
        <v>11043</v>
      </c>
      <c r="F79" s="9">
        <f>INDEX(FinalPayment!$F$2:$R$328,MATCH(LEFT('Payment 1 through 9'!$A79,4),FinalPayment!$F$2:$F$328,0),4)-B79</f>
        <v>292</v>
      </c>
    </row>
    <row r="80" spans="1:6" x14ac:dyDescent="0.55000000000000004">
      <c r="A80" t="s">
        <v>1106</v>
      </c>
      <c r="B80" s="9">
        <f>INDEX(Payment!$A$2:$M$328,MATCH(LEFT('Payment 1 through 9'!$A80,4),Payment!$A$2:$A$328,0),4)</f>
        <v>5110</v>
      </c>
      <c r="F80" s="9">
        <f>INDEX(FinalPayment!$F$2:$R$328,MATCH(LEFT('Payment 1 through 9'!$A80,4),FinalPayment!$F$2:$F$328,0),4)-B80</f>
        <v>405</v>
      </c>
    </row>
    <row r="81" spans="1:6" x14ac:dyDescent="0.55000000000000004">
      <c r="A81" t="s">
        <v>1119</v>
      </c>
      <c r="B81" s="9">
        <f>INDEX(Payment!$A$2:$M$328,MATCH(LEFT('Payment 1 through 9'!$A81,4),Payment!$A$2:$A$328,0),4)</f>
        <v>24942</v>
      </c>
      <c r="F81" s="9">
        <f>INDEX(FinalPayment!$F$2:$R$328,MATCH(LEFT('Payment 1 through 9'!$A81,4),FinalPayment!$F$2:$F$328,0),4)-B81</f>
        <v>1281</v>
      </c>
    </row>
    <row r="82" spans="1:6" x14ac:dyDescent="0.55000000000000004">
      <c r="A82" t="s">
        <v>1109</v>
      </c>
      <c r="B82" s="9">
        <f>INDEX(Payment!$A$2:$M$328,MATCH(LEFT('Payment 1 through 9'!$A82,4),Payment!$A$2:$A$328,0),4)</f>
        <v>23904</v>
      </c>
      <c r="F82" s="9">
        <f>INDEX(FinalPayment!$F$2:$R$328,MATCH(LEFT('Payment 1 through 9'!$A82,4),FinalPayment!$F$2:$F$328,0),4)-B82</f>
        <v>503</v>
      </c>
    </row>
    <row r="83" spans="1:6" x14ac:dyDescent="0.55000000000000004">
      <c r="A83" t="s">
        <v>1110</v>
      </c>
      <c r="B83" s="9">
        <f>INDEX(Payment!$A$2:$M$328,MATCH(LEFT('Payment 1 through 9'!$A83,4),Payment!$A$2:$A$328,0),4)</f>
        <v>8207</v>
      </c>
      <c r="F83" s="9">
        <f>INDEX(FinalPayment!$F$2:$R$328,MATCH(LEFT('Payment 1 through 9'!$A83,4),FinalPayment!$F$2:$F$328,0),4)-B83</f>
        <v>457</v>
      </c>
    </row>
    <row r="84" spans="1:6" x14ac:dyDescent="0.55000000000000004">
      <c r="A84" t="s">
        <v>1112</v>
      </c>
      <c r="B84" s="9">
        <f>INDEX(Payment!$A$2:$M$328,MATCH(LEFT('Payment 1 through 9'!$A84,4),Payment!$A$2:$A$328,0),4)</f>
        <v>4253</v>
      </c>
      <c r="F84" s="9">
        <f>INDEX(FinalPayment!$F$2:$R$328,MATCH(LEFT('Payment 1 through 9'!$A84,4),FinalPayment!$F$2:$F$328,0),4)-B84</f>
        <v>315</v>
      </c>
    </row>
    <row r="85" spans="1:6" x14ac:dyDescent="0.55000000000000004">
      <c r="A85" t="s">
        <v>1113</v>
      </c>
      <c r="B85" s="9">
        <f>INDEX(Payment!$A$2:$M$328,MATCH(LEFT('Payment 1 through 9'!$A85,4),Payment!$A$2:$A$328,0),4)</f>
        <v>5503</v>
      </c>
      <c r="F85" s="9">
        <f>INDEX(FinalPayment!$F$2:$R$328,MATCH(LEFT('Payment 1 through 9'!$A85,4),FinalPayment!$F$2:$F$328,0),4)-B85</f>
        <v>669</v>
      </c>
    </row>
    <row r="86" spans="1:6" x14ac:dyDescent="0.55000000000000004">
      <c r="A86" t="s">
        <v>1114</v>
      </c>
      <c r="B86" s="9">
        <f>INDEX(Payment!$A$2:$M$328,MATCH(LEFT('Payment 1 through 9'!$A86,4),Payment!$A$2:$A$328,0),4)</f>
        <v>16635</v>
      </c>
      <c r="F86" s="9">
        <f>INDEX(FinalPayment!$F$2:$R$328,MATCH(LEFT('Payment 1 through 9'!$A86,4),FinalPayment!$F$2:$F$328,0),4)-B86</f>
        <v>552</v>
      </c>
    </row>
    <row r="87" spans="1:6" x14ac:dyDescent="0.55000000000000004">
      <c r="A87" t="s">
        <v>1115</v>
      </c>
      <c r="B87" s="9">
        <f>INDEX(Payment!$A$2:$M$328,MATCH(LEFT('Payment 1 through 9'!$A87,4),Payment!$A$2:$A$328,0),4)</f>
        <v>27515</v>
      </c>
      <c r="F87" s="9">
        <f>INDEX(FinalPayment!$F$2:$R$328,MATCH(LEFT('Payment 1 through 9'!$A87,4),FinalPayment!$F$2:$F$328,0),4)-B87</f>
        <v>1237</v>
      </c>
    </row>
    <row r="88" spans="1:6" x14ac:dyDescent="0.55000000000000004">
      <c r="A88" t="s">
        <v>1116</v>
      </c>
      <c r="B88" s="9">
        <f>INDEX(Payment!$A$2:$M$328,MATCH(LEFT('Payment 1 through 9'!$A88,4),Payment!$A$2:$A$328,0),4)</f>
        <v>5981</v>
      </c>
      <c r="F88" s="9">
        <f>INDEX(FinalPayment!$F$2:$R$328,MATCH(LEFT('Payment 1 through 9'!$A88,4),FinalPayment!$F$2:$F$328,0),4)-B88</f>
        <v>464</v>
      </c>
    </row>
    <row r="89" spans="1:6" x14ac:dyDescent="0.55000000000000004">
      <c r="A89" t="s">
        <v>1118</v>
      </c>
      <c r="B89" s="9">
        <f>INDEX(Payment!$A$2:$M$328,MATCH(LEFT('Payment 1 through 9'!$A89,4),Payment!$A$2:$A$328,0),4)</f>
        <v>17475</v>
      </c>
      <c r="F89" s="9">
        <f>INDEX(FinalPayment!$F$2:$R$328,MATCH(LEFT('Payment 1 through 9'!$A89,4),FinalPayment!$F$2:$F$328,0),4)-B89</f>
        <v>723</v>
      </c>
    </row>
    <row r="90" spans="1:6" x14ac:dyDescent="0.55000000000000004">
      <c r="A90" t="s">
        <v>1117</v>
      </c>
      <c r="B90" s="9">
        <f>INDEX(Payment!$A$2:$M$328,MATCH(LEFT('Payment 1 through 9'!$A90,4),Payment!$A$2:$A$328,0),4)</f>
        <v>25548</v>
      </c>
      <c r="F90" s="9">
        <f>INDEX(FinalPayment!$F$2:$R$328,MATCH(LEFT('Payment 1 through 9'!$A90,4),FinalPayment!$F$2:$F$328,0),4)-B90</f>
        <v>911</v>
      </c>
    </row>
    <row r="91" spans="1:6" x14ac:dyDescent="0.55000000000000004">
      <c r="A91" t="s">
        <v>1333</v>
      </c>
      <c r="B91" s="9">
        <f>INDEX(Payment!$A$2:$M$328,MATCH(LEFT('Payment 1 through 9'!$A91,4),Payment!$A$2:$A$328,0),4)</f>
        <v>29491</v>
      </c>
      <c r="F91" s="9">
        <f>INDEX(FinalPayment!$F$2:$R$328,MATCH(LEFT('Payment 1 through 9'!$A91,4),FinalPayment!$F$2:$F$328,0),4)-B91</f>
        <v>7469</v>
      </c>
    </row>
    <row r="92" spans="1:6" x14ac:dyDescent="0.55000000000000004">
      <c r="A92" t="s">
        <v>1120</v>
      </c>
      <c r="B92" s="9">
        <f>INDEX(Payment!$A$2:$M$328,MATCH(LEFT('Payment 1 through 9'!$A92,4),Payment!$A$2:$A$328,0),4)</f>
        <v>7726</v>
      </c>
      <c r="F92" s="9">
        <f>INDEX(FinalPayment!$F$2:$R$328,MATCH(LEFT('Payment 1 through 9'!$A92,4),FinalPayment!$F$2:$F$328,0),4)-B92</f>
        <v>352</v>
      </c>
    </row>
    <row r="93" spans="1:6" x14ac:dyDescent="0.55000000000000004">
      <c r="A93" t="s">
        <v>1121</v>
      </c>
      <c r="B93" s="9">
        <f>INDEX(Payment!$A$2:$M$328,MATCH(LEFT('Payment 1 through 9'!$A93,4),Payment!$A$2:$A$328,0),4)</f>
        <v>13095</v>
      </c>
      <c r="F93" s="9">
        <f>INDEX(FinalPayment!$F$2:$R$328,MATCH(LEFT('Payment 1 through 9'!$A93,4),FinalPayment!$F$2:$F$328,0),4)-B93</f>
        <v>630</v>
      </c>
    </row>
    <row r="94" spans="1:6" x14ac:dyDescent="0.55000000000000004">
      <c r="A94" t="s">
        <v>1122</v>
      </c>
      <c r="B94" s="9">
        <f>INDEX(Payment!$A$2:$M$328,MATCH(LEFT('Payment 1 through 9'!$A94,4),Payment!$A$2:$A$328,0),4)</f>
        <v>4487</v>
      </c>
      <c r="F94" s="9">
        <f>INDEX(FinalPayment!$F$2:$R$328,MATCH(LEFT('Payment 1 through 9'!$A94,4),FinalPayment!$F$2:$F$328,0),4)-B94</f>
        <v>332</v>
      </c>
    </row>
    <row r="95" spans="1:6" x14ac:dyDescent="0.55000000000000004">
      <c r="A95" t="s">
        <v>1123</v>
      </c>
      <c r="B95" s="9">
        <f>INDEX(Payment!$A$2:$M$328,MATCH(LEFT('Payment 1 through 9'!$A95,4),Payment!$A$2:$A$328,0),4)</f>
        <v>17108</v>
      </c>
      <c r="F95" s="9">
        <f>INDEX(FinalPayment!$F$2:$R$328,MATCH(LEFT('Payment 1 through 9'!$A95,4),FinalPayment!$F$2:$F$328,0),4)-B95</f>
        <v>651</v>
      </c>
    </row>
    <row r="96" spans="1:6" x14ac:dyDescent="0.55000000000000004">
      <c r="A96" t="s">
        <v>1254</v>
      </c>
      <c r="B96" s="9">
        <f>INDEX(Payment!$A$2:$M$328,MATCH(LEFT('Payment 1 through 9'!$A96,4),Payment!$A$2:$A$328,0),4)</f>
        <v>12423</v>
      </c>
      <c r="F96" s="9">
        <f>INDEX(FinalPayment!$F$2:$R$328,MATCH(LEFT('Payment 1 through 9'!$A96,4),FinalPayment!$F$2:$F$328,0),4)-B96</f>
        <v>2691</v>
      </c>
    </row>
    <row r="97" spans="1:6" x14ac:dyDescent="0.55000000000000004">
      <c r="A97" t="s">
        <v>1124</v>
      </c>
      <c r="B97" s="9">
        <f>INDEX(Payment!$A$2:$M$328,MATCH(LEFT('Payment 1 through 9'!$A97,4),Payment!$A$2:$A$328,0),4)</f>
        <v>3148</v>
      </c>
      <c r="F97" s="9">
        <f>INDEX(FinalPayment!$F$2:$R$328,MATCH(LEFT('Payment 1 through 9'!$A97,4),FinalPayment!$F$2:$F$328,0),4)-B97</f>
        <v>598</v>
      </c>
    </row>
    <row r="98" spans="1:6" x14ac:dyDescent="0.55000000000000004">
      <c r="A98" t="s">
        <v>1125</v>
      </c>
      <c r="B98" s="9">
        <f>INDEX(Payment!$A$2:$M$328,MATCH(LEFT('Payment 1 through 9'!$A98,4),Payment!$A$2:$A$328,0),4)</f>
        <v>18651</v>
      </c>
      <c r="F98" s="9">
        <f>INDEX(FinalPayment!$F$2:$R$328,MATCH(LEFT('Payment 1 through 9'!$A98,4),FinalPayment!$F$2:$F$328,0),4)-B98</f>
        <v>753</v>
      </c>
    </row>
    <row r="99" spans="1:6" x14ac:dyDescent="0.55000000000000004">
      <c r="A99" t="s">
        <v>1126</v>
      </c>
      <c r="B99" s="9">
        <f>INDEX(Payment!$A$2:$M$328,MATCH(LEFT('Payment 1 through 9'!$A99,4),Payment!$A$2:$A$328,0),4)</f>
        <v>6290</v>
      </c>
      <c r="F99" s="9">
        <f>INDEX(FinalPayment!$F$2:$R$328,MATCH(LEFT('Payment 1 through 9'!$A99,4),FinalPayment!$F$2:$F$328,0),4)-B99</f>
        <v>174</v>
      </c>
    </row>
    <row r="100" spans="1:6" x14ac:dyDescent="0.55000000000000004">
      <c r="A100" t="s">
        <v>1255</v>
      </c>
      <c r="B100" s="9">
        <f>INDEX(Payment!$A$2:$M$328,MATCH(LEFT('Payment 1 through 9'!$A100,4),Payment!$A$2:$A$328,0),4)</f>
        <v>5282</v>
      </c>
      <c r="F100" s="9">
        <f>INDEX(FinalPayment!$F$2:$R$328,MATCH(LEFT('Payment 1 through 9'!$A100,4),FinalPayment!$F$2:$F$328,0),4)-B100</f>
        <v>490</v>
      </c>
    </row>
    <row r="101" spans="1:6" x14ac:dyDescent="0.55000000000000004">
      <c r="A101" t="s">
        <v>1128</v>
      </c>
      <c r="B101" s="9">
        <f>INDEX(Payment!$A$2:$M$328,MATCH(LEFT('Payment 1 through 9'!$A101,4),Payment!$A$2:$A$328,0),4)</f>
        <v>34260</v>
      </c>
      <c r="F101" s="9">
        <f>INDEX(FinalPayment!$F$2:$R$328,MATCH(LEFT('Payment 1 through 9'!$A101,4),FinalPayment!$F$2:$F$328,0),4)-B101</f>
        <v>694</v>
      </c>
    </row>
    <row r="102" spans="1:6" x14ac:dyDescent="0.55000000000000004">
      <c r="A102" t="s">
        <v>1129</v>
      </c>
      <c r="B102" s="9">
        <f>INDEX(Payment!$A$2:$M$328,MATCH(LEFT('Payment 1 through 9'!$A102,4),Payment!$A$2:$A$328,0),4)</f>
        <v>25844</v>
      </c>
      <c r="F102" s="9">
        <f>INDEX(FinalPayment!$F$2:$R$328,MATCH(LEFT('Payment 1 through 9'!$A102,4),FinalPayment!$F$2:$F$328,0),4)-B102</f>
        <v>649</v>
      </c>
    </row>
    <row r="103" spans="1:6" x14ac:dyDescent="0.55000000000000004">
      <c r="A103" t="s">
        <v>1256</v>
      </c>
      <c r="B103" s="9">
        <f>INDEX(Payment!$A$2:$M$328,MATCH(LEFT('Payment 1 through 9'!$A103,4),Payment!$A$2:$A$328,0),4)</f>
        <v>10881</v>
      </c>
      <c r="F103" s="9">
        <f>INDEX(FinalPayment!$F$2:$R$328,MATCH(LEFT('Payment 1 through 9'!$A103,4),FinalPayment!$F$2:$F$328,0),4)-B103</f>
        <v>740</v>
      </c>
    </row>
    <row r="104" spans="1:6" x14ac:dyDescent="0.55000000000000004">
      <c r="A104" t="s">
        <v>1130</v>
      </c>
      <c r="B104" s="9">
        <f>INDEX(Payment!$A$2:$M$328,MATCH(LEFT('Payment 1 through 9'!$A104,4),Payment!$A$2:$A$328,0),4)</f>
        <v>4995</v>
      </c>
      <c r="F104" s="9">
        <f>INDEX(FinalPayment!$F$2:$R$328,MATCH(LEFT('Payment 1 through 9'!$A104,4),FinalPayment!$F$2:$F$328,0),4)-B104</f>
        <v>446</v>
      </c>
    </row>
    <row r="105" spans="1:6" x14ac:dyDescent="0.55000000000000004">
      <c r="A105" t="s">
        <v>1131</v>
      </c>
      <c r="B105" s="9">
        <f>INDEX(Payment!$A$2:$M$328,MATCH(LEFT('Payment 1 through 9'!$A105,4),Payment!$A$2:$A$328,0),4)</f>
        <v>5025</v>
      </c>
      <c r="F105" s="9">
        <f>INDEX(FinalPayment!$F$2:$R$328,MATCH(LEFT('Payment 1 through 9'!$A105,4),FinalPayment!$F$2:$F$328,0),4)-B105</f>
        <v>547</v>
      </c>
    </row>
    <row r="106" spans="1:6" x14ac:dyDescent="0.55000000000000004">
      <c r="A106" t="s">
        <v>1132</v>
      </c>
      <c r="B106" s="9">
        <f>INDEX(Payment!$A$2:$M$328,MATCH(LEFT('Payment 1 through 9'!$A106,4),Payment!$A$2:$A$328,0),4)</f>
        <v>23902</v>
      </c>
      <c r="F106" s="9">
        <f>INDEX(FinalPayment!$F$2:$R$328,MATCH(LEFT('Payment 1 through 9'!$A106,4),FinalPayment!$F$2:$F$328,0),4)-B106</f>
        <v>855</v>
      </c>
    </row>
    <row r="107" spans="1:6" x14ac:dyDescent="0.55000000000000004">
      <c r="A107" t="s">
        <v>1135</v>
      </c>
      <c r="B107" s="9">
        <f>INDEX(Payment!$A$2:$M$328,MATCH(LEFT('Payment 1 through 9'!$A107,4),Payment!$A$2:$A$328,0),4)</f>
        <v>18582</v>
      </c>
      <c r="F107" s="9">
        <f>INDEX(FinalPayment!$F$2:$R$328,MATCH(LEFT('Payment 1 through 9'!$A107,4),FinalPayment!$F$2:$F$328,0),4)-B107</f>
        <v>817</v>
      </c>
    </row>
    <row r="108" spans="1:6" x14ac:dyDescent="0.55000000000000004">
      <c r="A108" t="s">
        <v>1133</v>
      </c>
      <c r="B108" s="9">
        <f>INDEX(Payment!$A$2:$M$328,MATCH(LEFT('Payment 1 through 9'!$A108,4),Payment!$A$2:$A$328,0),4)</f>
        <v>23482</v>
      </c>
      <c r="F108" s="9">
        <f>INDEX(FinalPayment!$F$2:$R$328,MATCH(LEFT('Payment 1 through 9'!$A108,4),FinalPayment!$F$2:$F$328,0),4)-B108</f>
        <v>567</v>
      </c>
    </row>
    <row r="109" spans="1:6" x14ac:dyDescent="0.55000000000000004">
      <c r="A109" t="s">
        <v>1134</v>
      </c>
      <c r="B109" s="9">
        <f>INDEX(Payment!$A$2:$M$328,MATCH(LEFT('Payment 1 through 9'!$A109,4),Payment!$A$2:$A$328,0),4)</f>
        <v>22686</v>
      </c>
      <c r="F109" s="9">
        <f>INDEX(FinalPayment!$F$2:$R$328,MATCH(LEFT('Payment 1 through 9'!$A109,4),FinalPayment!$F$2:$F$328,0),4)-B109</f>
        <v>1332</v>
      </c>
    </row>
    <row r="110" spans="1:6" x14ac:dyDescent="0.55000000000000004">
      <c r="A110" t="s">
        <v>1334</v>
      </c>
      <c r="B110" s="9">
        <f>INDEX(Payment!$A$2:$M$328,MATCH(LEFT('Payment 1 through 9'!$A110,4),Payment!$A$2:$A$328,0),4)</f>
        <v>1549</v>
      </c>
      <c r="F110" s="9">
        <f>INDEX(FinalPayment!$F$2:$R$328,MATCH(LEFT('Payment 1 through 9'!$A110,4),FinalPayment!$F$2:$F$328,0),4)-B110</f>
        <v>856</v>
      </c>
    </row>
    <row r="111" spans="1:6" x14ac:dyDescent="0.55000000000000004">
      <c r="A111" t="s">
        <v>1335</v>
      </c>
      <c r="B111" s="9">
        <f>INDEX(Payment!$A$2:$M$328,MATCH(LEFT('Payment 1 through 9'!$A111,4),Payment!$A$2:$A$328,0),4)</f>
        <v>1482</v>
      </c>
      <c r="F111" s="9">
        <f>INDEX(FinalPayment!$F$2:$R$328,MATCH(LEFT('Payment 1 through 9'!$A111,4),FinalPayment!$F$2:$F$328,0),4)-B111</f>
        <v>1015</v>
      </c>
    </row>
    <row r="112" spans="1:6" x14ac:dyDescent="0.55000000000000004">
      <c r="A112" t="s">
        <v>1136</v>
      </c>
      <c r="B112" s="9">
        <f>INDEX(Payment!$A$2:$M$328,MATCH(LEFT('Payment 1 through 9'!$A112,4),Payment!$A$2:$A$328,0),4)</f>
        <v>2267</v>
      </c>
      <c r="F112" s="9">
        <f>INDEX(FinalPayment!$F$2:$R$328,MATCH(LEFT('Payment 1 through 9'!$A112,4),FinalPayment!$F$2:$F$328,0),4)-B112</f>
        <v>371</v>
      </c>
    </row>
    <row r="113" spans="1:6" x14ac:dyDescent="0.55000000000000004">
      <c r="A113" t="s">
        <v>1137</v>
      </c>
      <c r="B113" s="9">
        <f>INDEX(Payment!$A$2:$M$328,MATCH(LEFT('Payment 1 through 9'!$A113,4),Payment!$A$2:$A$328,0),4)</f>
        <v>3847</v>
      </c>
      <c r="F113" s="9">
        <f>INDEX(FinalPayment!$F$2:$R$328,MATCH(LEFT('Payment 1 through 9'!$A113,4),FinalPayment!$F$2:$F$328,0),4)-B113</f>
        <v>263</v>
      </c>
    </row>
    <row r="114" spans="1:6" x14ac:dyDescent="0.55000000000000004">
      <c r="A114" t="s">
        <v>1138</v>
      </c>
      <c r="B114" s="9">
        <f>INDEX(Payment!$A$2:$M$328,MATCH(LEFT('Payment 1 through 9'!$A114,4),Payment!$A$2:$A$328,0),4)</f>
        <v>3348</v>
      </c>
      <c r="F114" s="9">
        <f>INDEX(FinalPayment!$F$2:$R$328,MATCH(LEFT('Payment 1 through 9'!$A114,4),FinalPayment!$F$2:$F$328,0),4)-B114</f>
        <v>233</v>
      </c>
    </row>
    <row r="115" spans="1:6" x14ac:dyDescent="0.55000000000000004">
      <c r="A115" t="s">
        <v>1139</v>
      </c>
      <c r="B115" s="9">
        <f>INDEX(Payment!$A$2:$M$328,MATCH(LEFT('Payment 1 through 9'!$A115,4),Payment!$A$2:$A$328,0),4)</f>
        <v>14648</v>
      </c>
      <c r="F115" s="9">
        <f>INDEX(FinalPayment!$F$2:$R$328,MATCH(LEFT('Payment 1 through 9'!$A115,4),FinalPayment!$F$2:$F$328,0),4)-B115</f>
        <v>643</v>
      </c>
    </row>
    <row r="116" spans="1:6" x14ac:dyDescent="0.55000000000000004">
      <c r="A116" t="s">
        <v>1257</v>
      </c>
      <c r="B116" s="9">
        <f>INDEX(Payment!$A$2:$M$328,MATCH(LEFT('Payment 1 through 9'!$A116,4),Payment!$A$2:$A$328,0),4)</f>
        <v>4454</v>
      </c>
      <c r="F116" s="9">
        <f>INDEX(FinalPayment!$F$2:$R$328,MATCH(LEFT('Payment 1 through 9'!$A116,4),FinalPayment!$F$2:$F$328,0),4)-B116</f>
        <v>258</v>
      </c>
    </row>
    <row r="117" spans="1:6" x14ac:dyDescent="0.55000000000000004">
      <c r="A117" t="s">
        <v>1258</v>
      </c>
      <c r="B117" s="9">
        <f>INDEX(Payment!$A$2:$M$328,MATCH(LEFT('Payment 1 through 9'!$A117,4),Payment!$A$2:$A$328,0),4)</f>
        <v>6960</v>
      </c>
      <c r="F117" s="9">
        <f>INDEX(FinalPayment!$F$2:$R$328,MATCH(LEFT('Payment 1 through 9'!$A117,4),FinalPayment!$F$2:$F$328,0),4)-B117</f>
        <v>635</v>
      </c>
    </row>
    <row r="118" spans="1:6" x14ac:dyDescent="0.55000000000000004">
      <c r="A118" t="s">
        <v>1259</v>
      </c>
      <c r="B118" s="9">
        <f>INDEX(Payment!$A$2:$M$328,MATCH(LEFT('Payment 1 through 9'!$A118,4),Payment!$A$2:$A$328,0),4)</f>
        <v>8610</v>
      </c>
      <c r="F118" s="9">
        <f>INDEX(FinalPayment!$F$2:$R$328,MATCH(LEFT('Payment 1 through 9'!$A118,4),FinalPayment!$F$2:$F$328,0),4)-B118</f>
        <v>992</v>
      </c>
    </row>
    <row r="119" spans="1:6" x14ac:dyDescent="0.55000000000000004">
      <c r="A119" t="s">
        <v>1140</v>
      </c>
      <c r="B119" s="9">
        <f>INDEX(Payment!$A$2:$M$328,MATCH(LEFT('Payment 1 through 9'!$A119,4),Payment!$A$2:$A$328,0),4)</f>
        <v>6267</v>
      </c>
      <c r="F119" s="9">
        <f>INDEX(FinalPayment!$F$2:$R$328,MATCH(LEFT('Payment 1 through 9'!$A119,4),FinalPayment!$F$2:$F$328,0),4)-B119</f>
        <v>457</v>
      </c>
    </row>
    <row r="120" spans="1:6" x14ac:dyDescent="0.55000000000000004">
      <c r="A120" t="s">
        <v>1107</v>
      </c>
      <c r="B120" s="9">
        <f>INDEX(Payment!$A$2:$M$328,MATCH(LEFT('Payment 1 through 9'!$A120,4),Payment!$A$2:$A$328,0),4)</f>
        <v>37357</v>
      </c>
      <c r="F120" s="9">
        <f>INDEX(FinalPayment!$F$2:$R$328,MATCH(LEFT('Payment 1 through 9'!$A120,4),FinalPayment!$F$2:$F$328,0),4)-B120</f>
        <v>679</v>
      </c>
    </row>
    <row r="121" spans="1:6" x14ac:dyDescent="0.55000000000000004">
      <c r="A121" t="s">
        <v>1260</v>
      </c>
      <c r="B121" s="9">
        <f>INDEX(Payment!$A$2:$M$328,MATCH(LEFT('Payment 1 through 9'!$A121,4),Payment!$A$2:$A$328,0),4)</f>
        <v>27143</v>
      </c>
      <c r="F121" s="9">
        <f>INDEX(FinalPayment!$F$2:$R$328,MATCH(LEFT('Payment 1 through 9'!$A121,4),FinalPayment!$F$2:$F$328,0),4)-B121</f>
        <v>609</v>
      </c>
    </row>
    <row r="122" spans="1:6" x14ac:dyDescent="0.55000000000000004">
      <c r="A122" t="s">
        <v>1336</v>
      </c>
      <c r="B122" s="9">
        <f>INDEX(Payment!$A$2:$M$328,MATCH(LEFT('Payment 1 through 9'!$A122,4),Payment!$A$2:$A$328,0),4)</f>
        <v>4533</v>
      </c>
      <c r="F122" s="9">
        <f>INDEX(FinalPayment!$F$2:$R$328,MATCH(LEFT('Payment 1 through 9'!$A122,4),FinalPayment!$F$2:$F$328,0),4)-B122</f>
        <v>819</v>
      </c>
    </row>
    <row r="123" spans="1:6" x14ac:dyDescent="0.55000000000000004">
      <c r="A123" t="s">
        <v>1143</v>
      </c>
      <c r="B123" s="9">
        <f>INDEX(Payment!$A$2:$M$328,MATCH(LEFT('Payment 1 through 9'!$A123,4),Payment!$A$2:$A$328,0),4)</f>
        <v>17706</v>
      </c>
      <c r="F123" s="9">
        <f>INDEX(FinalPayment!$F$2:$R$328,MATCH(LEFT('Payment 1 through 9'!$A123,4),FinalPayment!$F$2:$F$328,0),4)-B123</f>
        <v>1189</v>
      </c>
    </row>
    <row r="124" spans="1:6" x14ac:dyDescent="0.55000000000000004">
      <c r="A124" t="s">
        <v>1261</v>
      </c>
      <c r="B124" s="9">
        <f>INDEX(Payment!$A$2:$M$328,MATCH(LEFT('Payment 1 through 9'!$A124,4),Payment!$A$2:$A$328,0),4)</f>
        <v>789</v>
      </c>
      <c r="F124" s="9">
        <f>INDEX(FinalPayment!$F$2:$R$328,MATCH(LEFT('Payment 1 through 9'!$A124,4),FinalPayment!$F$2:$F$328,0),4)-B124</f>
        <v>485</v>
      </c>
    </row>
    <row r="125" spans="1:6" x14ac:dyDescent="0.55000000000000004">
      <c r="A125" t="s">
        <v>1145</v>
      </c>
      <c r="B125" s="9">
        <f>INDEX(Payment!$A$2:$M$328,MATCH(LEFT('Payment 1 through 9'!$A125,4),Payment!$A$2:$A$328,0),4)</f>
        <v>9702</v>
      </c>
      <c r="F125" s="9">
        <f>INDEX(FinalPayment!$F$2:$R$328,MATCH(LEFT('Payment 1 through 9'!$A125,4),FinalPayment!$F$2:$F$328,0),4)-B125</f>
        <v>290</v>
      </c>
    </row>
    <row r="126" spans="1:6" x14ac:dyDescent="0.55000000000000004">
      <c r="A126" t="s">
        <v>1262</v>
      </c>
      <c r="B126" s="9">
        <f>INDEX(Payment!$A$2:$M$328,MATCH(LEFT('Payment 1 through 9'!$A126,4),Payment!$A$2:$A$328,0),4)</f>
        <v>7431</v>
      </c>
      <c r="F126" s="9">
        <f>INDEX(FinalPayment!$F$2:$R$328,MATCH(LEFT('Payment 1 through 9'!$A126,4),FinalPayment!$F$2:$F$328,0),4)-B126</f>
        <v>654</v>
      </c>
    </row>
    <row r="127" spans="1:6" x14ac:dyDescent="0.55000000000000004">
      <c r="A127" t="s">
        <v>1144</v>
      </c>
      <c r="B127" s="9">
        <f>INDEX(Payment!$A$2:$M$328,MATCH(LEFT('Payment 1 through 9'!$A127,4),Payment!$A$2:$A$328,0),4)</f>
        <v>2753</v>
      </c>
      <c r="F127" s="9">
        <f>INDEX(FinalPayment!$F$2:$R$328,MATCH(LEFT('Payment 1 through 9'!$A127,4),FinalPayment!$F$2:$F$328,0),4)-B127</f>
        <v>476</v>
      </c>
    </row>
    <row r="128" spans="1:6" x14ac:dyDescent="0.55000000000000004">
      <c r="A128" t="s">
        <v>1263</v>
      </c>
      <c r="B128" s="9">
        <f>INDEX(Payment!$A$2:$M$328,MATCH(LEFT('Payment 1 through 9'!$A128,4),Payment!$A$2:$A$328,0),4)</f>
        <v>11876</v>
      </c>
      <c r="F128" s="9">
        <f>INDEX(FinalPayment!$F$2:$R$328,MATCH(LEFT('Payment 1 through 9'!$A128,4),FinalPayment!$F$2:$F$328,0),4)-B128</f>
        <v>1828</v>
      </c>
    </row>
    <row r="129" spans="1:6" x14ac:dyDescent="0.55000000000000004">
      <c r="A129" t="s">
        <v>1146</v>
      </c>
      <c r="B129" s="9">
        <f>INDEX(Payment!$A$2:$M$328,MATCH(LEFT('Payment 1 through 9'!$A129,4),Payment!$A$2:$A$328,0),4)</f>
        <v>7960</v>
      </c>
      <c r="F129" s="9">
        <f>INDEX(FinalPayment!$F$2:$R$328,MATCH(LEFT('Payment 1 through 9'!$A129,4),FinalPayment!$F$2:$F$328,0),4)-B129</f>
        <v>472</v>
      </c>
    </row>
    <row r="130" spans="1:6" x14ac:dyDescent="0.55000000000000004">
      <c r="A130" t="s">
        <v>1066</v>
      </c>
      <c r="B130" s="9">
        <f>INDEX(Payment!$A$2:$M$328,MATCH(LEFT('Payment 1 through 9'!$A130,4),Payment!$A$2:$A$328,0),4)</f>
        <v>12413</v>
      </c>
      <c r="F130" s="9">
        <f>INDEX(FinalPayment!$F$2:$R$328,MATCH(LEFT('Payment 1 through 9'!$A130,4),FinalPayment!$F$2:$F$328,0),4)-B130</f>
        <v>434</v>
      </c>
    </row>
    <row r="131" spans="1:6" x14ac:dyDescent="0.55000000000000004">
      <c r="A131" t="s">
        <v>1142</v>
      </c>
      <c r="B131" s="9">
        <f>INDEX(Payment!$A$2:$M$328,MATCH(LEFT('Payment 1 through 9'!$A131,4),Payment!$A$2:$A$328,0),4)</f>
        <v>14411</v>
      </c>
      <c r="F131" s="9">
        <f>INDEX(FinalPayment!$F$2:$R$328,MATCH(LEFT('Payment 1 through 9'!$A131,4),FinalPayment!$F$2:$F$328,0),4)-B131</f>
        <v>553</v>
      </c>
    </row>
    <row r="132" spans="1:6" x14ac:dyDescent="0.55000000000000004">
      <c r="A132" t="s">
        <v>1147</v>
      </c>
      <c r="B132" s="9">
        <f>INDEX(Payment!$A$2:$M$328,MATCH(LEFT('Payment 1 through 9'!$A132,4),Payment!$A$2:$A$328,0),4)</f>
        <v>4525</v>
      </c>
      <c r="F132" s="9">
        <f>INDEX(FinalPayment!$F$2:$R$328,MATCH(LEFT('Payment 1 through 9'!$A132,4),FinalPayment!$F$2:$F$328,0),4)-B132</f>
        <v>541</v>
      </c>
    </row>
    <row r="133" spans="1:6" x14ac:dyDescent="0.55000000000000004">
      <c r="A133" t="s">
        <v>1148</v>
      </c>
      <c r="B133" s="9">
        <f>INDEX(Payment!$A$2:$M$328,MATCH(LEFT('Payment 1 through 9'!$A133,4),Payment!$A$2:$A$328,0),4)</f>
        <v>7304</v>
      </c>
      <c r="F133" s="9">
        <f>INDEX(FinalPayment!$F$2:$R$328,MATCH(LEFT('Payment 1 through 9'!$A133,4),FinalPayment!$F$2:$F$328,0),4)-B133</f>
        <v>1044</v>
      </c>
    </row>
    <row r="134" spans="1:6" x14ac:dyDescent="0.55000000000000004">
      <c r="A134" t="s">
        <v>1264</v>
      </c>
      <c r="B134" s="9">
        <f>INDEX(Payment!$A$2:$M$328,MATCH(LEFT('Payment 1 through 9'!$A134,4),Payment!$A$2:$A$328,0),4)</f>
        <v>601</v>
      </c>
      <c r="F134" s="9">
        <f>INDEX(FinalPayment!$F$2:$R$328,MATCH(LEFT('Payment 1 through 9'!$A134,4),FinalPayment!$F$2:$F$328,0),4)-B134</f>
        <v>645</v>
      </c>
    </row>
    <row r="135" spans="1:6" x14ac:dyDescent="0.55000000000000004">
      <c r="A135" t="s">
        <v>1149</v>
      </c>
      <c r="B135" s="9">
        <f>INDEX(Payment!$A$2:$M$328,MATCH(LEFT('Payment 1 through 9'!$A135,4),Payment!$A$2:$A$328,0),4)</f>
        <v>7203</v>
      </c>
      <c r="F135" s="9">
        <f>INDEX(FinalPayment!$F$2:$R$328,MATCH(LEFT('Payment 1 through 9'!$A135,4),FinalPayment!$F$2:$F$328,0),4)-B135</f>
        <v>225</v>
      </c>
    </row>
    <row r="136" spans="1:6" x14ac:dyDescent="0.55000000000000004">
      <c r="A136" t="s">
        <v>1337</v>
      </c>
      <c r="B136" s="9">
        <f>INDEX(Payment!$A$2:$M$328,MATCH(LEFT('Payment 1 through 9'!$A136,4),Payment!$A$2:$A$328,0),4)</f>
        <v>3031</v>
      </c>
      <c r="F136" s="9">
        <f>INDEX(FinalPayment!$F$2:$R$328,MATCH(LEFT('Payment 1 through 9'!$A136,4),FinalPayment!$F$2:$F$328,0),4)-B136</f>
        <v>201</v>
      </c>
    </row>
    <row r="137" spans="1:6" x14ac:dyDescent="0.55000000000000004">
      <c r="A137" t="s">
        <v>1265</v>
      </c>
      <c r="B137" s="9">
        <f>INDEX(Payment!$A$2:$M$328,MATCH(LEFT('Payment 1 through 9'!$A137,4),Payment!$A$2:$A$328,0),4)</f>
        <v>17286</v>
      </c>
      <c r="F137" s="9">
        <f>INDEX(FinalPayment!$F$2:$R$328,MATCH(LEFT('Payment 1 through 9'!$A137,4),FinalPayment!$F$2:$F$328,0),4)-B137</f>
        <v>972</v>
      </c>
    </row>
    <row r="138" spans="1:6" x14ac:dyDescent="0.55000000000000004">
      <c r="A138" t="s">
        <v>1338</v>
      </c>
      <c r="B138" s="9">
        <f>INDEX(Payment!$A$2:$M$328,MATCH(LEFT('Payment 1 through 9'!$A138,4),Payment!$A$2:$A$328,0),4)</f>
        <v>3376</v>
      </c>
      <c r="F138" s="9">
        <f>INDEX(FinalPayment!$F$2:$R$328,MATCH(LEFT('Payment 1 through 9'!$A138,4),FinalPayment!$F$2:$F$328,0),4)-B138</f>
        <v>2464</v>
      </c>
    </row>
    <row r="139" spans="1:6" x14ac:dyDescent="0.55000000000000004">
      <c r="A139" t="s">
        <v>1150</v>
      </c>
      <c r="B139" s="9">
        <f>INDEX(Payment!$A$2:$M$328,MATCH(LEFT('Payment 1 through 9'!$A139,4),Payment!$A$2:$A$328,0),4)</f>
        <v>10433</v>
      </c>
      <c r="F139" s="9">
        <f>INDEX(FinalPayment!$F$2:$R$328,MATCH(LEFT('Payment 1 through 9'!$A139,4),FinalPayment!$F$2:$F$328,0),4)-B139</f>
        <v>738</v>
      </c>
    </row>
    <row r="140" spans="1:6" x14ac:dyDescent="0.55000000000000004">
      <c r="A140" t="s">
        <v>1151</v>
      </c>
      <c r="B140" s="9">
        <f>INDEX(Payment!$A$2:$M$328,MATCH(LEFT('Payment 1 through 9'!$A140,4),Payment!$A$2:$A$328,0),4)</f>
        <v>8999</v>
      </c>
      <c r="F140" s="9">
        <f>INDEX(FinalPayment!$F$2:$R$328,MATCH(LEFT('Payment 1 through 9'!$A140,4),FinalPayment!$F$2:$F$328,0),4)-B140</f>
        <v>224</v>
      </c>
    </row>
    <row r="141" spans="1:6" x14ac:dyDescent="0.55000000000000004">
      <c r="A141" t="s">
        <v>1339</v>
      </c>
      <c r="B141" s="9">
        <f>INDEX(Payment!$A$2:$M$328,MATCH(LEFT('Payment 1 through 9'!$A141,4),Payment!$A$2:$A$328,0),4)</f>
        <v>3056</v>
      </c>
      <c r="F141" s="9">
        <f>INDEX(FinalPayment!$F$2:$R$328,MATCH(LEFT('Payment 1 through 9'!$A141,4),FinalPayment!$F$2:$F$328,0),4)-B141</f>
        <v>1133</v>
      </c>
    </row>
    <row r="142" spans="1:6" x14ac:dyDescent="0.55000000000000004">
      <c r="A142" t="s">
        <v>1152</v>
      </c>
      <c r="B142" s="9">
        <f>INDEX(Payment!$A$2:$M$328,MATCH(LEFT('Payment 1 through 9'!$A142,4),Payment!$A$2:$A$328,0),4)</f>
        <v>24568</v>
      </c>
      <c r="F142" s="9">
        <f>INDEX(FinalPayment!$F$2:$R$328,MATCH(LEFT('Payment 1 through 9'!$A142,4),FinalPayment!$F$2:$F$328,0),4)-B142</f>
        <v>633</v>
      </c>
    </row>
    <row r="143" spans="1:6" x14ac:dyDescent="0.55000000000000004">
      <c r="A143" t="s">
        <v>1266</v>
      </c>
      <c r="B143" s="9">
        <f>INDEX(Payment!$A$2:$M$328,MATCH(LEFT('Payment 1 through 9'!$A143,4),Payment!$A$2:$A$328,0),4)</f>
        <v>19895</v>
      </c>
      <c r="F143" s="9">
        <f>INDEX(FinalPayment!$F$2:$R$328,MATCH(LEFT('Payment 1 through 9'!$A143,4),FinalPayment!$F$2:$F$328,0),4)-B143</f>
        <v>704</v>
      </c>
    </row>
    <row r="144" spans="1:6" x14ac:dyDescent="0.55000000000000004">
      <c r="A144" t="s">
        <v>1153</v>
      </c>
      <c r="B144" s="9">
        <f>INDEX(Payment!$A$2:$M$328,MATCH(LEFT('Payment 1 through 9'!$A144,4),Payment!$A$2:$A$328,0),4)</f>
        <v>23738</v>
      </c>
      <c r="F144" s="9">
        <f>INDEX(FinalPayment!$F$2:$R$328,MATCH(LEFT('Payment 1 through 9'!$A144,4),FinalPayment!$F$2:$F$328,0),4)-B144</f>
        <v>608</v>
      </c>
    </row>
    <row r="145" spans="1:6" x14ac:dyDescent="0.55000000000000004">
      <c r="A145" t="s">
        <v>1340</v>
      </c>
      <c r="B145" s="9">
        <f>INDEX(Payment!$A$2:$M$328,MATCH(LEFT('Payment 1 through 9'!$A145,4),Payment!$A$2:$A$328,0),4)</f>
        <v>2684</v>
      </c>
      <c r="F145" s="9">
        <f>INDEX(FinalPayment!$F$2:$R$328,MATCH(LEFT('Payment 1 through 9'!$A145,4),FinalPayment!$F$2:$F$328,0),4)-B145</f>
        <v>332</v>
      </c>
    </row>
    <row r="146" spans="1:6" x14ac:dyDescent="0.55000000000000004">
      <c r="A146" t="s">
        <v>1267</v>
      </c>
      <c r="B146" s="9">
        <f>INDEX(Payment!$A$2:$M$328,MATCH(LEFT('Payment 1 through 9'!$A146,4),Payment!$A$2:$A$328,0),4)</f>
        <v>4596</v>
      </c>
      <c r="F146" s="9">
        <f>INDEX(FinalPayment!$F$2:$R$328,MATCH(LEFT('Payment 1 through 9'!$A146,4),FinalPayment!$F$2:$F$328,0),4)-B146</f>
        <v>332</v>
      </c>
    </row>
    <row r="147" spans="1:6" x14ac:dyDescent="0.55000000000000004">
      <c r="A147" t="s">
        <v>1096</v>
      </c>
      <c r="B147" s="9">
        <f>INDEX(Payment!$A$2:$M$328,MATCH(LEFT('Payment 1 through 9'!$A147,4),Payment!$A$2:$A$328,0),4)</f>
        <v>10570</v>
      </c>
      <c r="F147" s="9">
        <f>INDEX(FinalPayment!$F$2:$R$328,MATCH(LEFT('Payment 1 through 9'!$A147,4),FinalPayment!$F$2:$F$328,0),4)-B147</f>
        <v>431</v>
      </c>
    </row>
    <row r="148" spans="1:6" x14ac:dyDescent="0.55000000000000004">
      <c r="A148" t="s">
        <v>1154</v>
      </c>
      <c r="B148" s="9">
        <f>INDEX(Payment!$A$2:$M$328,MATCH(LEFT('Payment 1 through 9'!$A148,4),Payment!$A$2:$A$328,0),4)</f>
        <v>8935</v>
      </c>
      <c r="F148" s="9">
        <f>INDEX(FinalPayment!$F$2:$R$328,MATCH(LEFT('Payment 1 through 9'!$A148,4),FinalPayment!$F$2:$F$328,0),4)-B148</f>
        <v>735</v>
      </c>
    </row>
    <row r="149" spans="1:6" x14ac:dyDescent="0.55000000000000004">
      <c r="A149" t="s">
        <v>1155</v>
      </c>
      <c r="B149" s="9">
        <f>INDEX(Payment!$A$2:$M$328,MATCH(LEFT('Payment 1 through 9'!$A149,4),Payment!$A$2:$A$328,0),4)</f>
        <v>7234</v>
      </c>
      <c r="F149" s="9">
        <f>INDEX(FinalPayment!$F$2:$R$328,MATCH(LEFT('Payment 1 through 9'!$A149,4),FinalPayment!$F$2:$F$328,0),4)-B149</f>
        <v>438</v>
      </c>
    </row>
    <row r="150" spans="1:6" x14ac:dyDescent="0.55000000000000004">
      <c r="A150" t="s">
        <v>1156</v>
      </c>
      <c r="B150" s="9">
        <f>INDEX(Payment!$A$2:$M$328,MATCH(LEFT('Payment 1 through 9'!$A150,4),Payment!$A$2:$A$328,0),4)</f>
        <v>10660</v>
      </c>
      <c r="F150" s="9">
        <f>INDEX(FinalPayment!$F$2:$R$328,MATCH(LEFT('Payment 1 through 9'!$A150,4),FinalPayment!$F$2:$F$328,0),4)-B150</f>
        <v>230</v>
      </c>
    </row>
    <row r="151" spans="1:6" x14ac:dyDescent="0.55000000000000004">
      <c r="A151" t="s">
        <v>1158</v>
      </c>
      <c r="B151" s="9">
        <f>INDEX(Payment!$A$2:$M$328,MATCH(LEFT('Payment 1 through 9'!$A151,4),Payment!$A$2:$A$328,0),4)</f>
        <v>4514</v>
      </c>
      <c r="F151" s="9">
        <f>INDEX(FinalPayment!$F$2:$R$328,MATCH(LEFT('Payment 1 through 9'!$A151,4),FinalPayment!$F$2:$F$328,0),4)-B151</f>
        <v>1192</v>
      </c>
    </row>
    <row r="152" spans="1:6" x14ac:dyDescent="0.55000000000000004">
      <c r="A152" t="s">
        <v>1159</v>
      </c>
      <c r="B152" s="9">
        <f>INDEX(Payment!$A$2:$M$328,MATCH(LEFT('Payment 1 through 9'!$A152,4),Payment!$A$2:$A$328,0),4)</f>
        <v>7633</v>
      </c>
      <c r="F152" s="9">
        <f>INDEX(FinalPayment!$F$2:$R$328,MATCH(LEFT('Payment 1 through 9'!$A152,4),FinalPayment!$F$2:$F$328,0),4)-B152</f>
        <v>388</v>
      </c>
    </row>
    <row r="153" spans="1:6" x14ac:dyDescent="0.55000000000000004">
      <c r="A153" t="s">
        <v>1160</v>
      </c>
      <c r="B153" s="9">
        <f>INDEX(Payment!$A$2:$M$328,MATCH(LEFT('Payment 1 through 9'!$A153,4),Payment!$A$2:$A$328,0),4)</f>
        <v>11148</v>
      </c>
      <c r="F153" s="9">
        <f>INDEX(FinalPayment!$F$2:$R$328,MATCH(LEFT('Payment 1 through 9'!$A153,4),FinalPayment!$F$2:$F$328,0),4)-B153</f>
        <v>275</v>
      </c>
    </row>
    <row r="154" spans="1:6" x14ac:dyDescent="0.55000000000000004">
      <c r="A154" t="s">
        <v>1161</v>
      </c>
      <c r="B154" s="9">
        <f>INDEX(Payment!$A$2:$M$328,MATCH(LEFT('Payment 1 through 9'!$A154,4),Payment!$A$2:$A$328,0),4)</f>
        <v>1912</v>
      </c>
      <c r="F154" s="9">
        <f>INDEX(FinalPayment!$F$2:$R$328,MATCH(LEFT('Payment 1 through 9'!$A154,4),FinalPayment!$F$2:$F$328,0),4)-B154</f>
        <v>290</v>
      </c>
    </row>
    <row r="155" spans="1:6" x14ac:dyDescent="0.55000000000000004">
      <c r="A155" t="s">
        <v>1268</v>
      </c>
      <c r="B155" s="9">
        <f>INDEX(Payment!$A$2:$M$328,MATCH(LEFT('Payment 1 through 9'!$A155,4),Payment!$A$2:$A$328,0),4)</f>
        <v>373</v>
      </c>
      <c r="F155" s="9">
        <f>INDEX(FinalPayment!$F$2:$R$328,MATCH(LEFT('Payment 1 through 9'!$A155,4),FinalPayment!$F$2:$F$328,0),4)-B155</f>
        <v>1112</v>
      </c>
    </row>
    <row r="156" spans="1:6" x14ac:dyDescent="0.55000000000000004">
      <c r="A156" t="s">
        <v>1269</v>
      </c>
      <c r="B156" s="9">
        <f>INDEX(Payment!$A$2:$M$328,MATCH(LEFT('Payment 1 through 9'!$A156,4),Payment!$A$2:$A$328,0),4)</f>
        <v>8937</v>
      </c>
      <c r="F156" s="9">
        <f>INDEX(FinalPayment!$F$2:$R$328,MATCH(LEFT('Payment 1 through 9'!$A156,4),FinalPayment!$F$2:$F$328,0),4)-B156</f>
        <v>794</v>
      </c>
    </row>
    <row r="157" spans="1:6" x14ac:dyDescent="0.55000000000000004">
      <c r="A157" t="s">
        <v>1163</v>
      </c>
      <c r="B157" s="9">
        <f>INDEX(Payment!$A$2:$M$328,MATCH(LEFT('Payment 1 through 9'!$A157,4),Payment!$A$2:$A$328,0),4)</f>
        <v>13337</v>
      </c>
      <c r="F157" s="9">
        <f>INDEX(FinalPayment!$F$2:$R$328,MATCH(LEFT('Payment 1 through 9'!$A157,4),FinalPayment!$F$2:$F$328,0),4)-B157</f>
        <v>396</v>
      </c>
    </row>
    <row r="158" spans="1:6" x14ac:dyDescent="0.55000000000000004">
      <c r="A158" t="s">
        <v>1164</v>
      </c>
      <c r="B158" s="9">
        <f>INDEX(Payment!$A$2:$M$328,MATCH(LEFT('Payment 1 through 9'!$A158,4),Payment!$A$2:$A$328,0),4)</f>
        <v>11090</v>
      </c>
      <c r="F158" s="9">
        <f>INDEX(FinalPayment!$F$2:$R$328,MATCH(LEFT('Payment 1 through 9'!$A158,4),FinalPayment!$F$2:$F$328,0),4)-B158</f>
        <v>511</v>
      </c>
    </row>
    <row r="159" spans="1:6" x14ac:dyDescent="0.55000000000000004">
      <c r="A159" t="s">
        <v>1165</v>
      </c>
      <c r="B159" s="9">
        <f>INDEX(Payment!$A$2:$M$328,MATCH(LEFT('Payment 1 through 9'!$A159,4),Payment!$A$2:$A$328,0),4)</f>
        <v>18654</v>
      </c>
      <c r="F159" s="9">
        <f>INDEX(FinalPayment!$F$2:$R$328,MATCH(LEFT('Payment 1 through 9'!$A159,4),FinalPayment!$F$2:$F$328,0),4)-B159</f>
        <v>1001</v>
      </c>
    </row>
    <row r="160" spans="1:6" x14ac:dyDescent="0.55000000000000004">
      <c r="A160" t="s">
        <v>1167</v>
      </c>
      <c r="B160" s="9">
        <f>INDEX(Payment!$A$2:$M$328,MATCH(LEFT('Payment 1 through 9'!$A160,4),Payment!$A$2:$A$328,0),4)</f>
        <v>14176</v>
      </c>
      <c r="F160" s="9">
        <f>INDEX(FinalPayment!$F$2:$R$328,MATCH(LEFT('Payment 1 through 9'!$A160,4),FinalPayment!$F$2:$F$328,0),4)-B160</f>
        <v>666</v>
      </c>
    </row>
    <row r="161" spans="1:6" x14ac:dyDescent="0.55000000000000004">
      <c r="A161" t="s">
        <v>1270</v>
      </c>
      <c r="B161" s="9">
        <f>INDEX(Payment!$A$2:$M$328,MATCH(LEFT('Payment 1 through 9'!$A161,4),Payment!$A$2:$A$328,0),4)</f>
        <v>5590</v>
      </c>
      <c r="F161" s="9">
        <f>INDEX(FinalPayment!$F$2:$R$328,MATCH(LEFT('Payment 1 through 9'!$A161,4),FinalPayment!$F$2:$F$328,0),4)-B161</f>
        <v>647</v>
      </c>
    </row>
    <row r="162" spans="1:6" x14ac:dyDescent="0.55000000000000004">
      <c r="A162" t="s">
        <v>1271</v>
      </c>
      <c r="B162" s="9">
        <f>INDEX(Payment!$A$2:$M$328,MATCH(LEFT('Payment 1 through 9'!$A162,4),Payment!$A$2:$A$328,0),4)</f>
        <v>2426</v>
      </c>
      <c r="F162" s="9">
        <f>INDEX(FinalPayment!$F$2:$R$328,MATCH(LEFT('Payment 1 through 9'!$A162,4),FinalPayment!$F$2:$F$328,0),4)-B162</f>
        <v>206</v>
      </c>
    </row>
    <row r="163" spans="1:6" x14ac:dyDescent="0.55000000000000004">
      <c r="A163" t="s">
        <v>1169</v>
      </c>
      <c r="B163" s="9">
        <f>INDEX(Payment!$A$2:$M$328,MATCH(LEFT('Payment 1 through 9'!$A163,4),Payment!$A$2:$A$328,0),4)</f>
        <v>8921</v>
      </c>
      <c r="F163" s="9">
        <f>INDEX(FinalPayment!$F$2:$R$328,MATCH(LEFT('Payment 1 through 9'!$A163,4),FinalPayment!$F$2:$F$328,0),4)-B163</f>
        <v>1631</v>
      </c>
    </row>
    <row r="164" spans="1:6" x14ac:dyDescent="0.55000000000000004">
      <c r="A164" t="s">
        <v>1272</v>
      </c>
      <c r="B164" s="9">
        <f>INDEX(Payment!$A$2:$M$328,MATCH(LEFT('Payment 1 through 9'!$A164,4),Payment!$A$2:$A$328,0),4)</f>
        <v>7415</v>
      </c>
      <c r="F164" s="9">
        <f>INDEX(FinalPayment!$F$2:$R$328,MATCH(LEFT('Payment 1 through 9'!$A164,4),FinalPayment!$F$2:$F$328,0),4)-B164</f>
        <v>528</v>
      </c>
    </row>
    <row r="165" spans="1:6" x14ac:dyDescent="0.55000000000000004">
      <c r="A165" t="s">
        <v>1166</v>
      </c>
      <c r="B165" s="9">
        <f>INDEX(Payment!$A$2:$M$328,MATCH(LEFT('Payment 1 through 9'!$A165,4),Payment!$A$2:$A$328,0),4)</f>
        <v>8697</v>
      </c>
      <c r="F165" s="9">
        <f>INDEX(FinalPayment!$F$2:$R$328,MATCH(LEFT('Payment 1 through 9'!$A165,4),FinalPayment!$F$2:$F$328,0),4)-B165</f>
        <v>572</v>
      </c>
    </row>
    <row r="166" spans="1:6" x14ac:dyDescent="0.55000000000000004">
      <c r="A166" t="s">
        <v>1168</v>
      </c>
      <c r="B166" s="9">
        <f>INDEX(Payment!$A$2:$M$328,MATCH(LEFT('Payment 1 through 9'!$A166,4),Payment!$A$2:$A$328,0),4)</f>
        <v>23948</v>
      </c>
      <c r="F166" s="9">
        <f>INDEX(FinalPayment!$F$2:$R$328,MATCH(LEFT('Payment 1 through 9'!$A166,4),FinalPayment!$F$2:$F$328,0),4)-B166</f>
        <v>608</v>
      </c>
    </row>
    <row r="167" spans="1:6" x14ac:dyDescent="0.55000000000000004">
      <c r="A167" t="s">
        <v>1157</v>
      </c>
      <c r="B167" s="9">
        <f>INDEX(Payment!$A$2:$M$328,MATCH(LEFT('Payment 1 through 9'!$A167,4),Payment!$A$2:$A$328,0),4)</f>
        <v>13669</v>
      </c>
      <c r="F167" s="9">
        <f>INDEX(FinalPayment!$F$2:$R$328,MATCH(LEFT('Payment 1 through 9'!$A167,4),FinalPayment!$F$2:$F$328,0),4)-B167</f>
        <v>611</v>
      </c>
    </row>
    <row r="168" spans="1:6" x14ac:dyDescent="0.55000000000000004">
      <c r="A168" t="s">
        <v>1341</v>
      </c>
      <c r="B168" s="9">
        <f>INDEX(Payment!$A$2:$M$328,MATCH(LEFT('Payment 1 through 9'!$A168,4),Payment!$A$2:$A$328,0),4)</f>
        <v>2150</v>
      </c>
      <c r="F168" s="9">
        <f>INDEX(FinalPayment!$F$2:$R$328,MATCH(LEFT('Payment 1 through 9'!$A168,4),FinalPayment!$F$2:$F$328,0),4)-B168</f>
        <v>633</v>
      </c>
    </row>
    <row r="169" spans="1:6" x14ac:dyDescent="0.55000000000000004">
      <c r="A169" t="s">
        <v>1170</v>
      </c>
      <c r="B169" s="9">
        <f>INDEX(Payment!$A$2:$M$328,MATCH(LEFT('Payment 1 through 9'!$A169,4),Payment!$A$2:$A$328,0),4)</f>
        <v>2715</v>
      </c>
      <c r="F169" s="9">
        <f>INDEX(FinalPayment!$F$2:$R$328,MATCH(LEFT('Payment 1 through 9'!$A169,4),FinalPayment!$F$2:$F$328,0),4)-B169</f>
        <v>150</v>
      </c>
    </row>
    <row r="170" spans="1:6" x14ac:dyDescent="0.55000000000000004">
      <c r="A170" t="s">
        <v>1273</v>
      </c>
      <c r="B170" s="9">
        <f>INDEX(Payment!$A$2:$M$328,MATCH(LEFT('Payment 1 through 9'!$A170,4),Payment!$A$2:$A$328,0),4)</f>
        <v>15259</v>
      </c>
      <c r="F170" s="9">
        <f>INDEX(FinalPayment!$F$2:$R$328,MATCH(LEFT('Payment 1 through 9'!$A170,4),FinalPayment!$F$2:$F$328,0),4)-B170</f>
        <v>866</v>
      </c>
    </row>
    <row r="171" spans="1:6" x14ac:dyDescent="0.55000000000000004">
      <c r="A171" t="s">
        <v>1171</v>
      </c>
      <c r="B171" s="9">
        <f>INDEX(Payment!$A$2:$M$328,MATCH(LEFT('Payment 1 through 9'!$A171,4),Payment!$A$2:$A$328,0),4)</f>
        <v>7149</v>
      </c>
      <c r="F171" s="9">
        <f>INDEX(FinalPayment!$F$2:$R$328,MATCH(LEFT('Payment 1 through 9'!$A171,4),FinalPayment!$F$2:$F$328,0),4)-B171</f>
        <v>668</v>
      </c>
    </row>
    <row r="172" spans="1:6" x14ac:dyDescent="0.55000000000000004">
      <c r="A172" t="s">
        <v>1172</v>
      </c>
      <c r="B172" s="9">
        <f>INDEX(Payment!$A$2:$M$328,MATCH(LEFT('Payment 1 through 9'!$A172,4),Payment!$A$2:$A$328,0),4)</f>
        <v>12740</v>
      </c>
      <c r="F172" s="9">
        <f>INDEX(FinalPayment!$F$2:$R$328,MATCH(LEFT('Payment 1 through 9'!$A172,4),FinalPayment!$F$2:$F$328,0),4)-B172</f>
        <v>679</v>
      </c>
    </row>
    <row r="173" spans="1:6" x14ac:dyDescent="0.55000000000000004">
      <c r="A173" t="s">
        <v>1173</v>
      </c>
      <c r="B173" s="9">
        <f>INDEX(Payment!$A$2:$M$328,MATCH(LEFT('Payment 1 through 9'!$A173,4),Payment!$A$2:$A$328,0),4)</f>
        <v>5303</v>
      </c>
      <c r="F173" s="9">
        <f>INDEX(FinalPayment!$F$2:$R$328,MATCH(LEFT('Payment 1 through 9'!$A173,4),FinalPayment!$F$2:$F$328,0),4)-B173</f>
        <v>302</v>
      </c>
    </row>
    <row r="174" spans="1:6" x14ac:dyDescent="0.55000000000000004">
      <c r="A174" t="s">
        <v>1174</v>
      </c>
      <c r="B174" s="9">
        <f>INDEX(Payment!$A$2:$M$328,MATCH(LEFT('Payment 1 through 9'!$A174,4),Payment!$A$2:$A$328,0),4)</f>
        <v>12205</v>
      </c>
      <c r="F174" s="9">
        <f>INDEX(FinalPayment!$F$2:$R$328,MATCH(LEFT('Payment 1 through 9'!$A174,4),FinalPayment!$F$2:$F$328,0),4)-B174</f>
        <v>363</v>
      </c>
    </row>
    <row r="175" spans="1:6" x14ac:dyDescent="0.55000000000000004">
      <c r="A175" t="s">
        <v>1175</v>
      </c>
      <c r="B175" s="9">
        <f>INDEX(Payment!$A$2:$M$328,MATCH(LEFT('Payment 1 through 9'!$A175,4),Payment!$A$2:$A$328,0),4)</f>
        <v>5365</v>
      </c>
      <c r="F175" s="9">
        <f>INDEX(FinalPayment!$F$2:$R$328,MATCH(LEFT('Payment 1 through 9'!$A175,4),FinalPayment!$F$2:$F$328,0),4)-B175</f>
        <v>351</v>
      </c>
    </row>
    <row r="176" spans="1:6" x14ac:dyDescent="0.55000000000000004">
      <c r="A176" t="s">
        <v>1274</v>
      </c>
      <c r="B176" s="9">
        <f>INDEX(Payment!$A$2:$M$328,MATCH(LEFT('Payment 1 through 9'!$A176,4),Payment!$A$2:$A$328,0),4)</f>
        <v>6636</v>
      </c>
      <c r="F176" s="9">
        <f>INDEX(FinalPayment!$F$2:$R$328,MATCH(LEFT('Payment 1 through 9'!$A176,4),FinalPayment!$F$2:$F$328,0),4)-B176</f>
        <v>143</v>
      </c>
    </row>
    <row r="177" spans="1:6" x14ac:dyDescent="0.55000000000000004">
      <c r="A177" t="s">
        <v>1176</v>
      </c>
      <c r="B177" s="9">
        <f>INDEX(Payment!$A$2:$M$328,MATCH(LEFT('Payment 1 through 9'!$A177,4),Payment!$A$2:$A$328,0),4)</f>
        <v>8601</v>
      </c>
      <c r="F177" s="9">
        <f>INDEX(FinalPayment!$F$2:$R$328,MATCH(LEFT('Payment 1 through 9'!$A177,4),FinalPayment!$F$2:$F$328,0),4)-B177</f>
        <v>761</v>
      </c>
    </row>
    <row r="178" spans="1:6" x14ac:dyDescent="0.55000000000000004">
      <c r="A178" t="s">
        <v>1275</v>
      </c>
      <c r="B178" s="9">
        <f>INDEX(Payment!$A$2:$M$328,MATCH(LEFT('Payment 1 through 9'!$A178,4),Payment!$A$2:$A$328,0),4)</f>
        <v>7272</v>
      </c>
      <c r="F178" s="9">
        <f>INDEX(FinalPayment!$F$2:$R$328,MATCH(LEFT('Payment 1 through 9'!$A178,4),FinalPayment!$F$2:$F$328,0),4)-B178</f>
        <v>1116</v>
      </c>
    </row>
    <row r="179" spans="1:6" x14ac:dyDescent="0.55000000000000004">
      <c r="A179" t="s">
        <v>1177</v>
      </c>
      <c r="B179" s="9">
        <f>INDEX(Payment!$A$2:$M$328,MATCH(LEFT('Payment 1 through 9'!$A179,4),Payment!$A$2:$A$328,0),4)</f>
        <v>7701</v>
      </c>
      <c r="F179" s="9">
        <f>INDEX(FinalPayment!$F$2:$R$328,MATCH(LEFT('Payment 1 through 9'!$A179,4),FinalPayment!$F$2:$F$328,0),4)-B179</f>
        <v>416</v>
      </c>
    </row>
    <row r="180" spans="1:6" x14ac:dyDescent="0.55000000000000004">
      <c r="A180" t="s">
        <v>1178</v>
      </c>
      <c r="B180" s="9">
        <f>INDEX(Payment!$A$2:$M$328,MATCH(LEFT('Payment 1 through 9'!$A180,4),Payment!$A$2:$A$328,0),4)</f>
        <v>55533</v>
      </c>
      <c r="F180" s="9">
        <f>INDEX(FinalPayment!$F$2:$R$328,MATCH(LEFT('Payment 1 through 9'!$A180,4),FinalPayment!$F$2:$F$328,0),4)-B180</f>
        <v>1058</v>
      </c>
    </row>
    <row r="181" spans="1:6" x14ac:dyDescent="0.55000000000000004">
      <c r="A181" t="s">
        <v>1179</v>
      </c>
      <c r="B181" s="9">
        <f>INDEX(Payment!$A$2:$M$328,MATCH(LEFT('Payment 1 through 9'!$A181,4),Payment!$A$2:$A$328,0),4)</f>
        <v>15998</v>
      </c>
      <c r="F181" s="9">
        <f>INDEX(FinalPayment!$F$2:$R$328,MATCH(LEFT('Payment 1 through 9'!$A181,4),FinalPayment!$F$2:$F$328,0),4)-B181</f>
        <v>321</v>
      </c>
    </row>
    <row r="182" spans="1:6" x14ac:dyDescent="0.55000000000000004">
      <c r="A182" t="s">
        <v>1276</v>
      </c>
      <c r="B182" s="9">
        <f>INDEX(Payment!$A$2:$M$328,MATCH(LEFT('Payment 1 through 9'!$A182,4),Payment!$A$2:$A$328,0),4)</f>
        <v>42074</v>
      </c>
      <c r="F182" s="9">
        <f>INDEX(FinalPayment!$F$2:$R$328,MATCH(LEFT('Payment 1 through 9'!$A182,4),FinalPayment!$F$2:$F$328,0),4)-B182</f>
        <v>11400</v>
      </c>
    </row>
    <row r="183" spans="1:6" x14ac:dyDescent="0.55000000000000004">
      <c r="A183" t="s">
        <v>1181</v>
      </c>
      <c r="B183" s="9">
        <f>INDEX(Payment!$A$2:$M$328,MATCH(LEFT('Payment 1 through 9'!$A183,4),Payment!$A$2:$A$328,0),4)</f>
        <v>7922</v>
      </c>
      <c r="F183" s="9">
        <f>INDEX(FinalPayment!$F$2:$R$328,MATCH(LEFT('Payment 1 through 9'!$A183,4),FinalPayment!$F$2:$F$328,0),4)-B183</f>
        <v>605</v>
      </c>
    </row>
    <row r="184" spans="1:6" x14ac:dyDescent="0.55000000000000004">
      <c r="A184" t="s">
        <v>1277</v>
      </c>
      <c r="B184" s="9">
        <f>INDEX(Payment!$A$2:$M$328,MATCH(LEFT('Payment 1 through 9'!$A184,4),Payment!$A$2:$A$328,0),4)</f>
        <v>16881</v>
      </c>
      <c r="F184" s="9">
        <f>INDEX(FinalPayment!$F$2:$R$328,MATCH(LEFT('Payment 1 through 9'!$A184,4),FinalPayment!$F$2:$F$328,0),4)-B184</f>
        <v>1817</v>
      </c>
    </row>
    <row r="185" spans="1:6" x14ac:dyDescent="0.55000000000000004">
      <c r="A185" t="s">
        <v>1182</v>
      </c>
      <c r="B185" s="9">
        <f>INDEX(Payment!$A$2:$M$328,MATCH(LEFT('Payment 1 through 9'!$A185,4),Payment!$A$2:$A$328,0),4)</f>
        <v>11564</v>
      </c>
      <c r="F185" s="9">
        <f>INDEX(FinalPayment!$F$2:$R$328,MATCH(LEFT('Payment 1 through 9'!$A185,4),FinalPayment!$F$2:$F$328,0),4)-B185</f>
        <v>301</v>
      </c>
    </row>
    <row r="186" spans="1:6" x14ac:dyDescent="0.55000000000000004">
      <c r="A186" t="s">
        <v>1278</v>
      </c>
      <c r="B186" s="9">
        <f>INDEX(Payment!$A$2:$M$328,MATCH(LEFT('Payment 1 through 9'!$A186,4),Payment!$A$2:$A$328,0),4)</f>
        <v>3578</v>
      </c>
      <c r="F186" s="9">
        <f>INDEX(FinalPayment!$F$2:$R$328,MATCH(LEFT('Payment 1 through 9'!$A186,4),FinalPayment!$F$2:$F$328,0),4)-B186</f>
        <v>780</v>
      </c>
    </row>
    <row r="187" spans="1:6" x14ac:dyDescent="0.55000000000000004">
      <c r="A187" t="s">
        <v>1342</v>
      </c>
      <c r="B187" s="9">
        <f>INDEX(Payment!$A$2:$M$328,MATCH(LEFT('Payment 1 through 9'!$A187,4),Payment!$A$2:$A$328,0),4)</f>
        <v>1986</v>
      </c>
      <c r="F187" s="9">
        <f>INDEX(FinalPayment!$F$2:$R$328,MATCH(LEFT('Payment 1 through 9'!$A187,4),FinalPayment!$F$2:$F$328,0),4)-B187</f>
        <v>269</v>
      </c>
    </row>
    <row r="188" spans="1:6" x14ac:dyDescent="0.55000000000000004">
      <c r="A188" t="s">
        <v>1279</v>
      </c>
      <c r="B188" s="9">
        <f>INDEX(Payment!$A$2:$M$328,MATCH(LEFT('Payment 1 through 9'!$A188,4),Payment!$A$2:$A$328,0),4)</f>
        <v>6449</v>
      </c>
      <c r="F188" s="9">
        <f>INDEX(FinalPayment!$F$2:$R$328,MATCH(LEFT('Payment 1 through 9'!$A188,4),FinalPayment!$F$2:$F$328,0),4)-B188</f>
        <v>1018</v>
      </c>
    </row>
    <row r="189" spans="1:6" x14ac:dyDescent="0.55000000000000004">
      <c r="A189" t="s">
        <v>1280</v>
      </c>
      <c r="B189" s="9">
        <f>INDEX(Payment!$A$2:$M$328,MATCH(LEFT('Payment 1 through 9'!$A189,4),Payment!$A$2:$A$328,0),4)</f>
        <v>21</v>
      </c>
      <c r="F189" s="9">
        <f>INDEX(FinalPayment!$F$2:$R$328,MATCH(LEFT('Payment 1 through 9'!$A189,4),FinalPayment!$F$2:$F$328,0),4)-B189</f>
        <v>1522</v>
      </c>
    </row>
    <row r="190" spans="1:6" x14ac:dyDescent="0.55000000000000004">
      <c r="A190" t="s">
        <v>1162</v>
      </c>
      <c r="B190" s="9">
        <f>INDEX(Payment!$A$2:$M$328,MATCH(LEFT('Payment 1 through 9'!$A190,4),Payment!$A$2:$A$328,0),4)</f>
        <v>17379</v>
      </c>
      <c r="F190" s="9">
        <f>INDEX(FinalPayment!$F$2:$R$328,MATCH(LEFT('Payment 1 through 9'!$A190,4),FinalPayment!$F$2:$F$328,0),4)-B190</f>
        <v>745</v>
      </c>
    </row>
    <row r="191" spans="1:6" x14ac:dyDescent="0.55000000000000004">
      <c r="A191" t="s">
        <v>1281</v>
      </c>
      <c r="B191" s="9">
        <f>INDEX(Payment!$A$2:$M$328,MATCH(LEFT('Payment 1 through 9'!$A191,4),Payment!$A$2:$A$328,0),4)</f>
        <v>5992</v>
      </c>
      <c r="F191" s="9">
        <f>INDEX(FinalPayment!$F$2:$R$328,MATCH(LEFT('Payment 1 through 9'!$A191,4),FinalPayment!$F$2:$F$328,0),4)-B191</f>
        <v>571</v>
      </c>
    </row>
    <row r="192" spans="1:6" x14ac:dyDescent="0.55000000000000004">
      <c r="A192" t="s">
        <v>1184</v>
      </c>
      <c r="B192" s="9">
        <f>INDEX(Payment!$A$2:$M$328,MATCH(LEFT('Payment 1 through 9'!$A192,4),Payment!$A$2:$A$328,0),4)</f>
        <v>3331</v>
      </c>
      <c r="F192" s="9">
        <f>INDEX(FinalPayment!$F$2:$R$328,MATCH(LEFT('Payment 1 through 9'!$A192,4),FinalPayment!$F$2:$F$328,0),4)-B192</f>
        <v>361</v>
      </c>
    </row>
    <row r="193" spans="1:6" x14ac:dyDescent="0.55000000000000004">
      <c r="A193" t="s">
        <v>1185</v>
      </c>
      <c r="B193" s="9">
        <f>INDEX(Payment!$A$2:$M$328,MATCH(LEFT('Payment 1 through 9'!$A193,4),Payment!$A$2:$A$328,0),4)</f>
        <v>20450</v>
      </c>
      <c r="F193" s="9">
        <f>INDEX(FinalPayment!$F$2:$R$328,MATCH(LEFT('Payment 1 through 9'!$A193,4),FinalPayment!$F$2:$F$328,0),4)-B193</f>
        <v>992</v>
      </c>
    </row>
    <row r="194" spans="1:6" x14ac:dyDescent="0.55000000000000004">
      <c r="A194" t="s">
        <v>1186</v>
      </c>
      <c r="B194" s="9">
        <f>INDEX(Payment!$A$2:$M$328,MATCH(LEFT('Payment 1 through 9'!$A194,4),Payment!$A$2:$A$328,0),4)</f>
        <v>10451</v>
      </c>
      <c r="F194" s="9">
        <f>INDEX(FinalPayment!$F$2:$R$328,MATCH(LEFT('Payment 1 through 9'!$A194,4),FinalPayment!$F$2:$F$328,0),4)-B194</f>
        <v>920</v>
      </c>
    </row>
    <row r="195" spans="1:6" x14ac:dyDescent="0.55000000000000004">
      <c r="A195" t="s">
        <v>1343</v>
      </c>
      <c r="B195" s="9">
        <f>INDEX(Payment!$A$2:$M$328,MATCH(LEFT('Payment 1 through 9'!$A195,4),Payment!$A$2:$A$328,0),4)</f>
        <v>4036</v>
      </c>
      <c r="F195" s="9">
        <f>INDEX(FinalPayment!$F$2:$R$328,MATCH(LEFT('Payment 1 through 9'!$A195,4),FinalPayment!$F$2:$F$328,0),4)-B195</f>
        <v>666</v>
      </c>
    </row>
    <row r="196" spans="1:6" x14ac:dyDescent="0.55000000000000004">
      <c r="A196" t="s">
        <v>1282</v>
      </c>
      <c r="B196" s="9">
        <f>INDEX(Payment!$A$2:$M$328,MATCH(LEFT('Payment 1 through 9'!$A196,4),Payment!$A$2:$A$328,0),4)</f>
        <v>2931</v>
      </c>
      <c r="F196" s="9">
        <f>INDEX(FinalPayment!$F$2:$R$328,MATCH(LEFT('Payment 1 through 9'!$A196,4),FinalPayment!$F$2:$F$328,0),4)-B196</f>
        <v>876</v>
      </c>
    </row>
    <row r="197" spans="1:6" x14ac:dyDescent="0.55000000000000004">
      <c r="A197" t="s">
        <v>1183</v>
      </c>
      <c r="B197" s="9">
        <f>INDEX(Payment!$A$2:$M$328,MATCH(LEFT('Payment 1 through 9'!$A197,4),Payment!$A$2:$A$328,0),4)</f>
        <v>48730</v>
      </c>
      <c r="F197" s="9">
        <f>INDEX(FinalPayment!$F$2:$R$328,MATCH(LEFT('Payment 1 through 9'!$A197,4),FinalPayment!$F$2:$F$328,0),4)-B197</f>
        <v>3269</v>
      </c>
    </row>
    <row r="198" spans="1:6" x14ac:dyDescent="0.55000000000000004">
      <c r="A198" t="s">
        <v>1187</v>
      </c>
      <c r="B198" s="9">
        <f>INDEX(Payment!$A$2:$M$328,MATCH(LEFT('Payment 1 through 9'!$A198,4),Payment!$A$2:$A$328,0),4)</f>
        <v>24413</v>
      </c>
      <c r="F198" s="9">
        <f>INDEX(FinalPayment!$F$2:$R$328,MATCH(LEFT('Payment 1 through 9'!$A198,4),FinalPayment!$F$2:$F$328,0),4)-B198</f>
        <v>596</v>
      </c>
    </row>
    <row r="199" spans="1:6" x14ac:dyDescent="0.55000000000000004">
      <c r="A199" t="s">
        <v>1344</v>
      </c>
      <c r="B199" s="9">
        <f>INDEX(Payment!$A$2:$M$328,MATCH(LEFT('Payment 1 through 9'!$A199,4),Payment!$A$2:$A$328,0),4)</f>
        <v>10380</v>
      </c>
      <c r="F199" s="9">
        <f>INDEX(FinalPayment!$F$2:$R$328,MATCH(LEFT('Payment 1 through 9'!$A199,4),FinalPayment!$F$2:$F$328,0),4)-B199</f>
        <v>1164</v>
      </c>
    </row>
    <row r="200" spans="1:6" x14ac:dyDescent="0.55000000000000004">
      <c r="A200" t="s">
        <v>1283</v>
      </c>
      <c r="B200" s="9">
        <f>INDEX(Payment!$A$2:$M$328,MATCH(LEFT('Payment 1 through 9'!$A200,4),Payment!$A$2:$A$328,0),4)</f>
        <v>15794</v>
      </c>
      <c r="F200" s="9">
        <f>INDEX(FinalPayment!$F$2:$R$328,MATCH(LEFT('Payment 1 through 9'!$A200,4),FinalPayment!$F$2:$F$328,0),4)-B200</f>
        <v>1818</v>
      </c>
    </row>
    <row r="201" spans="1:6" x14ac:dyDescent="0.55000000000000004">
      <c r="A201" t="s">
        <v>1188</v>
      </c>
      <c r="B201" s="9">
        <f>INDEX(Payment!$A$2:$M$328,MATCH(LEFT('Payment 1 through 9'!$A201,4),Payment!$A$2:$A$328,0),4)</f>
        <v>10329</v>
      </c>
      <c r="F201" s="9">
        <f>INDEX(FinalPayment!$F$2:$R$328,MATCH(LEFT('Payment 1 through 9'!$A201,4),FinalPayment!$F$2:$F$328,0),4)-B201</f>
        <v>582</v>
      </c>
    </row>
    <row r="202" spans="1:6" x14ac:dyDescent="0.55000000000000004">
      <c r="A202" t="s">
        <v>1284</v>
      </c>
      <c r="B202" s="9">
        <f>INDEX(Payment!$A$2:$M$328,MATCH(LEFT('Payment 1 through 9'!$A202,4),Payment!$A$2:$A$328,0),4)</f>
        <v>5052</v>
      </c>
      <c r="F202" s="9">
        <f>INDEX(FinalPayment!$F$2:$R$328,MATCH(LEFT('Payment 1 through 9'!$A202,4),FinalPayment!$F$2:$F$328,0),4)-B202</f>
        <v>989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2"/>
  <sheetViews>
    <sheetView topLeftCell="A175" workbookViewId="0">
      <selection activeCell="F185" sqref="F185:F202"/>
    </sheetView>
  </sheetViews>
  <sheetFormatPr defaultRowHeight="14.4" x14ac:dyDescent="0.55000000000000004"/>
  <cols>
    <col min="2" max="2" width="10.83984375" style="9" customWidth="1"/>
  </cols>
  <sheetData>
    <row r="1" spans="1:11" x14ac:dyDescent="0.55000000000000004">
      <c r="A1" t="s">
        <v>1057</v>
      </c>
      <c r="B1" s="9">
        <f>INDEX(Payment!$A$2:$M$328,MATCH(LEFT(A1,4),Payment!$A$2:$A$328,0),13)</f>
        <v>18620</v>
      </c>
      <c r="D1" s="8"/>
      <c r="E1" s="8"/>
      <c r="F1" s="9">
        <f>INDEX(FinalPayment!$F$2:$R$328,MATCH(LEFT('Payment 1 through 9'!$A1,4),FinalPayment!$F$2:$F$328,0),13)-B1</f>
        <v>327</v>
      </c>
      <c r="G1" s="8"/>
      <c r="H1" s="8"/>
      <c r="I1" s="8"/>
      <c r="J1" s="8"/>
      <c r="K1" s="8"/>
    </row>
    <row r="2" spans="1:11" x14ac:dyDescent="0.55000000000000004">
      <c r="A2" t="s">
        <v>1323</v>
      </c>
      <c r="B2" s="9">
        <f>INDEX(Payment!$A$2:$M$328,MATCH(LEFT(A2,4),Payment!$A$2:$A$328,0),13)</f>
        <v>5942</v>
      </c>
      <c r="D2" s="8"/>
      <c r="E2" s="8"/>
      <c r="F2" s="9">
        <f>INDEX(FinalPayment!$F$2:$R$328,MATCH(LEFT('Payment 1 through 9'!$A2,4),FinalPayment!$F$2:$F$328,0),13)-B2</f>
        <v>1907</v>
      </c>
      <c r="G2" s="8"/>
      <c r="H2" s="8"/>
      <c r="I2" s="8"/>
      <c r="J2" s="8"/>
      <c r="K2" s="8"/>
    </row>
    <row r="3" spans="1:11" x14ac:dyDescent="0.55000000000000004">
      <c r="A3" t="s">
        <v>1056</v>
      </c>
      <c r="B3" s="9">
        <f>INDEX(Payment!$A$2:$M$328,MATCH(LEFT(A3,4),Payment!$A$2:$A$328,0),13)</f>
        <v>17559</v>
      </c>
      <c r="D3" s="8"/>
      <c r="E3" s="8"/>
      <c r="F3" s="9">
        <f>INDEX(FinalPayment!$F$2:$R$328,MATCH(LEFT('Payment 1 through 9'!$A3,4),FinalPayment!$F$2:$F$328,0),13)-B3</f>
        <v>684</v>
      </c>
      <c r="G3" s="8"/>
      <c r="H3" s="8"/>
      <c r="I3" s="8"/>
      <c r="J3" s="8"/>
      <c r="K3" s="8"/>
    </row>
    <row r="4" spans="1:11" x14ac:dyDescent="0.55000000000000004">
      <c r="A4" t="s">
        <v>1068</v>
      </c>
      <c r="B4" s="9">
        <f>INDEX(Payment!$A$2:$M$328,MATCH(LEFT(A4,4),Payment!$A$2:$A$328,0),13)</f>
        <v>8667</v>
      </c>
      <c r="D4" s="8"/>
      <c r="E4" s="8"/>
      <c r="F4" s="9">
        <f>INDEX(FinalPayment!$F$2:$R$328,MATCH(LEFT('Payment 1 through 9'!$A4,4),FinalPayment!$F$2:$F$328,0),13)-B4</f>
        <v>832</v>
      </c>
      <c r="G4" s="8"/>
      <c r="H4" s="8"/>
      <c r="I4" s="8"/>
      <c r="J4" s="8"/>
      <c r="K4" s="8"/>
    </row>
    <row r="5" spans="1:11" x14ac:dyDescent="0.55000000000000004">
      <c r="A5" t="s">
        <v>1058</v>
      </c>
      <c r="B5" s="9">
        <f>INDEX(Payment!$A$2:$M$328,MATCH(LEFT(A5,4),Payment!$A$2:$A$328,0),13)</f>
        <v>14795</v>
      </c>
      <c r="D5" s="8"/>
      <c r="E5" s="8"/>
      <c r="F5" s="9">
        <f>INDEX(FinalPayment!$F$2:$R$328,MATCH(LEFT('Payment 1 through 9'!$A5,4),FinalPayment!$F$2:$F$328,0),13)-B5</f>
        <v>597</v>
      </c>
      <c r="G5" s="8"/>
      <c r="H5" s="8"/>
      <c r="I5" s="8"/>
      <c r="J5" s="8"/>
      <c r="K5" s="8"/>
    </row>
    <row r="6" spans="1:11" x14ac:dyDescent="0.55000000000000004">
      <c r="A6" t="s">
        <v>1059</v>
      </c>
      <c r="B6" s="9">
        <f>INDEX(Payment!$A$2:$M$328,MATCH(LEFT(A6,4),Payment!$A$2:$A$328,0),13)</f>
        <v>11187</v>
      </c>
      <c r="D6" s="8"/>
      <c r="E6" s="8"/>
      <c r="F6" s="9">
        <f>INDEX(FinalPayment!$F$2:$R$328,MATCH(LEFT('Payment 1 through 9'!$A6,4),FinalPayment!$F$2:$F$328,0),13)-B6</f>
        <v>214</v>
      </c>
      <c r="G6" s="8"/>
      <c r="H6" s="8"/>
      <c r="I6" s="8"/>
      <c r="J6" s="8"/>
      <c r="K6" s="8"/>
    </row>
    <row r="7" spans="1:11" x14ac:dyDescent="0.55000000000000004">
      <c r="A7" t="s">
        <v>1324</v>
      </c>
      <c r="B7" s="9">
        <f>INDEX(Payment!$A$2:$M$328,MATCH(LEFT(A7,4),Payment!$A$2:$A$328,0),13)</f>
        <v>1799</v>
      </c>
      <c r="D7" s="8"/>
      <c r="E7" s="8"/>
      <c r="F7" s="9">
        <f>INDEX(FinalPayment!$F$2:$R$328,MATCH(LEFT('Payment 1 through 9'!$A7,4),FinalPayment!$F$2:$F$328,0),13)-B7</f>
        <v>1232</v>
      </c>
      <c r="G7" s="8"/>
      <c r="H7" s="8"/>
      <c r="I7" s="8"/>
      <c r="J7" s="8"/>
      <c r="K7" s="8"/>
    </row>
    <row r="8" spans="1:11" x14ac:dyDescent="0.55000000000000004">
      <c r="A8" t="s">
        <v>1060</v>
      </c>
      <c r="B8" s="9">
        <f>INDEX(Payment!$A$2:$M$328,MATCH(LEFT(A8,4),Payment!$A$2:$A$328,0),13)</f>
        <v>14069</v>
      </c>
      <c r="D8" s="8"/>
      <c r="E8" s="8"/>
      <c r="F8" s="9">
        <f>INDEX(FinalPayment!$F$2:$R$328,MATCH(LEFT('Payment 1 through 9'!$A8,4),FinalPayment!$F$2:$F$328,0),13)-B8</f>
        <v>545</v>
      </c>
      <c r="G8" s="8"/>
      <c r="H8" s="8"/>
      <c r="I8" s="8"/>
      <c r="J8" s="8"/>
      <c r="K8" s="8"/>
    </row>
    <row r="9" spans="1:11" x14ac:dyDescent="0.55000000000000004">
      <c r="A9" t="s">
        <v>1061</v>
      </c>
      <c r="B9" s="9">
        <f>INDEX(Payment!$A$2:$M$328,MATCH(LEFT(A9,4),Payment!$A$2:$A$328,0),13)</f>
        <v>4120</v>
      </c>
      <c r="D9" s="8"/>
      <c r="E9" s="8"/>
      <c r="F9" s="9">
        <f>INDEX(FinalPayment!$F$2:$R$328,MATCH(LEFT('Payment 1 through 9'!$A9,4),FinalPayment!$F$2:$F$328,0),13)-B9</f>
        <v>291</v>
      </c>
      <c r="G9" s="8"/>
      <c r="H9" s="8"/>
      <c r="I9" s="8"/>
      <c r="J9" s="8"/>
      <c r="K9" s="8"/>
    </row>
    <row r="10" spans="1:11" x14ac:dyDescent="0.55000000000000004">
      <c r="A10" t="s">
        <v>1238</v>
      </c>
      <c r="B10" s="9">
        <f>INDEX(Payment!$A$2:$M$328,MATCH(LEFT(A10,4),Payment!$A$2:$A$328,0),13)</f>
        <v>12542</v>
      </c>
      <c r="D10" s="8"/>
      <c r="E10" s="8"/>
      <c r="F10" s="9">
        <f>INDEX(FinalPayment!$F$2:$R$328,MATCH(LEFT('Payment 1 through 9'!$A10,4),FinalPayment!$F$2:$F$328,0),13)-B10</f>
        <v>1357</v>
      </c>
      <c r="G10" s="8"/>
      <c r="H10" s="8"/>
      <c r="I10" s="8"/>
      <c r="J10" s="8"/>
      <c r="K10" s="8"/>
    </row>
    <row r="11" spans="1:11" x14ac:dyDescent="0.55000000000000004">
      <c r="A11" t="s">
        <v>1062</v>
      </c>
      <c r="B11" s="9">
        <f>INDEX(Payment!$A$2:$M$328,MATCH(LEFT(A11,4),Payment!$A$2:$A$328,0),13)</f>
        <v>32625</v>
      </c>
      <c r="D11" s="8"/>
      <c r="E11" s="8"/>
      <c r="F11" s="9">
        <f>INDEX(FinalPayment!$F$2:$R$328,MATCH(LEFT('Payment 1 through 9'!$A11,4),FinalPayment!$F$2:$F$328,0),13)-B11</f>
        <v>1154</v>
      </c>
      <c r="G11" s="8"/>
      <c r="H11" s="8"/>
      <c r="I11" s="8"/>
      <c r="J11" s="8"/>
      <c r="K11" s="8"/>
    </row>
    <row r="12" spans="1:11" x14ac:dyDescent="0.55000000000000004">
      <c r="A12" t="s">
        <v>1063</v>
      </c>
      <c r="B12" s="9">
        <f>INDEX(Payment!$A$2:$M$328,MATCH(LEFT(A12,4),Payment!$A$2:$A$328,0),13)</f>
        <v>4482</v>
      </c>
      <c r="D12" s="8"/>
      <c r="E12" s="8"/>
      <c r="F12" s="9">
        <f>INDEX(FinalPayment!$F$2:$R$328,MATCH(LEFT('Payment 1 through 9'!$A12,4),FinalPayment!$F$2:$F$328,0),13)-B12</f>
        <v>862</v>
      </c>
      <c r="G12" s="8"/>
      <c r="H12" s="8"/>
      <c r="I12" s="8"/>
      <c r="J12" s="8"/>
      <c r="K12" s="8"/>
    </row>
    <row r="13" spans="1:11" x14ac:dyDescent="0.55000000000000004">
      <c r="A13" t="s">
        <v>1064</v>
      </c>
      <c r="B13" s="9">
        <f>INDEX(Payment!$A$2:$M$328,MATCH(LEFT(A13,4),Payment!$A$2:$A$328,0),13)</f>
        <v>80925</v>
      </c>
      <c r="D13" s="8"/>
      <c r="E13" s="8"/>
      <c r="F13" s="9">
        <f>INDEX(FinalPayment!$F$2:$R$328,MATCH(LEFT('Payment 1 through 9'!$A13,4),FinalPayment!$F$2:$F$328,0),13)-B13</f>
        <v>4640</v>
      </c>
      <c r="G13" s="8"/>
      <c r="H13" s="8"/>
      <c r="I13" s="8"/>
      <c r="J13" s="8"/>
      <c r="K13" s="8"/>
    </row>
    <row r="14" spans="1:11" x14ac:dyDescent="0.55000000000000004">
      <c r="A14" t="s">
        <v>1065</v>
      </c>
      <c r="B14" s="9">
        <f>INDEX(Payment!$A$2:$M$328,MATCH(LEFT(A14,4),Payment!$A$2:$A$328,0),13)</f>
        <v>6810</v>
      </c>
      <c r="D14" s="8"/>
      <c r="E14" s="8"/>
      <c r="F14" s="9">
        <f>INDEX(FinalPayment!$F$2:$R$328,MATCH(LEFT('Payment 1 through 9'!$A14,4),FinalPayment!$F$2:$F$328,0),13)-B14</f>
        <v>257</v>
      </c>
      <c r="G14" s="8"/>
      <c r="H14" s="8"/>
      <c r="I14" s="8"/>
      <c r="J14" s="8"/>
      <c r="K14" s="8"/>
    </row>
    <row r="15" spans="1:11" x14ac:dyDescent="0.55000000000000004">
      <c r="A15" t="s">
        <v>1325</v>
      </c>
      <c r="B15" s="9">
        <f>INDEX(Payment!$A$2:$M$328,MATCH(LEFT(A15,4),Payment!$A$2:$A$328,0),13)</f>
        <v>3063</v>
      </c>
      <c r="D15" s="8"/>
      <c r="E15" s="8"/>
      <c r="F15" s="9">
        <f>INDEX(FinalPayment!$F$2:$R$328,MATCH(LEFT('Payment 1 through 9'!$A15,4),FinalPayment!$F$2:$F$328,0),13)-B15</f>
        <v>851</v>
      </c>
      <c r="G15" s="8"/>
      <c r="H15" s="8"/>
      <c r="I15" s="8"/>
      <c r="J15" s="8"/>
      <c r="K15" s="8"/>
    </row>
    <row r="16" spans="1:11" x14ac:dyDescent="0.55000000000000004">
      <c r="A16" t="s">
        <v>1067</v>
      </c>
      <c r="B16" s="9">
        <f>INDEX(Payment!$A$2:$M$328,MATCH(LEFT(A16,4),Payment!$A$2:$A$328,0),13)</f>
        <v>8837</v>
      </c>
      <c r="D16" s="8"/>
      <c r="E16" s="8"/>
      <c r="F16" s="9">
        <f>INDEX(FinalPayment!$F$2:$R$328,MATCH(LEFT('Payment 1 through 9'!$A16,4),FinalPayment!$F$2:$F$328,0),13)-B16</f>
        <v>297</v>
      </c>
      <c r="G16" s="8"/>
      <c r="H16" s="8"/>
      <c r="I16" s="8"/>
      <c r="J16" s="8"/>
      <c r="K16" s="8"/>
    </row>
    <row r="17" spans="1:11" x14ac:dyDescent="0.55000000000000004">
      <c r="A17" t="s">
        <v>1239</v>
      </c>
      <c r="B17" s="9">
        <f>INDEX(Payment!$A$2:$M$328,MATCH(LEFT(A17,4),Payment!$A$2:$A$328,0),13)</f>
        <v>1917</v>
      </c>
      <c r="D17" s="8"/>
      <c r="E17" s="8"/>
      <c r="F17" s="9">
        <f>INDEX(FinalPayment!$F$2:$R$328,MATCH(LEFT('Payment 1 through 9'!$A17,4),FinalPayment!$F$2:$F$328,0),13)-B17</f>
        <v>527</v>
      </c>
      <c r="G17" s="8"/>
      <c r="H17" s="8"/>
      <c r="I17" s="8"/>
      <c r="J17" s="8"/>
      <c r="K17" s="8"/>
    </row>
    <row r="18" spans="1:11" x14ac:dyDescent="0.55000000000000004">
      <c r="A18" t="s">
        <v>1240</v>
      </c>
      <c r="B18" s="9">
        <f>INDEX(Payment!$A$2:$M$328,MATCH(LEFT(A18,4),Payment!$A$2:$A$328,0),13)</f>
        <v>4121</v>
      </c>
      <c r="D18" s="8"/>
      <c r="E18" s="8"/>
      <c r="F18" s="9">
        <f>INDEX(FinalPayment!$F$2:$R$328,MATCH(LEFT('Payment 1 through 9'!$A18,4),FinalPayment!$F$2:$F$328,0),13)-B18</f>
        <v>1714</v>
      </c>
      <c r="G18" s="8"/>
      <c r="H18" s="8"/>
      <c r="I18" s="8"/>
      <c r="J18" s="8"/>
      <c r="K18" s="8"/>
    </row>
    <row r="19" spans="1:11" x14ac:dyDescent="0.55000000000000004">
      <c r="A19" t="s">
        <v>1241</v>
      </c>
      <c r="B19" s="9">
        <f>INDEX(Payment!$A$2:$M$328,MATCH(LEFT(A19,4),Payment!$A$2:$A$328,0),13)</f>
        <v>3275</v>
      </c>
      <c r="D19" s="8"/>
      <c r="E19" s="8"/>
      <c r="F19" s="9">
        <f>INDEX(FinalPayment!$F$2:$R$328,MATCH(LEFT('Payment 1 through 9'!$A19,4),FinalPayment!$F$2:$F$328,0),13)-B19</f>
        <v>328</v>
      </c>
      <c r="G19" s="8"/>
      <c r="H19" s="8"/>
      <c r="I19" s="8"/>
      <c r="J19" s="8"/>
      <c r="K19" s="8"/>
    </row>
    <row r="20" spans="1:11" x14ac:dyDescent="0.55000000000000004">
      <c r="A20" t="s">
        <v>1069</v>
      </c>
      <c r="B20" s="9">
        <f>INDEX(Payment!$A$2:$M$328,MATCH(LEFT(A20,4),Payment!$A$2:$A$328,0),13)</f>
        <v>12888</v>
      </c>
      <c r="D20" s="8"/>
      <c r="E20" s="8"/>
      <c r="F20" s="9">
        <f>INDEX(FinalPayment!$F$2:$R$328,MATCH(LEFT('Payment 1 through 9'!$A20,4),FinalPayment!$F$2:$F$328,0),13)-B20</f>
        <v>555</v>
      </c>
      <c r="G20" s="8"/>
      <c r="H20" s="8"/>
      <c r="I20" s="8"/>
      <c r="J20" s="8"/>
      <c r="K20" s="8"/>
    </row>
    <row r="21" spans="1:11" x14ac:dyDescent="0.55000000000000004">
      <c r="A21" t="s">
        <v>1242</v>
      </c>
      <c r="B21" s="9">
        <f>INDEX(Payment!$A$2:$M$328,MATCH(LEFT(A21,4),Payment!$A$2:$A$328,0),13)</f>
        <v>3078</v>
      </c>
      <c r="D21" s="8"/>
      <c r="E21" s="8"/>
      <c r="F21" s="9">
        <f>INDEX(FinalPayment!$F$2:$R$328,MATCH(LEFT('Payment 1 through 9'!$A21,4),FinalPayment!$F$2:$F$328,0),13)-B21</f>
        <v>503</v>
      </c>
      <c r="G21" s="8"/>
      <c r="H21" s="8"/>
      <c r="I21" s="8"/>
      <c r="J21" s="8"/>
      <c r="K21" s="8"/>
    </row>
    <row r="22" spans="1:11" x14ac:dyDescent="0.55000000000000004">
      <c r="A22" t="s">
        <v>1070</v>
      </c>
      <c r="B22" s="9">
        <f>INDEX(Payment!$A$2:$M$328,MATCH(LEFT(A22,4),Payment!$A$2:$A$328,0),13)</f>
        <v>4884</v>
      </c>
      <c r="D22" s="8"/>
      <c r="E22" s="8"/>
      <c r="F22" s="9">
        <f>INDEX(FinalPayment!$F$2:$R$328,MATCH(LEFT('Payment 1 through 9'!$A22,4),FinalPayment!$F$2:$F$328,0),13)-B22</f>
        <v>516</v>
      </c>
      <c r="G22" s="8"/>
      <c r="H22" s="8"/>
      <c r="I22" s="8"/>
      <c r="J22" s="8"/>
      <c r="K22" s="8"/>
    </row>
    <row r="23" spans="1:11" x14ac:dyDescent="0.55000000000000004">
      <c r="A23" t="s">
        <v>1243</v>
      </c>
      <c r="B23" s="9">
        <f>INDEX(Payment!$A$2:$M$328,MATCH(LEFT(A23,4),Payment!$A$2:$A$328,0),13)</f>
        <v>3563</v>
      </c>
      <c r="D23" s="8"/>
      <c r="E23" s="8"/>
      <c r="F23" s="9">
        <f>INDEX(FinalPayment!$F$2:$R$328,MATCH(LEFT('Payment 1 through 9'!$A23,4),FinalPayment!$F$2:$F$328,0),13)-B23</f>
        <v>620</v>
      </c>
      <c r="G23" s="8"/>
      <c r="H23" s="8"/>
      <c r="I23" s="8"/>
      <c r="J23" s="8"/>
      <c r="K23" s="8"/>
    </row>
    <row r="24" spans="1:11" x14ac:dyDescent="0.55000000000000004">
      <c r="A24" t="s">
        <v>1071</v>
      </c>
      <c r="B24" s="9">
        <f>INDEX(Payment!$A$2:$M$328,MATCH(LEFT(A24,4),Payment!$A$2:$A$328,0),13)</f>
        <v>5384</v>
      </c>
      <c r="D24" s="8"/>
      <c r="E24" s="8"/>
      <c r="F24" s="9">
        <f>INDEX(FinalPayment!$F$2:$R$328,MATCH(LEFT('Payment 1 through 9'!$A24,4),FinalPayment!$F$2:$F$328,0),13)-B24</f>
        <v>223</v>
      </c>
      <c r="G24" s="8"/>
      <c r="H24" s="8"/>
      <c r="I24" s="8"/>
      <c r="J24" s="8"/>
      <c r="K24" s="8"/>
    </row>
    <row r="25" spans="1:11" x14ac:dyDescent="0.55000000000000004">
      <c r="A25" t="s">
        <v>1072</v>
      </c>
      <c r="B25" s="9">
        <f>INDEX(Payment!$A$2:$M$328,MATCH(LEFT(A25,4),Payment!$A$2:$A$328,0),13)</f>
        <v>32961</v>
      </c>
      <c r="D25" s="8"/>
      <c r="E25" s="8"/>
      <c r="F25" s="9">
        <f>INDEX(FinalPayment!$F$2:$R$328,MATCH(LEFT('Payment 1 through 9'!$A25,4),FinalPayment!$F$2:$F$328,0),13)-B25</f>
        <v>1594</v>
      </c>
      <c r="G25" s="8"/>
      <c r="H25" s="8"/>
      <c r="I25" s="8"/>
      <c r="J25" s="8"/>
      <c r="K25" s="8"/>
    </row>
    <row r="26" spans="1:11" x14ac:dyDescent="0.55000000000000004">
      <c r="A26" t="s">
        <v>1326</v>
      </c>
      <c r="B26" s="9">
        <f>INDEX(Payment!$A$2:$M$328,MATCH(LEFT(A26,4),Payment!$A$2:$A$328,0),13)</f>
        <v>1473</v>
      </c>
      <c r="D26" s="8"/>
      <c r="E26" s="8"/>
      <c r="F26" s="9">
        <f>INDEX(FinalPayment!$F$2:$R$328,MATCH(LEFT('Payment 1 through 9'!$A26,4),FinalPayment!$F$2:$F$328,0),13)-B26</f>
        <v>617</v>
      </c>
      <c r="G26" s="8"/>
      <c r="H26" s="8"/>
      <c r="I26" s="8"/>
      <c r="J26" s="8"/>
      <c r="K26" s="8"/>
    </row>
    <row r="27" spans="1:11" x14ac:dyDescent="0.55000000000000004">
      <c r="A27" t="s">
        <v>1091</v>
      </c>
      <c r="B27" s="9">
        <f>INDEX(Payment!$A$2:$M$328,MATCH(LEFT(A27,4),Payment!$A$2:$A$328,0),13)</f>
        <v>8491</v>
      </c>
      <c r="D27" s="8"/>
      <c r="E27" s="8"/>
      <c r="F27" s="9">
        <f>INDEX(FinalPayment!$F$2:$R$328,MATCH(LEFT('Payment 1 through 9'!$A27,4),FinalPayment!$F$2:$F$328,0),13)-B27</f>
        <v>422</v>
      </c>
      <c r="G27" s="8"/>
      <c r="H27" s="8"/>
      <c r="I27" s="8"/>
      <c r="J27" s="8"/>
      <c r="K27" s="8"/>
    </row>
    <row r="28" spans="1:11" x14ac:dyDescent="0.55000000000000004">
      <c r="A28" t="s">
        <v>1244</v>
      </c>
      <c r="B28" s="9">
        <f>INDEX(Payment!$A$2:$M$328,MATCH(LEFT(A28,4),Payment!$A$2:$A$328,0),13)</f>
        <v>4337</v>
      </c>
      <c r="D28" s="8"/>
      <c r="E28" s="8"/>
      <c r="F28" s="9">
        <f>INDEX(FinalPayment!$F$2:$R$328,MATCH(LEFT('Payment 1 through 9'!$A28,4),FinalPayment!$F$2:$F$328,0),13)-B28</f>
        <v>252</v>
      </c>
      <c r="G28" s="8"/>
      <c r="H28" s="8"/>
      <c r="I28" s="8"/>
      <c r="J28" s="8"/>
      <c r="K28" s="8"/>
    </row>
    <row r="29" spans="1:11" x14ac:dyDescent="0.55000000000000004">
      <c r="A29" t="s">
        <v>1075</v>
      </c>
      <c r="B29" s="9">
        <f>INDEX(Payment!$A$2:$M$328,MATCH(LEFT(A29,4),Payment!$A$2:$A$328,0),13)</f>
        <v>8163</v>
      </c>
      <c r="D29" s="8"/>
      <c r="E29" s="8"/>
      <c r="F29" s="9">
        <f>INDEX(FinalPayment!$F$2:$R$328,MATCH(LEFT('Payment 1 through 9'!$A29,4),FinalPayment!$F$2:$F$328,0),13)-B29</f>
        <v>446</v>
      </c>
      <c r="G29" s="8"/>
      <c r="H29" s="8"/>
      <c r="I29" s="8"/>
      <c r="J29" s="8"/>
      <c r="K29" s="8"/>
    </row>
    <row r="30" spans="1:11" x14ac:dyDescent="0.55000000000000004">
      <c r="A30" t="s">
        <v>1074</v>
      </c>
      <c r="B30" s="9">
        <f>INDEX(Payment!$A$2:$M$328,MATCH(LEFT(A30,4),Payment!$A$2:$A$328,0),13)</f>
        <v>13492</v>
      </c>
      <c r="D30" s="8"/>
      <c r="E30" s="8"/>
      <c r="F30" s="9">
        <f>INDEX(FinalPayment!$F$2:$R$328,MATCH(LEFT('Payment 1 through 9'!$A30,4),FinalPayment!$F$2:$F$328,0),13)-B30</f>
        <v>521</v>
      </c>
      <c r="G30" s="8"/>
      <c r="H30" s="8"/>
      <c r="I30" s="8"/>
      <c r="J30" s="8"/>
      <c r="K30" s="8"/>
    </row>
    <row r="31" spans="1:11" x14ac:dyDescent="0.55000000000000004">
      <c r="A31" t="s">
        <v>1076</v>
      </c>
      <c r="B31" s="9">
        <f>INDEX(Payment!$A$2:$M$328,MATCH(LEFT(A31,4),Payment!$A$2:$A$328,0),13)</f>
        <v>27053</v>
      </c>
      <c r="D31" s="8"/>
      <c r="E31" s="8"/>
      <c r="F31" s="9">
        <f>INDEX(FinalPayment!$F$2:$R$328,MATCH(LEFT('Payment 1 through 9'!$A31,4),FinalPayment!$F$2:$F$328,0),13)-B31</f>
        <v>605</v>
      </c>
      <c r="G31" s="8"/>
      <c r="H31" s="8"/>
      <c r="I31" s="8"/>
      <c r="J31" s="8"/>
      <c r="K31" s="8"/>
    </row>
    <row r="32" spans="1:11" x14ac:dyDescent="0.55000000000000004">
      <c r="A32" t="s">
        <v>1245</v>
      </c>
      <c r="B32" s="9">
        <f>INDEX(Payment!$A$2:$M$328,MATCH(LEFT(A32,4),Payment!$A$2:$A$328,0),13)</f>
        <v>4935</v>
      </c>
      <c r="D32" s="8"/>
      <c r="E32" s="8"/>
      <c r="F32" s="9">
        <f>INDEX(FinalPayment!$F$2:$R$328,MATCH(LEFT('Payment 1 through 9'!$A32,4),FinalPayment!$F$2:$F$328,0),13)-B32</f>
        <v>2096</v>
      </c>
      <c r="G32" s="8"/>
      <c r="H32" s="8"/>
      <c r="I32" s="8"/>
      <c r="J32" s="8"/>
      <c r="K32" s="8"/>
    </row>
    <row r="33" spans="1:11" x14ac:dyDescent="0.55000000000000004">
      <c r="A33" t="s">
        <v>1246</v>
      </c>
      <c r="B33" s="9">
        <f>INDEX(Payment!$A$2:$M$328,MATCH(LEFT(A33,4),Payment!$A$2:$A$328,0),13)</f>
        <v>11761</v>
      </c>
      <c r="D33" s="8"/>
      <c r="E33" s="8"/>
      <c r="F33" s="9">
        <f>INDEX(FinalPayment!$F$2:$R$328,MATCH(LEFT('Payment 1 through 9'!$A33,4),FinalPayment!$F$2:$F$328,0),13)-B33</f>
        <v>1803</v>
      </c>
      <c r="G33" s="8"/>
      <c r="H33" s="8"/>
      <c r="I33" s="8"/>
      <c r="J33" s="8"/>
      <c r="K33" s="8"/>
    </row>
    <row r="34" spans="1:11" x14ac:dyDescent="0.55000000000000004">
      <c r="A34" t="s">
        <v>1327</v>
      </c>
      <c r="B34" s="9">
        <f>INDEX(Payment!$A$2:$M$328,MATCH(LEFT(A34,4),Payment!$A$2:$A$328,0),13)</f>
        <v>11689</v>
      </c>
      <c r="D34" s="8"/>
      <c r="E34" s="8"/>
      <c r="F34" s="9">
        <f>INDEX(FinalPayment!$F$2:$R$328,MATCH(LEFT('Payment 1 through 9'!$A34,4),FinalPayment!$F$2:$F$328,0),13)-B34</f>
        <v>17922</v>
      </c>
      <c r="G34" s="8"/>
      <c r="H34" s="8"/>
      <c r="I34" s="8"/>
      <c r="J34" s="8"/>
      <c r="K34" s="8"/>
    </row>
    <row r="35" spans="1:11" x14ac:dyDescent="0.55000000000000004">
      <c r="A35" t="s">
        <v>1078</v>
      </c>
      <c r="B35" s="9">
        <f>INDEX(Payment!$A$2:$M$328,MATCH(LEFT(A35,4),Payment!$A$2:$A$328,0),13)</f>
        <v>13821</v>
      </c>
      <c r="D35" s="8"/>
      <c r="E35" s="8"/>
      <c r="F35" s="9">
        <f>INDEX(FinalPayment!$F$2:$R$328,MATCH(LEFT('Payment 1 through 9'!$A35,4),FinalPayment!$F$2:$F$328,0),13)-B35</f>
        <v>447</v>
      </c>
      <c r="G35" s="8"/>
      <c r="H35" s="8"/>
      <c r="I35" s="8"/>
      <c r="J35" s="8"/>
      <c r="K35" s="8"/>
    </row>
    <row r="36" spans="1:11" x14ac:dyDescent="0.55000000000000004">
      <c r="A36" t="s">
        <v>1079</v>
      </c>
      <c r="B36" s="9">
        <f>INDEX(Payment!$A$2:$M$328,MATCH(LEFT(A36,4),Payment!$A$2:$A$328,0),13)</f>
        <v>45467</v>
      </c>
      <c r="D36" s="8"/>
      <c r="E36" s="8"/>
      <c r="F36" s="9">
        <f>INDEX(FinalPayment!$F$2:$R$328,MATCH(LEFT('Payment 1 through 9'!$A36,4),FinalPayment!$F$2:$F$328,0),13)-B36</f>
        <v>645</v>
      </c>
      <c r="G36" s="8"/>
      <c r="H36" s="8"/>
      <c r="I36" s="8"/>
      <c r="J36" s="8"/>
      <c r="K36" s="8"/>
    </row>
    <row r="37" spans="1:11" x14ac:dyDescent="0.55000000000000004">
      <c r="A37" t="s">
        <v>1077</v>
      </c>
      <c r="B37" s="9">
        <f>INDEX(Payment!$A$2:$M$328,MATCH(LEFT(A37,4),Payment!$A$2:$A$328,0),13)</f>
        <v>24487</v>
      </c>
      <c r="D37" s="8"/>
      <c r="E37" s="8"/>
      <c r="F37" s="9">
        <f>INDEX(FinalPayment!$F$2:$R$328,MATCH(LEFT('Payment 1 through 9'!$A37,4),FinalPayment!$F$2:$F$328,0),13)-B37</f>
        <v>803</v>
      </c>
      <c r="G37" s="8"/>
      <c r="H37" s="8"/>
      <c r="I37" s="8"/>
      <c r="J37" s="8"/>
      <c r="K37" s="8"/>
    </row>
    <row r="38" spans="1:11" x14ac:dyDescent="0.55000000000000004">
      <c r="A38" t="s">
        <v>1141</v>
      </c>
      <c r="B38" s="9">
        <f>INDEX(Payment!$A$2:$M$328,MATCH(LEFT(A38,4),Payment!$A$2:$A$328,0),13)</f>
        <v>12764</v>
      </c>
      <c r="D38" s="8"/>
      <c r="E38" s="8"/>
      <c r="F38" s="9">
        <f>INDEX(FinalPayment!$F$2:$R$328,MATCH(LEFT('Payment 1 through 9'!$A38,4),FinalPayment!$F$2:$F$328,0),13)-B38</f>
        <v>837</v>
      </c>
      <c r="G38" s="8"/>
      <c r="H38" s="8"/>
      <c r="I38" s="8"/>
      <c r="J38" s="8"/>
      <c r="K38" s="8"/>
    </row>
    <row r="39" spans="1:11" x14ac:dyDescent="0.55000000000000004">
      <c r="A39" t="s">
        <v>1247</v>
      </c>
      <c r="B39" s="9">
        <f>INDEX(Payment!$A$2:$M$328,MATCH(LEFT(A39,4),Payment!$A$2:$A$328,0),13)</f>
        <v>8993</v>
      </c>
      <c r="D39" s="8"/>
      <c r="E39" s="8"/>
      <c r="F39" s="9">
        <f>INDEX(FinalPayment!$F$2:$R$328,MATCH(LEFT('Payment 1 through 9'!$A39,4),FinalPayment!$F$2:$F$328,0),13)-B39</f>
        <v>1351</v>
      </c>
      <c r="G39" s="8"/>
      <c r="H39" s="8"/>
      <c r="I39" s="8"/>
      <c r="J39" s="8"/>
      <c r="K39" s="8"/>
    </row>
    <row r="40" spans="1:11" x14ac:dyDescent="0.55000000000000004">
      <c r="A40" t="s">
        <v>1080</v>
      </c>
      <c r="B40" s="9">
        <f>INDEX(Payment!$A$2:$M$328,MATCH(LEFT(A40,4),Payment!$A$2:$A$328,0),13)</f>
        <v>15686</v>
      </c>
      <c r="D40" s="8"/>
      <c r="E40" s="8"/>
      <c r="F40" s="9">
        <f>INDEX(FinalPayment!$F$2:$R$328,MATCH(LEFT('Payment 1 through 9'!$A40,4),FinalPayment!$F$2:$F$328,0),13)-B40</f>
        <v>288</v>
      </c>
      <c r="G40" s="8"/>
      <c r="H40" s="8"/>
      <c r="I40" s="8"/>
      <c r="J40" s="8"/>
      <c r="K40" s="8"/>
    </row>
    <row r="41" spans="1:11" x14ac:dyDescent="0.55000000000000004">
      <c r="A41" t="s">
        <v>1081</v>
      </c>
      <c r="B41" s="9">
        <f>INDEX(Payment!$A$2:$M$328,MATCH(LEFT(A41,4),Payment!$A$2:$A$328,0),13)</f>
        <v>32446</v>
      </c>
      <c r="D41" s="8"/>
      <c r="E41" s="8"/>
      <c r="F41" s="9">
        <f>INDEX(FinalPayment!$F$2:$R$328,MATCH(LEFT('Payment 1 through 9'!$A41,4),FinalPayment!$F$2:$F$328,0),13)-B41</f>
        <v>993</v>
      </c>
      <c r="G41" s="8"/>
      <c r="H41" s="8"/>
      <c r="I41" s="8"/>
      <c r="J41" s="8"/>
      <c r="K41" s="8"/>
    </row>
    <row r="42" spans="1:11" x14ac:dyDescent="0.55000000000000004">
      <c r="A42" t="s">
        <v>1082</v>
      </c>
      <c r="B42" s="9">
        <f>INDEX(Payment!$A$2:$M$328,MATCH(LEFT(A42,4),Payment!$A$2:$A$328,0),13)</f>
        <v>8418</v>
      </c>
      <c r="D42" s="8"/>
      <c r="E42" s="8"/>
      <c r="F42" s="9">
        <f>INDEX(FinalPayment!$F$2:$R$328,MATCH(LEFT('Payment 1 through 9'!$A42,4),FinalPayment!$F$2:$F$328,0),13)-B42</f>
        <v>1530</v>
      </c>
      <c r="G42" s="8"/>
      <c r="H42" s="8"/>
      <c r="I42" s="8"/>
      <c r="J42" s="8"/>
      <c r="K42" s="8"/>
    </row>
    <row r="43" spans="1:11" x14ac:dyDescent="0.55000000000000004">
      <c r="A43" t="s">
        <v>1083</v>
      </c>
      <c r="B43" s="9">
        <f>INDEX(Payment!$A$2:$M$328,MATCH(LEFT(A43,4),Payment!$A$2:$A$328,0),13)</f>
        <v>5767</v>
      </c>
      <c r="D43" s="8"/>
      <c r="E43" s="8"/>
      <c r="F43" s="9">
        <f>INDEX(FinalPayment!$F$2:$R$328,MATCH(LEFT('Payment 1 through 9'!$A43,4),FinalPayment!$F$2:$F$328,0),13)-B43</f>
        <v>332</v>
      </c>
      <c r="G43" s="8"/>
      <c r="H43" s="8"/>
      <c r="I43" s="8"/>
      <c r="J43" s="8"/>
      <c r="K43" s="8"/>
    </row>
    <row r="44" spans="1:11" x14ac:dyDescent="0.55000000000000004">
      <c r="A44" t="s">
        <v>1111</v>
      </c>
      <c r="B44" s="9">
        <f>INDEX(Payment!$A$2:$M$328,MATCH(LEFT(A44,4),Payment!$A$2:$A$328,0),13)</f>
        <v>13350</v>
      </c>
      <c r="D44" s="8"/>
      <c r="E44" s="8"/>
      <c r="F44" s="9">
        <f>INDEX(FinalPayment!$F$2:$R$328,MATCH(LEFT('Payment 1 through 9'!$A44,4),FinalPayment!$F$2:$F$328,0),13)-B44</f>
        <v>620</v>
      </c>
      <c r="G44" s="8"/>
      <c r="H44" s="8"/>
      <c r="I44" s="8"/>
      <c r="J44" s="8"/>
      <c r="K44" s="8"/>
    </row>
    <row r="45" spans="1:11" x14ac:dyDescent="0.55000000000000004">
      <c r="A45" t="s">
        <v>1328</v>
      </c>
      <c r="B45" s="9">
        <f>INDEX(Payment!$A$2:$M$328,MATCH(LEFT(A45,4),Payment!$A$2:$A$328,0),13)</f>
        <v>2890</v>
      </c>
      <c r="D45" s="8"/>
      <c r="E45" s="8"/>
      <c r="F45" s="9">
        <f>INDEX(FinalPayment!$F$2:$R$328,MATCH(LEFT('Payment 1 through 9'!$A45,4),FinalPayment!$F$2:$F$328,0),13)-B45</f>
        <v>2514</v>
      </c>
      <c r="G45" s="8"/>
      <c r="H45" s="8"/>
      <c r="I45" s="8"/>
      <c r="J45" s="8"/>
      <c r="K45" s="8"/>
    </row>
    <row r="46" spans="1:11" x14ac:dyDescent="0.55000000000000004">
      <c r="A46" t="s">
        <v>1248</v>
      </c>
      <c r="B46" s="9">
        <f>INDEX(Payment!$A$2:$M$328,MATCH(LEFT(A46,4),Payment!$A$2:$A$328,0),13)</f>
        <v>41144</v>
      </c>
      <c r="D46" s="8"/>
      <c r="E46" s="8"/>
      <c r="F46" s="9">
        <f>INDEX(FinalPayment!$F$2:$R$328,MATCH(LEFT('Payment 1 through 9'!$A46,4),FinalPayment!$F$2:$F$328,0),13)-B46</f>
        <v>5437</v>
      </c>
      <c r="G46" s="8"/>
      <c r="H46" s="8"/>
      <c r="I46" s="8"/>
      <c r="J46" s="8"/>
      <c r="K46" s="8"/>
    </row>
    <row r="47" spans="1:11" x14ac:dyDescent="0.55000000000000004">
      <c r="A47" t="s">
        <v>1249</v>
      </c>
      <c r="B47" s="9">
        <f>INDEX(Payment!$A$2:$M$328,MATCH(LEFT(A47,4),Payment!$A$2:$A$328,0),13)</f>
        <v>2418</v>
      </c>
      <c r="D47" s="8"/>
      <c r="E47" s="8"/>
      <c r="F47" s="9">
        <f>INDEX(FinalPayment!$F$2:$R$328,MATCH(LEFT('Payment 1 through 9'!$A47,4),FinalPayment!$F$2:$F$328,0),13)-B47</f>
        <v>522</v>
      </c>
      <c r="G47" s="8"/>
      <c r="H47" s="8"/>
      <c r="I47" s="8"/>
      <c r="J47" s="8"/>
      <c r="K47" s="8"/>
    </row>
    <row r="48" spans="1:11" x14ac:dyDescent="0.55000000000000004">
      <c r="A48" t="s">
        <v>1329</v>
      </c>
      <c r="B48" s="9">
        <f>INDEX(Payment!$A$2:$M$328,MATCH(LEFT(A48,4),Payment!$A$2:$A$328,0),13)</f>
        <v>1445</v>
      </c>
      <c r="D48" s="8"/>
      <c r="E48" s="8"/>
      <c r="F48" s="9">
        <f>INDEX(FinalPayment!$F$2:$R$328,MATCH(LEFT('Payment 1 through 9'!$A48,4),FinalPayment!$F$2:$F$328,0),13)-B48</f>
        <v>794</v>
      </c>
      <c r="G48" s="8"/>
      <c r="H48" s="8"/>
      <c r="I48" s="8"/>
      <c r="J48" s="8"/>
      <c r="K48" s="8"/>
    </row>
    <row r="49" spans="1:11" x14ac:dyDescent="0.55000000000000004">
      <c r="A49" t="s">
        <v>1084</v>
      </c>
      <c r="B49" s="9">
        <f>INDEX(Payment!$A$2:$M$328,MATCH(LEFT(A49,4),Payment!$A$2:$A$328,0),13)</f>
        <v>6282</v>
      </c>
      <c r="D49" s="8"/>
      <c r="E49" s="8"/>
      <c r="F49" s="9">
        <f>INDEX(FinalPayment!$F$2:$R$328,MATCH(LEFT('Payment 1 through 9'!$A49,4),FinalPayment!$F$2:$F$328,0),13)-B49</f>
        <v>453</v>
      </c>
      <c r="G49" s="8"/>
      <c r="H49" s="8"/>
      <c r="I49" s="8"/>
      <c r="J49" s="8"/>
      <c r="K49" s="8"/>
    </row>
    <row r="50" spans="1:11" x14ac:dyDescent="0.55000000000000004">
      <c r="A50" t="s">
        <v>1085</v>
      </c>
      <c r="B50" s="9">
        <f>INDEX(Payment!$A$2:$M$328,MATCH(LEFT(A50,4),Payment!$A$2:$A$328,0),13)</f>
        <v>23925</v>
      </c>
      <c r="D50" s="8"/>
      <c r="E50" s="8"/>
      <c r="F50" s="9">
        <f>INDEX(FinalPayment!$F$2:$R$328,MATCH(LEFT('Payment 1 through 9'!$A50,4),FinalPayment!$F$2:$F$328,0),13)-B50</f>
        <v>437</v>
      </c>
      <c r="G50" s="8"/>
      <c r="H50" s="8"/>
      <c r="I50" s="8"/>
      <c r="J50" s="8"/>
      <c r="K50" s="8"/>
    </row>
    <row r="51" spans="1:11" x14ac:dyDescent="0.55000000000000004">
      <c r="A51" t="s">
        <v>1086</v>
      </c>
      <c r="B51" s="9">
        <f>INDEX(Payment!$A$2:$M$328,MATCH(LEFT(A51,4),Payment!$A$2:$A$328,0),13)</f>
        <v>6752</v>
      </c>
      <c r="D51" s="8"/>
      <c r="E51" s="8"/>
      <c r="F51" s="9">
        <f>INDEX(FinalPayment!$F$2:$R$328,MATCH(LEFT('Payment 1 through 9'!$A51,4),FinalPayment!$F$2:$F$328,0),13)-B51</f>
        <v>538</v>
      </c>
      <c r="G51" s="8"/>
      <c r="H51" s="8"/>
      <c r="I51" s="8"/>
      <c r="J51" s="8"/>
      <c r="K51" s="8"/>
    </row>
    <row r="52" spans="1:11" x14ac:dyDescent="0.55000000000000004">
      <c r="A52" t="s">
        <v>1087</v>
      </c>
      <c r="B52" s="9">
        <f>INDEX(Payment!$A$2:$M$328,MATCH(LEFT(A52,4),Payment!$A$2:$A$328,0),13)</f>
        <v>48593</v>
      </c>
      <c r="D52" s="8"/>
      <c r="E52" s="8"/>
      <c r="F52" s="9">
        <f>INDEX(FinalPayment!$F$2:$R$328,MATCH(LEFT('Payment 1 through 9'!$A52,4),FinalPayment!$F$2:$F$328,0),13)-B52</f>
        <v>1220</v>
      </c>
      <c r="G52" s="8"/>
      <c r="H52" s="8"/>
      <c r="I52" s="8"/>
      <c r="J52" s="8"/>
      <c r="K52" s="8"/>
    </row>
    <row r="53" spans="1:11" x14ac:dyDescent="0.55000000000000004">
      <c r="A53" t="s">
        <v>1088</v>
      </c>
      <c r="B53" s="9">
        <f>INDEX(Payment!$A$2:$M$328,MATCH(LEFT(A53,4),Payment!$A$2:$A$328,0),13)</f>
        <v>33459</v>
      </c>
      <c r="D53" s="8"/>
      <c r="E53" s="8"/>
      <c r="F53" s="9">
        <f>INDEX(FinalPayment!$F$2:$R$328,MATCH(LEFT('Payment 1 through 9'!$A53,4),FinalPayment!$F$2:$F$328,0),13)-B53</f>
        <v>1720</v>
      </c>
      <c r="G53" s="8"/>
      <c r="H53" s="8"/>
      <c r="I53" s="8"/>
      <c r="J53" s="8"/>
      <c r="K53" s="8"/>
    </row>
    <row r="54" spans="1:11" x14ac:dyDescent="0.55000000000000004">
      <c r="A54" t="s">
        <v>1089</v>
      </c>
      <c r="B54" s="9">
        <f>INDEX(Payment!$A$2:$M$328,MATCH(LEFT(A54,4),Payment!$A$2:$A$328,0),13)</f>
        <v>11659</v>
      </c>
      <c r="D54" s="8"/>
      <c r="E54" s="8"/>
      <c r="F54" s="9">
        <f>INDEX(FinalPayment!$F$2:$R$328,MATCH(LEFT('Payment 1 through 9'!$A54,4),FinalPayment!$F$2:$F$328,0),13)-B54</f>
        <v>221</v>
      </c>
      <c r="G54" s="8"/>
      <c r="H54" s="8"/>
      <c r="I54" s="8"/>
      <c r="J54" s="8"/>
      <c r="K54" s="8"/>
    </row>
    <row r="55" spans="1:11" x14ac:dyDescent="0.55000000000000004">
      <c r="A55" t="s">
        <v>1250</v>
      </c>
      <c r="B55" s="9">
        <f>INDEX(Payment!$A$2:$M$328,MATCH(LEFT(A55,4),Payment!$A$2:$A$328,0),13)</f>
        <v>8179</v>
      </c>
      <c r="D55" s="8"/>
      <c r="E55" s="8"/>
      <c r="F55" s="9">
        <f>INDEX(FinalPayment!$F$2:$R$328,MATCH(LEFT('Payment 1 through 9'!$A55,4),FinalPayment!$F$2:$F$328,0),13)-B55</f>
        <v>2289</v>
      </c>
      <c r="G55" s="8"/>
      <c r="H55" s="8"/>
      <c r="I55" s="8"/>
      <c r="J55" s="8"/>
      <c r="K55" s="8"/>
    </row>
    <row r="56" spans="1:11" x14ac:dyDescent="0.55000000000000004">
      <c r="A56" t="s">
        <v>1090</v>
      </c>
      <c r="B56" s="9">
        <f>INDEX(Payment!$A$2:$M$328,MATCH(LEFT(A56,4),Payment!$A$2:$A$328,0),13)</f>
        <v>2815</v>
      </c>
      <c r="D56" s="8"/>
      <c r="E56" s="8"/>
      <c r="F56" s="9">
        <f>INDEX(FinalPayment!$F$2:$R$328,MATCH(LEFT('Payment 1 through 9'!$A56,4),FinalPayment!$F$2:$F$328,0),13)-B56</f>
        <v>109</v>
      </c>
      <c r="G56" s="8"/>
      <c r="H56" s="8"/>
      <c r="I56" s="8"/>
      <c r="J56" s="8"/>
      <c r="K56" s="8"/>
    </row>
    <row r="57" spans="1:11" x14ac:dyDescent="0.55000000000000004">
      <c r="A57" t="s">
        <v>1330</v>
      </c>
      <c r="B57" s="9">
        <f>INDEX(Payment!$A$2:$M$328,MATCH(LEFT(A57,4),Payment!$A$2:$A$328,0),13)</f>
        <v>1186</v>
      </c>
      <c r="D57" s="8"/>
      <c r="E57" s="8"/>
      <c r="F57" s="9">
        <f>INDEX(FinalPayment!$F$2:$R$328,MATCH(LEFT('Payment 1 through 9'!$A57,4),FinalPayment!$F$2:$F$328,0),13)-B57</f>
        <v>594</v>
      </c>
      <c r="G57" s="8"/>
      <c r="H57" s="8"/>
      <c r="I57" s="8"/>
      <c r="J57" s="8"/>
      <c r="K57" s="8"/>
    </row>
    <row r="58" spans="1:11" x14ac:dyDescent="0.55000000000000004">
      <c r="A58" t="s">
        <v>1251</v>
      </c>
      <c r="B58" s="9">
        <f>INDEX(Payment!$A$2:$M$328,MATCH(LEFT(A58,4),Payment!$A$2:$A$328,0),13)</f>
        <v>6201</v>
      </c>
      <c r="D58" s="8"/>
      <c r="E58" s="8"/>
      <c r="F58" s="9">
        <f>INDEX(FinalPayment!$F$2:$R$328,MATCH(LEFT('Payment 1 through 9'!$A58,4),FinalPayment!$F$2:$F$328,0),13)-B58</f>
        <v>589</v>
      </c>
      <c r="G58" s="8"/>
      <c r="H58" s="8"/>
      <c r="I58" s="8"/>
      <c r="J58" s="8"/>
      <c r="K58" s="8"/>
    </row>
    <row r="59" spans="1:11" x14ac:dyDescent="0.55000000000000004">
      <c r="A59" t="s">
        <v>1093</v>
      </c>
      <c r="B59" s="9">
        <f>INDEX(Payment!$A$2:$M$328,MATCH(LEFT(A59,4),Payment!$A$2:$A$328,0),13)</f>
        <v>21962</v>
      </c>
      <c r="D59" s="8"/>
      <c r="E59" s="8"/>
      <c r="F59" s="9">
        <f>INDEX(FinalPayment!$F$2:$R$328,MATCH(LEFT('Payment 1 through 9'!$A59,4),FinalPayment!$F$2:$F$328,0),13)-B59</f>
        <v>590</v>
      </c>
      <c r="G59" s="8"/>
      <c r="H59" s="8"/>
      <c r="I59" s="8"/>
      <c r="J59" s="8"/>
      <c r="K59" s="8"/>
    </row>
    <row r="60" spans="1:11" x14ac:dyDescent="0.55000000000000004">
      <c r="A60" t="s">
        <v>1127</v>
      </c>
      <c r="B60" s="9">
        <f>INDEX(Payment!$A$2:$M$328,MATCH(LEFT(A60,4),Payment!$A$2:$A$328,0),13)</f>
        <v>19269</v>
      </c>
      <c r="D60" s="8"/>
      <c r="E60" s="8"/>
      <c r="F60" s="9">
        <f>INDEX(FinalPayment!$F$2:$R$328,MATCH(LEFT('Payment 1 through 9'!$A60,4),FinalPayment!$F$2:$F$328,0),13)-B60</f>
        <v>585</v>
      </c>
      <c r="G60" s="8"/>
      <c r="H60" s="8"/>
      <c r="I60" s="8"/>
      <c r="J60" s="8"/>
      <c r="K60" s="8"/>
    </row>
    <row r="61" spans="1:11" x14ac:dyDescent="0.55000000000000004">
      <c r="A61" t="s">
        <v>1180</v>
      </c>
      <c r="B61" s="9">
        <f>INDEX(Payment!$A$2:$M$328,MATCH(LEFT(A61,4),Payment!$A$2:$A$328,0),13)</f>
        <v>12769</v>
      </c>
      <c r="D61" s="8"/>
      <c r="E61" s="8"/>
      <c r="F61" s="9">
        <f>INDEX(FinalPayment!$F$2:$R$328,MATCH(LEFT('Payment 1 through 9'!$A61,4),FinalPayment!$F$2:$F$328,0),13)-B61</f>
        <v>884</v>
      </c>
      <c r="G61" s="8"/>
      <c r="H61" s="8"/>
      <c r="I61" s="8"/>
      <c r="J61" s="8"/>
      <c r="K61" s="8"/>
    </row>
    <row r="62" spans="1:11" x14ac:dyDescent="0.55000000000000004">
      <c r="A62" t="s">
        <v>1094</v>
      </c>
      <c r="B62" s="9">
        <f>INDEX(Payment!$A$2:$M$328,MATCH(LEFT(A62,4),Payment!$A$2:$A$328,0),13)</f>
        <v>14767</v>
      </c>
      <c r="D62" s="8"/>
      <c r="E62" s="8"/>
      <c r="F62" s="9">
        <f>INDEX(FinalPayment!$F$2:$R$328,MATCH(LEFT('Payment 1 through 9'!$A62,4),FinalPayment!$F$2:$F$328,0),13)-B62</f>
        <v>521</v>
      </c>
      <c r="G62" s="8"/>
      <c r="H62" s="8"/>
      <c r="I62" s="8"/>
      <c r="J62" s="8"/>
      <c r="K62" s="8"/>
    </row>
    <row r="63" spans="1:11" x14ac:dyDescent="0.55000000000000004">
      <c r="A63" t="s">
        <v>1095</v>
      </c>
      <c r="B63" s="9">
        <f>INDEX(Payment!$A$2:$M$328,MATCH(LEFT(A63,4),Payment!$A$2:$A$328,0),13)</f>
        <v>12342</v>
      </c>
      <c r="D63" s="8"/>
      <c r="E63" s="8"/>
      <c r="F63" s="9">
        <f>INDEX(FinalPayment!$F$2:$R$328,MATCH(LEFT('Payment 1 through 9'!$A63,4),FinalPayment!$F$2:$F$328,0),13)-B63</f>
        <v>348</v>
      </c>
      <c r="G63" s="8"/>
      <c r="H63" s="8"/>
      <c r="I63" s="8"/>
      <c r="J63" s="8"/>
      <c r="K63" s="8"/>
    </row>
    <row r="64" spans="1:11" x14ac:dyDescent="0.55000000000000004">
      <c r="A64" t="s">
        <v>1092</v>
      </c>
      <c r="B64" s="9">
        <f>INDEX(Payment!$A$2:$M$328,MATCH(LEFT(A64,4),Payment!$A$2:$A$328,0),13)</f>
        <v>13463</v>
      </c>
      <c r="D64" s="8"/>
      <c r="E64" s="8"/>
      <c r="F64" s="9">
        <f>INDEX(FinalPayment!$F$2:$R$328,MATCH(LEFT('Payment 1 through 9'!$A64,4),FinalPayment!$F$2:$F$328,0),13)-B64</f>
        <v>631</v>
      </c>
      <c r="G64" s="8"/>
      <c r="H64" s="8"/>
      <c r="I64" s="8"/>
      <c r="J64" s="8"/>
      <c r="K64" s="8"/>
    </row>
    <row r="65" spans="1:11" x14ac:dyDescent="0.55000000000000004">
      <c r="A65" t="s">
        <v>1073</v>
      </c>
      <c r="B65" s="9">
        <f>INDEX(Payment!$A$2:$M$328,MATCH(LEFT(A65,4),Payment!$A$2:$A$328,0),13)</f>
        <v>38004</v>
      </c>
      <c r="D65" s="8"/>
      <c r="E65" s="8"/>
      <c r="F65" s="9">
        <f>INDEX(FinalPayment!$F$2:$R$328,MATCH(LEFT('Payment 1 through 9'!$A65,4),FinalPayment!$F$2:$F$328,0),13)-B65</f>
        <v>944</v>
      </c>
      <c r="G65" s="8"/>
      <c r="H65" s="8"/>
      <c r="I65" s="8"/>
      <c r="J65" s="8"/>
      <c r="K65" s="8"/>
    </row>
    <row r="66" spans="1:11" x14ac:dyDescent="0.55000000000000004">
      <c r="A66" t="s">
        <v>1097</v>
      </c>
      <c r="B66" s="9">
        <f>INDEX(Payment!$A$2:$M$328,MATCH(LEFT(A66,4),Payment!$A$2:$A$328,0),13)</f>
        <v>14726</v>
      </c>
      <c r="D66" s="8"/>
      <c r="E66" s="8"/>
      <c r="F66" s="9">
        <f>INDEX(FinalPayment!$F$2:$R$328,MATCH(LEFT('Payment 1 through 9'!$A66,4),FinalPayment!$F$2:$F$328,0),13)-B66</f>
        <v>447</v>
      </c>
      <c r="G66" s="8"/>
      <c r="H66" s="8"/>
      <c r="I66" s="8"/>
      <c r="J66" s="8"/>
      <c r="K66" s="8"/>
    </row>
    <row r="67" spans="1:11" x14ac:dyDescent="0.55000000000000004">
      <c r="A67" t="s">
        <v>1331</v>
      </c>
      <c r="B67" s="9">
        <f>INDEX(Payment!$A$2:$M$328,MATCH(LEFT(A67,4),Payment!$A$2:$A$328,0),13)</f>
        <v>2684</v>
      </c>
      <c r="D67" s="8"/>
      <c r="E67" s="8"/>
      <c r="F67" s="9">
        <f>INDEX(FinalPayment!$F$2:$R$328,MATCH(LEFT('Payment 1 through 9'!$A67,4),FinalPayment!$F$2:$F$328,0),13)-B67</f>
        <v>667</v>
      </c>
      <c r="G67" s="8"/>
      <c r="H67" s="8"/>
      <c r="I67" s="8"/>
      <c r="J67" s="8"/>
      <c r="K67" s="8"/>
    </row>
    <row r="68" spans="1:11" x14ac:dyDescent="0.55000000000000004">
      <c r="A68" t="s">
        <v>1098</v>
      </c>
      <c r="B68" s="9">
        <f>INDEX(Payment!$A$2:$M$328,MATCH(LEFT(A68,4),Payment!$A$2:$A$328,0),13)</f>
        <v>2256</v>
      </c>
      <c r="D68" s="8"/>
      <c r="E68" s="8"/>
      <c r="F68" s="9">
        <f>INDEX(FinalPayment!$F$2:$R$328,MATCH(LEFT('Payment 1 through 9'!$A68,4),FinalPayment!$F$2:$F$328,0),13)-B68</f>
        <v>740</v>
      </c>
      <c r="G68" s="8"/>
      <c r="H68" s="8"/>
      <c r="I68" s="8"/>
      <c r="J68" s="8"/>
      <c r="K68" s="8"/>
    </row>
    <row r="69" spans="1:11" x14ac:dyDescent="0.55000000000000004">
      <c r="A69" t="s">
        <v>1099</v>
      </c>
      <c r="B69" s="9">
        <f>INDEX(Payment!$A$2:$M$328,MATCH(LEFT(A69,4),Payment!$A$2:$A$328,0),13)</f>
        <v>5413</v>
      </c>
      <c r="D69" s="8"/>
      <c r="E69" s="8"/>
      <c r="F69" s="9">
        <f>INDEX(FinalPayment!$F$2:$R$328,MATCH(LEFT('Payment 1 through 9'!$A69,4),FinalPayment!$F$2:$F$328,0),13)-B69</f>
        <v>494</v>
      </c>
      <c r="G69" s="8"/>
      <c r="H69" s="8"/>
      <c r="I69" s="8"/>
      <c r="J69" s="8"/>
      <c r="K69" s="8"/>
    </row>
    <row r="70" spans="1:11" x14ac:dyDescent="0.55000000000000004">
      <c r="A70" t="s">
        <v>1100</v>
      </c>
      <c r="B70" s="9">
        <f>INDEX(Payment!$A$2:$M$328,MATCH(LEFT(A70,4),Payment!$A$2:$A$328,0),13)</f>
        <v>9812</v>
      </c>
      <c r="D70" s="8"/>
      <c r="E70" s="8"/>
      <c r="F70" s="9">
        <f>INDEX(FinalPayment!$F$2:$R$328,MATCH(LEFT('Payment 1 through 9'!$A70,4),FinalPayment!$F$2:$F$328,0),13)-B70</f>
        <v>453</v>
      </c>
      <c r="G70" s="8"/>
      <c r="H70" s="8"/>
      <c r="I70" s="8"/>
      <c r="J70" s="8"/>
      <c r="K70" s="8"/>
    </row>
    <row r="71" spans="1:11" x14ac:dyDescent="0.55000000000000004">
      <c r="A71" t="s">
        <v>1332</v>
      </c>
      <c r="B71" s="9">
        <f>INDEX(Payment!$A$2:$M$328,MATCH(LEFT(A71,4),Payment!$A$2:$A$328,0),13)</f>
        <v>2508</v>
      </c>
      <c r="D71" s="8"/>
      <c r="E71" s="8"/>
      <c r="F71" s="9">
        <f>INDEX(FinalPayment!$F$2:$R$328,MATCH(LEFT('Payment 1 through 9'!$A71,4),FinalPayment!$F$2:$F$328,0),13)-B71</f>
        <v>1717</v>
      </c>
      <c r="G71" s="8"/>
      <c r="H71" s="8"/>
      <c r="I71" s="8"/>
      <c r="J71" s="8"/>
      <c r="K71" s="8"/>
    </row>
    <row r="72" spans="1:11" x14ac:dyDescent="0.55000000000000004">
      <c r="A72" t="s">
        <v>1252</v>
      </c>
      <c r="B72" s="9">
        <f>INDEX(Payment!$A$2:$M$328,MATCH(LEFT(A72,4),Payment!$A$2:$A$328,0),13)</f>
        <v>2853</v>
      </c>
      <c r="D72" s="8"/>
      <c r="E72" s="8"/>
      <c r="F72" s="9">
        <f>INDEX(FinalPayment!$F$2:$R$328,MATCH(LEFT('Payment 1 through 9'!$A72,4),FinalPayment!$F$2:$F$328,0),13)-B72</f>
        <v>1136</v>
      </c>
      <c r="G72" s="8"/>
      <c r="H72" s="8"/>
      <c r="I72" s="8"/>
      <c r="J72" s="8"/>
      <c r="K72" s="8"/>
    </row>
    <row r="73" spans="1:11" x14ac:dyDescent="0.55000000000000004">
      <c r="A73" t="s">
        <v>1253</v>
      </c>
      <c r="B73" s="9">
        <f>INDEX(Payment!$A$2:$M$328,MATCH(LEFT(A73,4),Payment!$A$2:$A$328,0),13)</f>
        <v>2020</v>
      </c>
      <c r="D73" s="8"/>
      <c r="E73" s="8"/>
      <c r="F73" s="9">
        <f>INDEX(FinalPayment!$F$2:$R$328,MATCH(LEFT('Payment 1 through 9'!$A73,4),FinalPayment!$F$2:$F$328,0),13)-B73</f>
        <v>506</v>
      </c>
      <c r="G73" s="8"/>
      <c r="H73" s="8"/>
      <c r="I73" s="8"/>
      <c r="J73" s="8"/>
      <c r="K73" s="8"/>
    </row>
    <row r="74" spans="1:11" x14ac:dyDescent="0.55000000000000004">
      <c r="A74" t="s">
        <v>1101</v>
      </c>
      <c r="B74" s="9">
        <f>INDEX(Payment!$A$2:$M$328,MATCH(LEFT(A74,4),Payment!$A$2:$A$328,0),13)</f>
        <v>11536</v>
      </c>
      <c r="D74" s="8"/>
      <c r="E74" s="8"/>
      <c r="F74" s="9">
        <f>INDEX(FinalPayment!$F$2:$R$328,MATCH(LEFT('Payment 1 through 9'!$A74,4),FinalPayment!$F$2:$F$328,0),13)-B74</f>
        <v>492</v>
      </c>
      <c r="G74" s="8"/>
      <c r="H74" s="8"/>
      <c r="I74" s="8"/>
      <c r="J74" s="8"/>
      <c r="K74" s="8"/>
    </row>
    <row r="75" spans="1:11" x14ac:dyDescent="0.55000000000000004">
      <c r="A75" t="s">
        <v>1102</v>
      </c>
      <c r="B75" s="9">
        <f>INDEX(Payment!$A$2:$M$328,MATCH(LEFT(A75,4),Payment!$A$2:$A$328,0),13)</f>
        <v>10982</v>
      </c>
      <c r="D75" s="8"/>
      <c r="E75" s="8"/>
      <c r="F75" s="9">
        <f>INDEX(FinalPayment!$F$2:$R$328,MATCH(LEFT('Payment 1 through 9'!$A75,4),FinalPayment!$F$2:$F$328,0),13)-B75</f>
        <v>951</v>
      </c>
      <c r="G75" s="8"/>
      <c r="H75" s="8"/>
      <c r="I75" s="8"/>
      <c r="J75" s="8"/>
      <c r="K75" s="8"/>
    </row>
    <row r="76" spans="1:11" x14ac:dyDescent="0.55000000000000004">
      <c r="A76" t="s">
        <v>1103</v>
      </c>
      <c r="B76" s="9">
        <f>INDEX(Payment!$A$2:$M$328,MATCH(LEFT(A76,4),Payment!$A$2:$A$328,0),13)</f>
        <v>10210</v>
      </c>
      <c r="D76" s="8"/>
      <c r="E76" s="8"/>
      <c r="F76" s="9">
        <f>INDEX(FinalPayment!$F$2:$R$328,MATCH(LEFT('Payment 1 through 9'!$A76,4),FinalPayment!$F$2:$F$328,0),13)-B76</f>
        <v>451</v>
      </c>
      <c r="G76" s="8"/>
      <c r="H76" s="8"/>
      <c r="I76" s="8"/>
      <c r="J76" s="8"/>
      <c r="K76" s="8"/>
    </row>
    <row r="77" spans="1:11" x14ac:dyDescent="0.55000000000000004">
      <c r="A77" t="s">
        <v>1104</v>
      </c>
      <c r="B77" s="9">
        <f>INDEX(Payment!$A$2:$M$328,MATCH(LEFT(A77,4),Payment!$A$2:$A$328,0),13)</f>
        <v>2135</v>
      </c>
      <c r="D77" s="8"/>
      <c r="E77" s="8"/>
      <c r="F77" s="9">
        <f>INDEX(FinalPayment!$F$2:$R$328,MATCH(LEFT('Payment 1 through 9'!$A77,4),FinalPayment!$F$2:$F$328,0),13)-B77</f>
        <v>174</v>
      </c>
      <c r="G77" s="8"/>
      <c r="H77" s="8"/>
      <c r="I77" s="8"/>
      <c r="J77" s="8"/>
      <c r="K77" s="8"/>
    </row>
    <row r="78" spans="1:11" x14ac:dyDescent="0.55000000000000004">
      <c r="A78" t="s">
        <v>1105</v>
      </c>
      <c r="B78" s="9">
        <f>INDEX(Payment!$A$2:$M$328,MATCH(LEFT(A78,4),Payment!$A$2:$A$328,0),13)</f>
        <v>3622</v>
      </c>
      <c r="D78" s="8"/>
      <c r="E78" s="8"/>
      <c r="F78" s="9">
        <f>INDEX(FinalPayment!$F$2:$R$328,MATCH(LEFT('Payment 1 through 9'!$A78,4),FinalPayment!$F$2:$F$328,0),13)-B78</f>
        <v>622</v>
      </c>
      <c r="G78" s="8"/>
      <c r="H78" s="8"/>
      <c r="I78" s="8"/>
      <c r="J78" s="8"/>
      <c r="K78" s="8"/>
    </row>
    <row r="79" spans="1:11" x14ac:dyDescent="0.55000000000000004">
      <c r="A79" t="s">
        <v>1108</v>
      </c>
      <c r="B79" s="9">
        <f>INDEX(Payment!$A$2:$M$328,MATCH(LEFT(A79,4),Payment!$A$2:$A$328,0),13)</f>
        <v>11042</v>
      </c>
      <c r="D79" s="8"/>
      <c r="E79" s="8"/>
      <c r="F79" s="9">
        <f>INDEX(FinalPayment!$F$2:$R$328,MATCH(LEFT('Payment 1 through 9'!$A79,4),FinalPayment!$F$2:$F$328,0),13)-B79</f>
        <v>289</v>
      </c>
      <c r="G79" s="8"/>
      <c r="H79" s="8"/>
      <c r="I79" s="8"/>
      <c r="J79" s="8"/>
      <c r="K79" s="8"/>
    </row>
    <row r="80" spans="1:11" x14ac:dyDescent="0.55000000000000004">
      <c r="A80" t="s">
        <v>1106</v>
      </c>
      <c r="B80" s="9">
        <f>INDEX(Payment!$A$2:$M$328,MATCH(LEFT(A80,4),Payment!$A$2:$A$328,0),13)</f>
        <v>5113</v>
      </c>
      <c r="D80" s="8"/>
      <c r="E80" s="8"/>
      <c r="F80" s="9">
        <f>INDEX(FinalPayment!$F$2:$R$328,MATCH(LEFT('Payment 1 through 9'!$A80,4),FinalPayment!$F$2:$F$328,0),13)-B80</f>
        <v>397</v>
      </c>
      <c r="G80" s="8"/>
      <c r="H80" s="8"/>
      <c r="I80" s="8"/>
      <c r="J80" s="8"/>
      <c r="K80" s="8"/>
    </row>
    <row r="81" spans="1:11" x14ac:dyDescent="0.55000000000000004">
      <c r="A81" t="s">
        <v>1119</v>
      </c>
      <c r="B81" s="9">
        <f>INDEX(Payment!$A$2:$M$328,MATCH(LEFT(A81,4),Payment!$A$2:$A$328,0),13)</f>
        <v>24945</v>
      </c>
      <c r="D81" s="8"/>
      <c r="E81" s="8"/>
      <c r="F81" s="9">
        <f>INDEX(FinalPayment!$F$2:$R$328,MATCH(LEFT('Payment 1 through 9'!$A81,4),FinalPayment!$F$2:$F$328,0),13)-B81</f>
        <v>1280</v>
      </c>
      <c r="G81" s="8"/>
      <c r="H81" s="8"/>
      <c r="I81" s="8"/>
      <c r="J81" s="8"/>
      <c r="K81" s="8"/>
    </row>
    <row r="82" spans="1:11" x14ac:dyDescent="0.55000000000000004">
      <c r="A82" t="s">
        <v>1109</v>
      </c>
      <c r="B82" s="9">
        <f>INDEX(Payment!$A$2:$M$328,MATCH(LEFT(A82,4),Payment!$A$2:$A$328,0),13)</f>
        <v>23900</v>
      </c>
      <c r="D82" s="8"/>
      <c r="E82" s="8"/>
      <c r="F82" s="9">
        <f>INDEX(FinalPayment!$F$2:$R$328,MATCH(LEFT('Payment 1 through 9'!$A82,4),FinalPayment!$F$2:$F$328,0),13)-B82</f>
        <v>507</v>
      </c>
      <c r="G82" s="8"/>
      <c r="H82" s="8"/>
      <c r="I82" s="8"/>
      <c r="J82" s="8"/>
      <c r="K82" s="8"/>
    </row>
    <row r="83" spans="1:11" x14ac:dyDescent="0.55000000000000004">
      <c r="A83" t="s">
        <v>1110</v>
      </c>
      <c r="B83" s="9">
        <f>INDEX(Payment!$A$2:$M$328,MATCH(LEFT(A83,4),Payment!$A$2:$A$328,0),13)</f>
        <v>8208</v>
      </c>
      <c r="D83" s="8"/>
      <c r="E83" s="8"/>
      <c r="F83" s="9">
        <f>INDEX(FinalPayment!$F$2:$R$328,MATCH(LEFT('Payment 1 through 9'!$A83,4),FinalPayment!$F$2:$F$328,0),13)-B83</f>
        <v>456</v>
      </c>
      <c r="G83" s="8"/>
      <c r="H83" s="8"/>
      <c r="I83" s="8"/>
      <c r="J83" s="8"/>
      <c r="K83" s="8"/>
    </row>
    <row r="84" spans="1:11" x14ac:dyDescent="0.55000000000000004">
      <c r="A84" t="s">
        <v>1112</v>
      </c>
      <c r="B84" s="9">
        <f>INDEX(Payment!$A$2:$M$328,MATCH(LEFT(A84,4),Payment!$A$2:$A$328,0),13)</f>
        <v>4250</v>
      </c>
      <c r="D84" s="8"/>
      <c r="E84" s="8"/>
      <c r="F84" s="9">
        <f>INDEX(FinalPayment!$F$2:$R$328,MATCH(LEFT('Payment 1 through 9'!$A84,4),FinalPayment!$F$2:$F$328,0),13)-B84</f>
        <v>322</v>
      </c>
      <c r="G84" s="8"/>
      <c r="H84" s="8"/>
      <c r="I84" s="8"/>
      <c r="J84" s="8"/>
      <c r="K84" s="8"/>
    </row>
    <row r="85" spans="1:11" x14ac:dyDescent="0.55000000000000004">
      <c r="A85" t="s">
        <v>1113</v>
      </c>
      <c r="B85" s="9">
        <f>INDEX(Payment!$A$2:$M$328,MATCH(LEFT(A85,4),Payment!$A$2:$A$328,0),13)</f>
        <v>5507</v>
      </c>
      <c r="D85" s="8"/>
      <c r="E85" s="8"/>
      <c r="F85" s="9">
        <f>INDEX(FinalPayment!$F$2:$R$328,MATCH(LEFT('Payment 1 through 9'!$A85,4),FinalPayment!$F$2:$F$328,0),13)-B85</f>
        <v>664</v>
      </c>
      <c r="G85" s="8"/>
      <c r="H85" s="8"/>
      <c r="I85" s="8"/>
      <c r="J85" s="8"/>
      <c r="K85" s="8"/>
    </row>
    <row r="86" spans="1:11" x14ac:dyDescent="0.55000000000000004">
      <c r="A86" t="s">
        <v>1114</v>
      </c>
      <c r="B86" s="9">
        <f>INDEX(Payment!$A$2:$M$328,MATCH(LEFT(A86,4),Payment!$A$2:$A$328,0),13)</f>
        <v>16639</v>
      </c>
      <c r="D86" s="8"/>
      <c r="E86" s="8"/>
      <c r="F86" s="9">
        <f>INDEX(FinalPayment!$F$2:$R$328,MATCH(LEFT('Payment 1 through 9'!$A86,4),FinalPayment!$F$2:$F$328,0),13)-B86</f>
        <v>547</v>
      </c>
      <c r="G86" s="8"/>
      <c r="H86" s="8"/>
      <c r="I86" s="8"/>
      <c r="J86" s="8"/>
      <c r="K86" s="8"/>
    </row>
    <row r="87" spans="1:11" x14ac:dyDescent="0.55000000000000004">
      <c r="A87" t="s">
        <v>1115</v>
      </c>
      <c r="B87" s="9">
        <f>INDEX(Payment!$A$2:$M$328,MATCH(LEFT(A87,4),Payment!$A$2:$A$328,0),13)</f>
        <v>27510</v>
      </c>
      <c r="D87" s="8"/>
      <c r="E87" s="8"/>
      <c r="F87" s="9">
        <f>INDEX(FinalPayment!$F$2:$R$328,MATCH(LEFT('Payment 1 through 9'!$A87,4),FinalPayment!$F$2:$F$328,0),13)-B87</f>
        <v>1246</v>
      </c>
      <c r="G87" s="8"/>
      <c r="H87" s="8"/>
      <c r="I87" s="8"/>
      <c r="J87" s="8"/>
      <c r="K87" s="8"/>
    </row>
    <row r="88" spans="1:11" x14ac:dyDescent="0.55000000000000004">
      <c r="A88" t="s">
        <v>1116</v>
      </c>
      <c r="B88" s="9">
        <f>INDEX(Payment!$A$2:$M$328,MATCH(LEFT(A88,4),Payment!$A$2:$A$328,0),13)</f>
        <v>5985</v>
      </c>
      <c r="D88" s="8"/>
      <c r="E88" s="8"/>
      <c r="F88" s="9">
        <f>INDEX(FinalPayment!$F$2:$R$328,MATCH(LEFT('Payment 1 through 9'!$A88,4),FinalPayment!$F$2:$F$328,0),13)-B88</f>
        <v>463</v>
      </c>
      <c r="G88" s="8"/>
      <c r="H88" s="8"/>
      <c r="I88" s="8"/>
      <c r="J88" s="8"/>
      <c r="K88" s="8"/>
    </row>
    <row r="89" spans="1:11" x14ac:dyDescent="0.55000000000000004">
      <c r="A89" t="s">
        <v>1118</v>
      </c>
      <c r="B89" s="9">
        <f>INDEX(Payment!$A$2:$M$328,MATCH(LEFT(A89,4),Payment!$A$2:$A$328,0),13)</f>
        <v>17472</v>
      </c>
      <c r="D89" s="8"/>
      <c r="E89" s="8"/>
      <c r="F89" s="9">
        <f>INDEX(FinalPayment!$F$2:$R$328,MATCH(LEFT('Payment 1 through 9'!$A89,4),FinalPayment!$F$2:$F$328,0),13)-B89</f>
        <v>722</v>
      </c>
      <c r="G89" s="8"/>
      <c r="H89" s="8"/>
      <c r="I89" s="8"/>
      <c r="J89" s="8"/>
      <c r="K89" s="8"/>
    </row>
    <row r="90" spans="1:11" x14ac:dyDescent="0.55000000000000004">
      <c r="A90" t="s">
        <v>1117</v>
      </c>
      <c r="B90" s="9">
        <f>INDEX(Payment!$A$2:$M$328,MATCH(LEFT(A90,4),Payment!$A$2:$A$328,0),13)</f>
        <v>25550</v>
      </c>
      <c r="D90" s="8"/>
      <c r="E90" s="8"/>
      <c r="F90" s="9">
        <f>INDEX(FinalPayment!$F$2:$R$328,MATCH(LEFT('Payment 1 through 9'!$A90,4),FinalPayment!$F$2:$F$328,0),13)-B90</f>
        <v>911</v>
      </c>
      <c r="G90" s="8"/>
      <c r="H90" s="8"/>
      <c r="I90" s="8"/>
      <c r="J90" s="8"/>
      <c r="K90" s="8"/>
    </row>
    <row r="91" spans="1:11" x14ac:dyDescent="0.55000000000000004">
      <c r="A91" t="s">
        <v>1333</v>
      </c>
      <c r="B91" s="9">
        <f>INDEX(Payment!$A$2:$M$328,MATCH(LEFT(A91,4),Payment!$A$2:$A$328,0),13)</f>
        <v>29494</v>
      </c>
      <c r="D91" s="8"/>
      <c r="E91" s="8"/>
      <c r="F91" s="9">
        <f>INDEX(FinalPayment!$F$2:$R$328,MATCH(LEFT('Payment 1 through 9'!$A91,4),FinalPayment!$F$2:$F$328,0),13)-B91</f>
        <v>7462</v>
      </c>
      <c r="G91" s="8"/>
      <c r="H91" s="8"/>
      <c r="I91" s="8"/>
      <c r="J91" s="8"/>
      <c r="K91" s="8"/>
    </row>
    <row r="92" spans="1:11" x14ac:dyDescent="0.55000000000000004">
      <c r="A92" t="s">
        <v>1120</v>
      </c>
      <c r="B92" s="9">
        <f>INDEX(Payment!$A$2:$M$328,MATCH(LEFT(A92,4),Payment!$A$2:$A$328,0),13)</f>
        <v>7724</v>
      </c>
      <c r="D92" s="8"/>
      <c r="E92" s="8"/>
      <c r="F92" s="9">
        <f>INDEX(FinalPayment!$F$2:$R$328,MATCH(LEFT('Payment 1 through 9'!$A92,4),FinalPayment!$F$2:$F$328,0),13)-B92</f>
        <v>352</v>
      </c>
      <c r="G92" s="8"/>
      <c r="H92" s="8"/>
      <c r="I92" s="8"/>
      <c r="J92" s="8"/>
      <c r="K92" s="8"/>
    </row>
    <row r="93" spans="1:11" x14ac:dyDescent="0.55000000000000004">
      <c r="A93" t="s">
        <v>1121</v>
      </c>
      <c r="B93" s="9">
        <f>INDEX(Payment!$A$2:$M$328,MATCH(LEFT(A93,4),Payment!$A$2:$A$328,0),13)</f>
        <v>13090</v>
      </c>
      <c r="D93" s="8"/>
      <c r="E93" s="8"/>
      <c r="F93" s="9">
        <f>INDEX(FinalPayment!$F$2:$R$328,MATCH(LEFT('Payment 1 through 9'!$A93,4),FinalPayment!$F$2:$F$328,0),13)-B93</f>
        <v>634</v>
      </c>
      <c r="G93" s="8"/>
      <c r="H93" s="8"/>
      <c r="I93" s="8"/>
      <c r="J93" s="8"/>
      <c r="K93" s="8"/>
    </row>
    <row r="94" spans="1:11" x14ac:dyDescent="0.55000000000000004">
      <c r="A94" t="s">
        <v>1122</v>
      </c>
      <c r="B94" s="9">
        <f>INDEX(Payment!$A$2:$M$328,MATCH(LEFT(A94,4),Payment!$A$2:$A$328,0),13)</f>
        <v>4484</v>
      </c>
      <c r="D94" s="8"/>
      <c r="E94" s="8"/>
      <c r="F94" s="9">
        <f>INDEX(FinalPayment!$F$2:$R$328,MATCH(LEFT('Payment 1 through 9'!$A94,4),FinalPayment!$F$2:$F$328,0),13)-B94</f>
        <v>336</v>
      </c>
      <c r="G94" s="8"/>
      <c r="H94" s="8"/>
      <c r="I94" s="8"/>
      <c r="J94" s="8"/>
      <c r="K94" s="8"/>
    </row>
    <row r="95" spans="1:11" x14ac:dyDescent="0.55000000000000004">
      <c r="A95" t="s">
        <v>1123</v>
      </c>
      <c r="B95" s="9">
        <f>INDEX(Payment!$A$2:$M$328,MATCH(LEFT(A95,4),Payment!$A$2:$A$328,0),13)</f>
        <v>17110</v>
      </c>
      <c r="D95" s="8"/>
      <c r="E95" s="8"/>
      <c r="F95" s="9">
        <f>INDEX(FinalPayment!$F$2:$R$328,MATCH(LEFT('Payment 1 through 9'!$A95,4),FinalPayment!$F$2:$F$328,0),13)-B95</f>
        <v>652</v>
      </c>
      <c r="G95" s="8"/>
      <c r="H95" s="8"/>
      <c r="I95" s="8"/>
      <c r="J95" s="8"/>
      <c r="K95" s="8"/>
    </row>
    <row r="96" spans="1:11" x14ac:dyDescent="0.55000000000000004">
      <c r="A96" t="s">
        <v>1254</v>
      </c>
      <c r="B96" s="9">
        <f>INDEX(Payment!$A$2:$M$328,MATCH(LEFT(A96,4),Payment!$A$2:$A$328,0),13)</f>
        <v>12425</v>
      </c>
      <c r="D96" s="8"/>
      <c r="E96" s="8"/>
      <c r="F96" s="9">
        <f>INDEX(FinalPayment!$F$2:$R$328,MATCH(LEFT('Payment 1 through 9'!$A96,4),FinalPayment!$F$2:$F$328,0),13)-B96</f>
        <v>2689</v>
      </c>
      <c r="G96" s="8"/>
      <c r="H96" s="8"/>
      <c r="I96" s="8"/>
      <c r="J96" s="8"/>
      <c r="K96" s="8"/>
    </row>
    <row r="97" spans="1:11" x14ac:dyDescent="0.55000000000000004">
      <c r="A97" t="s">
        <v>1124</v>
      </c>
      <c r="B97" s="9">
        <f>INDEX(Payment!$A$2:$M$328,MATCH(LEFT(A97,4),Payment!$A$2:$A$328,0),13)</f>
        <v>3148</v>
      </c>
      <c r="D97" s="8"/>
      <c r="E97" s="8"/>
      <c r="F97" s="9">
        <f>INDEX(FinalPayment!$F$2:$R$328,MATCH(LEFT('Payment 1 through 9'!$A97,4),FinalPayment!$F$2:$F$328,0),13)-B97</f>
        <v>598</v>
      </c>
      <c r="G97" s="8"/>
      <c r="H97" s="8"/>
      <c r="I97" s="8"/>
      <c r="J97" s="8"/>
      <c r="K97" s="8"/>
    </row>
    <row r="98" spans="1:11" x14ac:dyDescent="0.55000000000000004">
      <c r="A98" t="s">
        <v>1125</v>
      </c>
      <c r="B98" s="9">
        <f>INDEX(Payment!$A$2:$M$328,MATCH(LEFT(A98,4),Payment!$A$2:$A$328,0),13)</f>
        <v>18654</v>
      </c>
      <c r="D98" s="8"/>
      <c r="E98" s="8"/>
      <c r="F98" s="9">
        <f>INDEX(FinalPayment!$F$2:$R$328,MATCH(LEFT('Payment 1 through 9'!$A98,4),FinalPayment!$F$2:$F$328,0),13)-B98</f>
        <v>754</v>
      </c>
      <c r="G98" s="8"/>
      <c r="H98" s="8"/>
      <c r="I98" s="8"/>
      <c r="J98" s="8"/>
      <c r="K98" s="8"/>
    </row>
    <row r="99" spans="1:11" x14ac:dyDescent="0.55000000000000004">
      <c r="A99" t="s">
        <v>1126</v>
      </c>
      <c r="B99" s="9">
        <f>INDEX(Payment!$A$2:$M$328,MATCH(LEFT(A99,4),Payment!$A$2:$A$328,0),13)</f>
        <v>6294</v>
      </c>
      <c r="D99" s="8"/>
      <c r="E99" s="8"/>
      <c r="F99" s="9">
        <f>INDEX(FinalPayment!$F$2:$R$328,MATCH(LEFT('Payment 1 through 9'!$A99,4),FinalPayment!$F$2:$F$328,0),13)-B99</f>
        <v>170</v>
      </c>
      <c r="G99" s="8"/>
      <c r="H99" s="8"/>
      <c r="I99" s="8"/>
      <c r="J99" s="8"/>
      <c r="K99" s="8"/>
    </row>
    <row r="100" spans="1:11" x14ac:dyDescent="0.55000000000000004">
      <c r="A100" t="s">
        <v>1255</v>
      </c>
      <c r="B100" s="9">
        <f>INDEX(Payment!$A$2:$M$328,MATCH(LEFT(A100,4),Payment!$A$2:$A$328,0),13)</f>
        <v>5281</v>
      </c>
      <c r="D100" s="8"/>
      <c r="E100" s="8"/>
      <c r="F100" s="9">
        <f>INDEX(FinalPayment!$F$2:$R$328,MATCH(LEFT('Payment 1 through 9'!$A100,4),FinalPayment!$F$2:$F$328,0),13)-B100</f>
        <v>493</v>
      </c>
      <c r="G100" s="8"/>
      <c r="H100" s="8"/>
      <c r="I100" s="8"/>
      <c r="J100" s="8"/>
      <c r="K100" s="8"/>
    </row>
    <row r="101" spans="1:11" x14ac:dyDescent="0.55000000000000004">
      <c r="A101" t="s">
        <v>1128</v>
      </c>
      <c r="B101" s="9">
        <f>INDEX(Payment!$A$2:$M$328,MATCH(LEFT(A101,4),Payment!$A$2:$A$328,0),13)</f>
        <v>34262</v>
      </c>
      <c r="D101" s="8"/>
      <c r="E101" s="8"/>
      <c r="F101" s="9">
        <f>INDEX(FinalPayment!$F$2:$R$328,MATCH(LEFT('Payment 1 through 9'!$A101,4),FinalPayment!$F$2:$F$328,0),13)-B101</f>
        <v>687</v>
      </c>
      <c r="G101" s="8"/>
      <c r="H101" s="8"/>
      <c r="I101" s="8"/>
      <c r="J101" s="8"/>
      <c r="K101" s="8"/>
    </row>
    <row r="102" spans="1:11" x14ac:dyDescent="0.55000000000000004">
      <c r="A102" t="s">
        <v>1129</v>
      </c>
      <c r="B102" s="9">
        <f>INDEX(Payment!$A$2:$M$328,MATCH(LEFT(A102,4),Payment!$A$2:$A$328,0),13)</f>
        <v>25842</v>
      </c>
      <c r="D102" s="8"/>
      <c r="E102" s="8"/>
      <c r="F102" s="9">
        <f>INDEX(FinalPayment!$F$2:$R$328,MATCH(LEFT('Payment 1 through 9'!$A102,4),FinalPayment!$F$2:$F$328,0),13)-B102</f>
        <v>654</v>
      </c>
      <c r="G102" s="8"/>
      <c r="H102" s="8"/>
      <c r="I102" s="8"/>
      <c r="J102" s="8"/>
      <c r="K102" s="8"/>
    </row>
    <row r="103" spans="1:11" x14ac:dyDescent="0.55000000000000004">
      <c r="A103" t="s">
        <v>1256</v>
      </c>
      <c r="B103" s="9">
        <f>INDEX(Payment!$A$2:$M$328,MATCH(LEFT(A103,4),Payment!$A$2:$A$328,0),13)</f>
        <v>10881</v>
      </c>
      <c r="D103" s="8"/>
      <c r="E103" s="8"/>
      <c r="F103" s="9">
        <f>INDEX(FinalPayment!$F$2:$R$328,MATCH(LEFT('Payment 1 through 9'!$A103,4),FinalPayment!$F$2:$F$328,0),13)-B103</f>
        <v>742</v>
      </c>
      <c r="G103" s="8"/>
      <c r="H103" s="8"/>
      <c r="I103" s="8"/>
      <c r="J103" s="8"/>
      <c r="K103" s="8"/>
    </row>
    <row r="104" spans="1:11" x14ac:dyDescent="0.55000000000000004">
      <c r="A104" t="s">
        <v>1130</v>
      </c>
      <c r="B104" s="9">
        <f>INDEX(Payment!$A$2:$M$328,MATCH(LEFT(A104,4),Payment!$A$2:$A$328,0),13)</f>
        <v>4993</v>
      </c>
      <c r="D104" s="8"/>
      <c r="E104" s="8"/>
      <c r="F104" s="9">
        <f>INDEX(FinalPayment!$F$2:$R$328,MATCH(LEFT('Payment 1 through 9'!$A104,4),FinalPayment!$F$2:$F$328,0),13)-B104</f>
        <v>444</v>
      </c>
      <c r="G104" s="8"/>
      <c r="H104" s="8"/>
      <c r="I104" s="8"/>
      <c r="J104" s="8"/>
      <c r="K104" s="8"/>
    </row>
    <row r="105" spans="1:11" x14ac:dyDescent="0.55000000000000004">
      <c r="A105" t="s">
        <v>1131</v>
      </c>
      <c r="B105" s="9">
        <f>INDEX(Payment!$A$2:$M$328,MATCH(LEFT(A105,4),Payment!$A$2:$A$328,0),13)</f>
        <v>5022</v>
      </c>
      <c r="D105" s="8"/>
      <c r="E105" s="8"/>
      <c r="F105" s="9">
        <f>INDEX(FinalPayment!$F$2:$R$328,MATCH(LEFT('Payment 1 through 9'!$A105,4),FinalPayment!$F$2:$F$328,0),13)-B105</f>
        <v>545</v>
      </c>
      <c r="G105" s="8"/>
      <c r="H105" s="8"/>
      <c r="I105" s="8"/>
      <c r="J105" s="8"/>
      <c r="K105" s="8"/>
    </row>
    <row r="106" spans="1:11" x14ac:dyDescent="0.55000000000000004">
      <c r="A106" t="s">
        <v>1132</v>
      </c>
      <c r="B106" s="9">
        <f>INDEX(Payment!$A$2:$M$328,MATCH(LEFT(A106,4),Payment!$A$2:$A$328,0),13)</f>
        <v>23905</v>
      </c>
      <c r="D106" s="8"/>
      <c r="E106" s="8"/>
      <c r="F106" s="9">
        <f>INDEX(FinalPayment!$F$2:$R$328,MATCH(LEFT('Payment 1 through 9'!$A106,4),FinalPayment!$F$2:$F$328,0),13)-B106</f>
        <v>851</v>
      </c>
      <c r="G106" s="8"/>
      <c r="H106" s="8"/>
      <c r="I106" s="8"/>
      <c r="J106" s="8"/>
      <c r="K106" s="8"/>
    </row>
    <row r="107" spans="1:11" x14ac:dyDescent="0.55000000000000004">
      <c r="A107" t="s">
        <v>1135</v>
      </c>
      <c r="B107" s="9">
        <f>INDEX(Payment!$A$2:$M$328,MATCH(LEFT(A107,4),Payment!$A$2:$A$328,0),13)</f>
        <v>18581</v>
      </c>
      <c r="D107" s="8"/>
      <c r="E107" s="8"/>
      <c r="F107" s="9">
        <f>INDEX(FinalPayment!$F$2:$R$328,MATCH(LEFT('Payment 1 through 9'!$A107,4),FinalPayment!$F$2:$F$328,0),13)-B107</f>
        <v>817</v>
      </c>
      <c r="G107" s="8"/>
      <c r="H107" s="8"/>
      <c r="I107" s="8"/>
      <c r="J107" s="8"/>
      <c r="K107" s="8"/>
    </row>
    <row r="108" spans="1:11" x14ac:dyDescent="0.55000000000000004">
      <c r="A108" t="s">
        <v>1133</v>
      </c>
      <c r="B108" s="9">
        <f>INDEX(Payment!$A$2:$M$328,MATCH(LEFT(A108,4),Payment!$A$2:$A$328,0),13)</f>
        <v>23482</v>
      </c>
      <c r="D108" s="8"/>
      <c r="E108" s="8"/>
      <c r="F108" s="9">
        <f>INDEX(FinalPayment!$F$2:$R$328,MATCH(LEFT('Payment 1 through 9'!$A108,4),FinalPayment!$F$2:$F$328,0),13)-B108</f>
        <v>564</v>
      </c>
      <c r="G108" s="8"/>
      <c r="H108" s="8"/>
      <c r="I108" s="8"/>
      <c r="J108" s="8"/>
      <c r="K108" s="8"/>
    </row>
    <row r="109" spans="1:11" x14ac:dyDescent="0.55000000000000004">
      <c r="A109" t="s">
        <v>1134</v>
      </c>
      <c r="B109" s="9">
        <f>INDEX(Payment!$A$2:$M$328,MATCH(LEFT(A109,4),Payment!$A$2:$A$328,0),13)</f>
        <v>22681</v>
      </c>
      <c r="D109" s="8"/>
      <c r="E109" s="8"/>
      <c r="F109" s="9">
        <f>INDEX(FinalPayment!$F$2:$R$328,MATCH(LEFT('Payment 1 through 9'!$A109,4),FinalPayment!$F$2:$F$328,0),13)-B109</f>
        <v>1335</v>
      </c>
      <c r="G109" s="8"/>
      <c r="H109" s="8"/>
      <c r="I109" s="8"/>
      <c r="J109" s="8"/>
      <c r="K109" s="8"/>
    </row>
    <row r="110" spans="1:11" x14ac:dyDescent="0.55000000000000004">
      <c r="A110" t="s">
        <v>1334</v>
      </c>
      <c r="B110" s="9">
        <f>INDEX(Payment!$A$2:$M$328,MATCH(LEFT(A110,4),Payment!$A$2:$A$328,0),13)</f>
        <v>1546</v>
      </c>
      <c r="D110" s="8"/>
      <c r="E110" s="8"/>
      <c r="F110" s="9">
        <f>INDEX(FinalPayment!$F$2:$R$328,MATCH(LEFT('Payment 1 through 9'!$A110,4),FinalPayment!$F$2:$F$328,0),13)-B110</f>
        <v>860</v>
      </c>
      <c r="G110" s="8"/>
      <c r="H110" s="8"/>
      <c r="I110" s="8"/>
      <c r="J110" s="8"/>
      <c r="K110" s="8"/>
    </row>
    <row r="111" spans="1:11" x14ac:dyDescent="0.55000000000000004">
      <c r="A111" t="s">
        <v>1335</v>
      </c>
      <c r="B111" s="9">
        <f>INDEX(Payment!$A$2:$M$328,MATCH(LEFT(A111,4),Payment!$A$2:$A$328,0),13)</f>
        <v>1485</v>
      </c>
      <c r="D111" s="8"/>
      <c r="E111" s="8"/>
      <c r="F111" s="9">
        <f>INDEX(FinalPayment!$F$2:$R$328,MATCH(LEFT('Payment 1 through 9'!$A111,4),FinalPayment!$F$2:$F$328,0),13)-B111</f>
        <v>1013</v>
      </c>
      <c r="G111" s="8"/>
      <c r="H111" s="8"/>
      <c r="I111" s="8"/>
      <c r="J111" s="8"/>
      <c r="K111" s="8"/>
    </row>
    <row r="112" spans="1:11" x14ac:dyDescent="0.55000000000000004">
      <c r="A112" t="s">
        <v>1136</v>
      </c>
      <c r="B112" s="9">
        <f>INDEX(Payment!$A$2:$M$328,MATCH(LEFT(A112,4),Payment!$A$2:$A$328,0),13)</f>
        <v>2263</v>
      </c>
      <c r="D112" s="8"/>
      <c r="E112" s="8"/>
      <c r="F112" s="9">
        <f>INDEX(FinalPayment!$F$2:$R$328,MATCH(LEFT('Payment 1 through 9'!$A112,4),FinalPayment!$F$2:$F$328,0),13)-B112</f>
        <v>375</v>
      </c>
      <c r="G112" s="8"/>
      <c r="H112" s="8"/>
      <c r="I112" s="8"/>
      <c r="J112" s="8"/>
      <c r="K112" s="8"/>
    </row>
    <row r="113" spans="1:11" x14ac:dyDescent="0.55000000000000004">
      <c r="A113" t="s">
        <v>1137</v>
      </c>
      <c r="B113" s="9">
        <f>INDEX(Payment!$A$2:$M$328,MATCH(LEFT(A113,4),Payment!$A$2:$A$328,0),13)</f>
        <v>3842</v>
      </c>
      <c r="D113" s="8"/>
      <c r="E113" s="8"/>
      <c r="F113" s="9">
        <f>INDEX(FinalPayment!$F$2:$R$328,MATCH(LEFT('Payment 1 through 9'!$A113,4),FinalPayment!$F$2:$F$328,0),13)-B113</f>
        <v>269</v>
      </c>
      <c r="G113" s="8"/>
      <c r="H113" s="8"/>
      <c r="I113" s="8"/>
      <c r="J113" s="8"/>
      <c r="K113" s="8"/>
    </row>
    <row r="114" spans="1:11" x14ac:dyDescent="0.55000000000000004">
      <c r="A114" t="s">
        <v>1138</v>
      </c>
      <c r="B114" s="9">
        <f>INDEX(Payment!$A$2:$M$328,MATCH(LEFT(A114,4),Payment!$A$2:$A$328,0),13)</f>
        <v>3352</v>
      </c>
      <c r="D114" s="8"/>
      <c r="E114" s="8"/>
      <c r="F114" s="9">
        <f>INDEX(FinalPayment!$F$2:$R$328,MATCH(LEFT('Payment 1 through 9'!$A114,4),FinalPayment!$F$2:$F$328,0),13)-B114</f>
        <v>224</v>
      </c>
      <c r="G114" s="8"/>
      <c r="H114" s="8"/>
      <c r="I114" s="8"/>
      <c r="J114" s="8"/>
      <c r="K114" s="8"/>
    </row>
    <row r="115" spans="1:11" x14ac:dyDescent="0.55000000000000004">
      <c r="A115" t="s">
        <v>1139</v>
      </c>
      <c r="B115" s="9">
        <f>INDEX(Payment!$A$2:$M$328,MATCH(LEFT(A115,4),Payment!$A$2:$A$328,0),13)</f>
        <v>14646</v>
      </c>
      <c r="D115" s="8"/>
      <c r="E115" s="8"/>
      <c r="F115" s="9">
        <f>INDEX(FinalPayment!$F$2:$R$328,MATCH(LEFT('Payment 1 through 9'!$A115,4),FinalPayment!$F$2:$F$328,0),13)-B115</f>
        <v>641</v>
      </c>
      <c r="G115" s="8"/>
      <c r="H115" s="8"/>
      <c r="I115" s="8"/>
      <c r="J115" s="8"/>
      <c r="K115" s="8"/>
    </row>
    <row r="116" spans="1:11" x14ac:dyDescent="0.55000000000000004">
      <c r="A116" t="s">
        <v>1257</v>
      </c>
      <c r="B116" s="9">
        <f>INDEX(Payment!$A$2:$M$328,MATCH(LEFT(A116,4),Payment!$A$2:$A$328,0),13)</f>
        <v>4458</v>
      </c>
      <c r="D116" s="8"/>
      <c r="E116" s="8"/>
      <c r="F116" s="9">
        <f>INDEX(FinalPayment!$F$2:$R$328,MATCH(LEFT('Payment 1 through 9'!$A116,4),FinalPayment!$F$2:$F$328,0),13)-B116</f>
        <v>251</v>
      </c>
      <c r="G116" s="8"/>
      <c r="H116" s="8"/>
      <c r="I116" s="8"/>
      <c r="J116" s="8"/>
      <c r="K116" s="8"/>
    </row>
    <row r="117" spans="1:11" x14ac:dyDescent="0.55000000000000004">
      <c r="A117" t="s">
        <v>1258</v>
      </c>
      <c r="B117" s="9">
        <f>INDEX(Payment!$A$2:$M$328,MATCH(LEFT(A117,4),Payment!$A$2:$A$328,0),13)</f>
        <v>6959</v>
      </c>
      <c r="D117" s="8"/>
      <c r="E117" s="8"/>
      <c r="F117" s="9">
        <f>INDEX(FinalPayment!$F$2:$R$328,MATCH(LEFT('Payment 1 through 9'!$A117,4),FinalPayment!$F$2:$F$328,0),13)-B117</f>
        <v>632</v>
      </c>
      <c r="G117" s="8"/>
      <c r="H117" s="8"/>
      <c r="I117" s="8"/>
      <c r="J117" s="8"/>
      <c r="K117" s="8"/>
    </row>
    <row r="118" spans="1:11" x14ac:dyDescent="0.55000000000000004">
      <c r="A118" t="s">
        <v>1259</v>
      </c>
      <c r="B118" s="9">
        <f>INDEX(Payment!$A$2:$M$328,MATCH(LEFT(A118,4),Payment!$A$2:$A$328,0),13)</f>
        <v>8606</v>
      </c>
      <c r="D118" s="8"/>
      <c r="E118" s="8"/>
      <c r="F118" s="9">
        <f>INDEX(FinalPayment!$F$2:$R$328,MATCH(LEFT('Payment 1 through 9'!$A118,4),FinalPayment!$F$2:$F$328,0),13)-B118</f>
        <v>998</v>
      </c>
      <c r="G118" s="8"/>
      <c r="H118" s="8"/>
      <c r="I118" s="8"/>
      <c r="J118" s="8"/>
      <c r="K118" s="8"/>
    </row>
    <row r="119" spans="1:11" x14ac:dyDescent="0.55000000000000004">
      <c r="A119" t="s">
        <v>1140</v>
      </c>
      <c r="B119" s="9">
        <f>INDEX(Payment!$A$2:$M$328,MATCH(LEFT(A119,4),Payment!$A$2:$A$328,0),13)</f>
        <v>6263</v>
      </c>
      <c r="D119" s="8"/>
      <c r="E119" s="8"/>
      <c r="F119" s="9">
        <f>INDEX(FinalPayment!$F$2:$R$328,MATCH(LEFT('Payment 1 through 9'!$A119,4),FinalPayment!$F$2:$F$328,0),13)-B119</f>
        <v>463</v>
      </c>
      <c r="G119" s="8"/>
      <c r="H119" s="8"/>
      <c r="I119" s="8"/>
      <c r="J119" s="8"/>
      <c r="K119" s="8"/>
    </row>
    <row r="120" spans="1:11" x14ac:dyDescent="0.55000000000000004">
      <c r="A120" t="s">
        <v>1107</v>
      </c>
      <c r="B120" s="9">
        <f>INDEX(Payment!$A$2:$M$328,MATCH(LEFT(A120,4),Payment!$A$2:$A$328,0),13)</f>
        <v>37352</v>
      </c>
      <c r="D120" s="8"/>
      <c r="E120" s="8"/>
      <c r="F120" s="9">
        <f>INDEX(FinalPayment!$F$2:$R$328,MATCH(LEFT('Payment 1 through 9'!$A120,4),FinalPayment!$F$2:$F$328,0),13)-B120</f>
        <v>684</v>
      </c>
      <c r="G120" s="8"/>
      <c r="H120" s="8"/>
      <c r="I120" s="8"/>
      <c r="J120" s="8"/>
      <c r="K120" s="8"/>
    </row>
    <row r="121" spans="1:11" x14ac:dyDescent="0.55000000000000004">
      <c r="A121" t="s">
        <v>1260</v>
      </c>
      <c r="B121" s="9">
        <f>INDEX(Payment!$A$2:$M$328,MATCH(LEFT(A121,4),Payment!$A$2:$A$328,0),13)</f>
        <v>27141</v>
      </c>
      <c r="D121" s="8"/>
      <c r="E121" s="8"/>
      <c r="F121" s="9">
        <f>INDEX(FinalPayment!$F$2:$R$328,MATCH(LEFT('Payment 1 through 9'!$A121,4),FinalPayment!$F$2:$F$328,0),13)-B121</f>
        <v>610</v>
      </c>
      <c r="G121" s="8"/>
      <c r="H121" s="8"/>
      <c r="I121" s="8"/>
      <c r="J121" s="8"/>
      <c r="K121" s="8"/>
    </row>
    <row r="122" spans="1:11" x14ac:dyDescent="0.55000000000000004">
      <c r="A122" t="s">
        <v>1336</v>
      </c>
      <c r="B122" s="9">
        <f>INDEX(Payment!$A$2:$M$328,MATCH(LEFT(A122,4),Payment!$A$2:$A$328,0),13)</f>
        <v>4528</v>
      </c>
      <c r="D122" s="8"/>
      <c r="E122" s="8"/>
      <c r="F122" s="9">
        <f>INDEX(FinalPayment!$F$2:$R$328,MATCH(LEFT('Payment 1 through 9'!$A122,4),FinalPayment!$F$2:$F$328,0),13)-B122</f>
        <v>823</v>
      </c>
      <c r="G122" s="8"/>
      <c r="H122" s="8"/>
      <c r="I122" s="8"/>
      <c r="J122" s="8"/>
      <c r="K122" s="8"/>
    </row>
    <row r="123" spans="1:11" x14ac:dyDescent="0.55000000000000004">
      <c r="A123" t="s">
        <v>1143</v>
      </c>
      <c r="B123" s="9">
        <f>INDEX(Payment!$A$2:$M$328,MATCH(LEFT(A123,4),Payment!$A$2:$A$328,0),13)</f>
        <v>17701</v>
      </c>
      <c r="D123" s="8"/>
      <c r="E123" s="8"/>
      <c r="F123" s="9">
        <f>INDEX(FinalPayment!$F$2:$R$328,MATCH(LEFT('Payment 1 through 9'!$A123,4),FinalPayment!$F$2:$F$328,0),13)-B123</f>
        <v>1197</v>
      </c>
      <c r="G123" s="8"/>
      <c r="H123" s="8"/>
      <c r="I123" s="8"/>
      <c r="J123" s="8"/>
      <c r="K123" s="8"/>
    </row>
    <row r="124" spans="1:11" x14ac:dyDescent="0.55000000000000004">
      <c r="A124" t="s">
        <v>1261</v>
      </c>
      <c r="B124" s="9">
        <f>INDEX(Payment!$A$2:$M$328,MATCH(LEFT(A124,4),Payment!$A$2:$A$328,0),13)</f>
        <v>789</v>
      </c>
      <c r="D124" s="8"/>
      <c r="E124" s="8"/>
      <c r="F124" s="9">
        <f>INDEX(FinalPayment!$F$2:$R$328,MATCH(LEFT('Payment 1 through 9'!$A124,4),FinalPayment!$F$2:$F$328,0),13)-B124</f>
        <v>481</v>
      </c>
      <c r="G124" s="8"/>
      <c r="H124" s="8"/>
      <c r="I124" s="8"/>
      <c r="J124" s="8"/>
      <c r="K124" s="8"/>
    </row>
    <row r="125" spans="1:11" x14ac:dyDescent="0.55000000000000004">
      <c r="A125" t="s">
        <v>1145</v>
      </c>
      <c r="B125" s="9">
        <f>INDEX(Payment!$A$2:$M$328,MATCH(LEFT(A125,4),Payment!$A$2:$A$328,0),13)</f>
        <v>9705</v>
      </c>
      <c r="D125" s="8"/>
      <c r="E125" s="8"/>
      <c r="F125" s="9">
        <f>INDEX(FinalPayment!$F$2:$R$328,MATCH(LEFT('Payment 1 through 9'!$A125,4),FinalPayment!$F$2:$F$328,0),13)-B125</f>
        <v>287</v>
      </c>
      <c r="G125" s="8"/>
      <c r="H125" s="8"/>
      <c r="I125" s="8"/>
      <c r="J125" s="8"/>
      <c r="K125" s="8"/>
    </row>
    <row r="126" spans="1:11" x14ac:dyDescent="0.55000000000000004">
      <c r="A126" t="s">
        <v>1262</v>
      </c>
      <c r="B126" s="9">
        <f>INDEX(Payment!$A$2:$M$328,MATCH(LEFT(A126,4),Payment!$A$2:$A$328,0),13)</f>
        <v>7426</v>
      </c>
      <c r="D126" s="8"/>
      <c r="E126" s="8"/>
      <c r="F126" s="9">
        <f>INDEX(FinalPayment!$F$2:$R$328,MATCH(LEFT('Payment 1 through 9'!$A126,4),FinalPayment!$F$2:$F$328,0),13)-B126</f>
        <v>656</v>
      </c>
      <c r="G126" s="8"/>
      <c r="H126" s="8"/>
      <c r="I126" s="8"/>
      <c r="J126" s="8"/>
      <c r="K126" s="8"/>
    </row>
    <row r="127" spans="1:11" x14ac:dyDescent="0.55000000000000004">
      <c r="A127" t="s">
        <v>1144</v>
      </c>
      <c r="B127" s="9">
        <f>INDEX(Payment!$A$2:$M$328,MATCH(LEFT(A127,4),Payment!$A$2:$A$328,0),13)</f>
        <v>2750</v>
      </c>
      <c r="D127" s="8"/>
      <c r="E127" s="8"/>
      <c r="F127" s="9">
        <f>INDEX(FinalPayment!$F$2:$R$328,MATCH(LEFT('Payment 1 through 9'!$A127,4),FinalPayment!$F$2:$F$328,0),13)-B127</f>
        <v>478</v>
      </c>
      <c r="G127" s="8"/>
      <c r="H127" s="8"/>
      <c r="I127" s="8"/>
      <c r="J127" s="8"/>
      <c r="K127" s="8"/>
    </row>
    <row r="128" spans="1:11" x14ac:dyDescent="0.55000000000000004">
      <c r="A128" t="s">
        <v>1263</v>
      </c>
      <c r="B128" s="9">
        <f>INDEX(Payment!$A$2:$M$328,MATCH(LEFT(A128,4),Payment!$A$2:$A$328,0),13)</f>
        <v>11876</v>
      </c>
      <c r="D128" s="8"/>
      <c r="E128" s="8"/>
      <c r="F128" s="9">
        <f>INDEX(FinalPayment!$F$2:$R$328,MATCH(LEFT('Payment 1 through 9'!$A128,4),FinalPayment!$F$2:$F$328,0),13)-B128</f>
        <v>1828</v>
      </c>
      <c r="G128" s="8"/>
      <c r="H128" s="8"/>
      <c r="I128" s="8"/>
      <c r="J128" s="8"/>
      <c r="K128" s="8"/>
    </row>
    <row r="129" spans="1:11" x14ac:dyDescent="0.55000000000000004">
      <c r="A129" t="s">
        <v>1146</v>
      </c>
      <c r="B129" s="9">
        <f>INDEX(Payment!$A$2:$M$328,MATCH(LEFT(A129,4),Payment!$A$2:$A$328,0),13)</f>
        <v>7956</v>
      </c>
      <c r="D129" s="8"/>
      <c r="E129" s="8"/>
      <c r="F129" s="9">
        <f>INDEX(FinalPayment!$F$2:$R$328,MATCH(LEFT('Payment 1 through 9'!$A129,4),FinalPayment!$F$2:$F$328,0),13)-B129</f>
        <v>472</v>
      </c>
      <c r="G129" s="8"/>
      <c r="H129" s="8"/>
      <c r="I129" s="8"/>
      <c r="J129" s="8"/>
      <c r="K129" s="8"/>
    </row>
    <row r="130" spans="1:11" x14ac:dyDescent="0.55000000000000004">
      <c r="A130" t="s">
        <v>1066</v>
      </c>
      <c r="B130" s="9">
        <f>INDEX(Payment!$A$2:$M$328,MATCH(LEFT(A130,4),Payment!$A$2:$A$328,0),13)</f>
        <v>12410</v>
      </c>
      <c r="D130" s="8"/>
      <c r="E130" s="8"/>
      <c r="F130" s="9">
        <f>INDEX(FinalPayment!$F$2:$R$328,MATCH(LEFT('Payment 1 through 9'!$A130,4),FinalPayment!$F$2:$F$328,0),13)-B130</f>
        <v>436</v>
      </c>
      <c r="G130" s="8"/>
      <c r="H130" s="8"/>
      <c r="I130" s="8"/>
      <c r="J130" s="8"/>
      <c r="K130" s="8"/>
    </row>
    <row r="131" spans="1:11" x14ac:dyDescent="0.55000000000000004">
      <c r="A131" t="s">
        <v>1142</v>
      </c>
      <c r="B131" s="9">
        <f>INDEX(Payment!$A$2:$M$328,MATCH(LEFT(A131,4),Payment!$A$2:$A$328,0),13)</f>
        <v>14406</v>
      </c>
      <c r="D131" s="8"/>
      <c r="E131" s="8"/>
      <c r="F131" s="9">
        <f>INDEX(FinalPayment!$F$2:$R$328,MATCH(LEFT('Payment 1 through 9'!$A131,4),FinalPayment!$F$2:$F$328,0),13)-B131</f>
        <v>554</v>
      </c>
      <c r="G131" s="8"/>
      <c r="H131" s="8"/>
      <c r="I131" s="8"/>
      <c r="J131" s="8"/>
      <c r="K131" s="8"/>
    </row>
    <row r="132" spans="1:11" x14ac:dyDescent="0.55000000000000004">
      <c r="A132" t="s">
        <v>1147</v>
      </c>
      <c r="B132" s="9">
        <f>INDEX(Payment!$A$2:$M$328,MATCH(LEFT(A132,4),Payment!$A$2:$A$328,0),13)</f>
        <v>4521</v>
      </c>
      <c r="D132" s="8"/>
      <c r="E132" s="8"/>
      <c r="F132" s="9">
        <f>INDEX(FinalPayment!$F$2:$R$328,MATCH(LEFT('Payment 1 through 9'!$A132,4),FinalPayment!$F$2:$F$328,0),13)-B132</f>
        <v>544</v>
      </c>
      <c r="G132" s="8"/>
      <c r="H132" s="8"/>
      <c r="I132" s="8"/>
      <c r="J132" s="8"/>
      <c r="K132" s="8"/>
    </row>
    <row r="133" spans="1:11" x14ac:dyDescent="0.55000000000000004">
      <c r="A133" t="s">
        <v>1148</v>
      </c>
      <c r="B133" s="9">
        <f>INDEX(Payment!$A$2:$M$328,MATCH(LEFT(A133,4),Payment!$A$2:$A$328,0),13)</f>
        <v>7299</v>
      </c>
      <c r="D133" s="8"/>
      <c r="E133" s="8"/>
      <c r="F133" s="9">
        <f>INDEX(FinalPayment!$F$2:$R$328,MATCH(LEFT('Payment 1 through 9'!$A133,4),FinalPayment!$F$2:$F$328,0),13)-B133</f>
        <v>1052</v>
      </c>
      <c r="G133" s="8"/>
      <c r="H133" s="8"/>
      <c r="I133" s="8"/>
      <c r="J133" s="8"/>
      <c r="K133" s="8"/>
    </row>
    <row r="134" spans="1:11" x14ac:dyDescent="0.55000000000000004">
      <c r="A134" t="s">
        <v>1264</v>
      </c>
      <c r="B134" s="9">
        <f>INDEX(Payment!$A$2:$M$328,MATCH(LEFT(A134,4),Payment!$A$2:$A$328,0),13)</f>
        <v>602</v>
      </c>
      <c r="D134" s="8"/>
      <c r="E134" s="8"/>
      <c r="F134" s="9">
        <f>INDEX(FinalPayment!$F$2:$R$328,MATCH(LEFT('Payment 1 through 9'!$A134,4),FinalPayment!$F$2:$F$328,0),13)-B134</f>
        <v>642</v>
      </c>
      <c r="G134" s="8"/>
      <c r="H134" s="8"/>
      <c r="I134" s="8"/>
      <c r="J134" s="8"/>
      <c r="K134" s="8"/>
    </row>
    <row r="135" spans="1:11" x14ac:dyDescent="0.55000000000000004">
      <c r="A135" t="s">
        <v>1149</v>
      </c>
      <c r="B135" s="9">
        <f>INDEX(Payment!$A$2:$M$328,MATCH(LEFT(A135,4),Payment!$A$2:$A$328,0),13)</f>
        <v>7206</v>
      </c>
      <c r="D135" s="8"/>
      <c r="E135" s="8"/>
      <c r="F135" s="9">
        <f>INDEX(FinalPayment!$F$2:$R$328,MATCH(LEFT('Payment 1 through 9'!$A135,4),FinalPayment!$F$2:$F$328,0),13)-B135</f>
        <v>218</v>
      </c>
      <c r="G135" s="8"/>
      <c r="H135" s="8"/>
      <c r="I135" s="8"/>
      <c r="J135" s="8"/>
      <c r="K135" s="8"/>
    </row>
    <row r="136" spans="1:11" x14ac:dyDescent="0.55000000000000004">
      <c r="A136" t="s">
        <v>1337</v>
      </c>
      <c r="B136" s="9">
        <f>INDEX(Payment!$A$2:$M$328,MATCH(LEFT(A136,4),Payment!$A$2:$A$328,0),13)</f>
        <v>3028</v>
      </c>
      <c r="D136" s="8"/>
      <c r="E136" s="8"/>
      <c r="F136" s="9">
        <f>INDEX(FinalPayment!$F$2:$R$328,MATCH(LEFT('Payment 1 through 9'!$A136,4),FinalPayment!$F$2:$F$328,0),13)-B136</f>
        <v>205</v>
      </c>
      <c r="G136" s="8"/>
      <c r="H136" s="8"/>
      <c r="I136" s="8"/>
      <c r="J136" s="8"/>
      <c r="K136" s="8"/>
    </row>
    <row r="137" spans="1:11" x14ac:dyDescent="0.55000000000000004">
      <c r="A137" t="s">
        <v>1265</v>
      </c>
      <c r="B137" s="9">
        <f>INDEX(Payment!$A$2:$M$328,MATCH(LEFT(A137,4),Payment!$A$2:$A$328,0),13)</f>
        <v>17285</v>
      </c>
      <c r="D137" s="8"/>
      <c r="E137" s="8"/>
      <c r="F137" s="9">
        <f>INDEX(FinalPayment!$F$2:$R$328,MATCH(LEFT('Payment 1 through 9'!$A137,4),FinalPayment!$F$2:$F$328,0),13)-B137</f>
        <v>974</v>
      </c>
      <c r="G137" s="8"/>
      <c r="H137" s="8"/>
      <c r="I137" s="8"/>
      <c r="J137" s="8"/>
      <c r="K137" s="8"/>
    </row>
    <row r="138" spans="1:11" x14ac:dyDescent="0.55000000000000004">
      <c r="A138" t="s">
        <v>1338</v>
      </c>
      <c r="B138" s="9">
        <f>INDEX(Payment!$A$2:$M$328,MATCH(LEFT(A138,4),Payment!$A$2:$A$328,0),13)</f>
        <v>3371</v>
      </c>
      <c r="D138" s="8"/>
      <c r="E138" s="8"/>
      <c r="F138" s="9">
        <f>INDEX(FinalPayment!$F$2:$R$328,MATCH(LEFT('Payment 1 through 9'!$A138,4),FinalPayment!$F$2:$F$328,0),13)-B138</f>
        <v>2464</v>
      </c>
      <c r="G138" s="8"/>
      <c r="H138" s="8"/>
      <c r="I138" s="8"/>
      <c r="J138" s="8"/>
      <c r="K138" s="8"/>
    </row>
    <row r="139" spans="1:11" x14ac:dyDescent="0.55000000000000004">
      <c r="A139" t="s">
        <v>1150</v>
      </c>
      <c r="B139" s="9">
        <f>INDEX(Payment!$A$2:$M$328,MATCH(LEFT(A139,4),Payment!$A$2:$A$328,0),13)</f>
        <v>10433</v>
      </c>
      <c r="F139" s="9">
        <f>INDEX(FinalPayment!$F$2:$R$328,MATCH(LEFT('Payment 1 through 9'!$A139,4),FinalPayment!$F$2:$F$328,0),13)-B139</f>
        <v>733</v>
      </c>
    </row>
    <row r="140" spans="1:11" x14ac:dyDescent="0.55000000000000004">
      <c r="A140" t="s">
        <v>1151</v>
      </c>
      <c r="B140" s="9">
        <f>INDEX(Payment!$A$2:$M$328,MATCH(LEFT(A140,4),Payment!$A$2:$A$328,0),13)</f>
        <v>8998</v>
      </c>
      <c r="F140" s="9">
        <f>INDEX(FinalPayment!$F$2:$R$328,MATCH(LEFT('Payment 1 through 9'!$A140,4),FinalPayment!$F$2:$F$328,0),13)-B140</f>
        <v>224</v>
      </c>
    </row>
    <row r="141" spans="1:11" x14ac:dyDescent="0.55000000000000004">
      <c r="A141" t="s">
        <v>1339</v>
      </c>
      <c r="B141" s="9">
        <f>INDEX(Payment!$A$2:$M$328,MATCH(LEFT(A141,4),Payment!$A$2:$A$328,0),13)</f>
        <v>3056</v>
      </c>
      <c r="F141" s="9">
        <f>INDEX(FinalPayment!$F$2:$R$328,MATCH(LEFT('Payment 1 through 9'!$A141,4),FinalPayment!$F$2:$F$328,0),13)-B141</f>
        <v>1135</v>
      </c>
    </row>
    <row r="142" spans="1:11" x14ac:dyDescent="0.55000000000000004">
      <c r="A142" t="s">
        <v>1152</v>
      </c>
      <c r="B142" s="9">
        <f>INDEX(Payment!$A$2:$M$328,MATCH(LEFT(A142,4),Payment!$A$2:$A$328,0),13)</f>
        <v>24566</v>
      </c>
      <c r="F142" s="9">
        <f>INDEX(FinalPayment!$F$2:$R$328,MATCH(LEFT('Payment 1 through 9'!$A142,4),FinalPayment!$F$2:$F$328,0),13)-B142</f>
        <v>634</v>
      </c>
    </row>
    <row r="143" spans="1:11" x14ac:dyDescent="0.55000000000000004">
      <c r="A143" t="s">
        <v>1266</v>
      </c>
      <c r="B143" s="9">
        <f>INDEX(Payment!$A$2:$M$328,MATCH(LEFT(A143,4),Payment!$A$2:$A$328,0),13)</f>
        <v>19891</v>
      </c>
      <c r="F143" s="9">
        <f>INDEX(FinalPayment!$F$2:$R$328,MATCH(LEFT('Payment 1 through 9'!$A143,4),FinalPayment!$F$2:$F$328,0),13)-B143</f>
        <v>705</v>
      </c>
    </row>
    <row r="144" spans="1:11" x14ac:dyDescent="0.55000000000000004">
      <c r="A144" t="s">
        <v>1153</v>
      </c>
      <c r="B144" s="9">
        <f>INDEX(Payment!$A$2:$M$328,MATCH(LEFT(A144,4),Payment!$A$2:$A$328,0),13)</f>
        <v>23738</v>
      </c>
      <c r="F144" s="9">
        <f>INDEX(FinalPayment!$F$2:$R$328,MATCH(LEFT('Payment 1 through 9'!$A144,4),FinalPayment!$F$2:$F$328,0),13)-B144</f>
        <v>606</v>
      </c>
    </row>
    <row r="145" spans="1:6" x14ac:dyDescent="0.55000000000000004">
      <c r="A145" t="s">
        <v>1340</v>
      </c>
      <c r="B145" s="9">
        <f>INDEX(Payment!$A$2:$M$328,MATCH(LEFT(A145,4),Payment!$A$2:$A$328,0),13)</f>
        <v>2680</v>
      </c>
      <c r="F145" s="9">
        <f>INDEX(FinalPayment!$F$2:$R$328,MATCH(LEFT('Payment 1 through 9'!$A145,4),FinalPayment!$F$2:$F$328,0),13)-B145</f>
        <v>335</v>
      </c>
    </row>
    <row r="146" spans="1:6" x14ac:dyDescent="0.55000000000000004">
      <c r="A146" t="s">
        <v>1267</v>
      </c>
      <c r="B146" s="9">
        <f>INDEX(Payment!$A$2:$M$328,MATCH(LEFT(A146,4),Payment!$A$2:$A$328,0),13)</f>
        <v>4593</v>
      </c>
      <c r="F146" s="9">
        <f>INDEX(FinalPayment!$F$2:$R$328,MATCH(LEFT('Payment 1 through 9'!$A146,4),FinalPayment!$F$2:$F$328,0),13)-B146</f>
        <v>331</v>
      </c>
    </row>
    <row r="147" spans="1:6" x14ac:dyDescent="0.55000000000000004">
      <c r="A147" t="s">
        <v>1096</v>
      </c>
      <c r="B147" s="9">
        <f>INDEX(Payment!$A$2:$M$328,MATCH(LEFT(A147,4),Payment!$A$2:$A$328,0),13)</f>
        <v>10567</v>
      </c>
      <c r="F147" s="9">
        <f>INDEX(FinalPayment!$F$2:$R$328,MATCH(LEFT('Payment 1 through 9'!$A147,4),FinalPayment!$F$2:$F$328,0),13)-B147</f>
        <v>431</v>
      </c>
    </row>
    <row r="148" spans="1:6" x14ac:dyDescent="0.55000000000000004">
      <c r="A148" t="s">
        <v>1154</v>
      </c>
      <c r="B148" s="9">
        <f>INDEX(Payment!$A$2:$M$328,MATCH(LEFT(A148,4),Payment!$A$2:$A$328,0),13)</f>
        <v>8930</v>
      </c>
      <c r="F148" s="9">
        <f>INDEX(FinalPayment!$F$2:$R$328,MATCH(LEFT('Payment 1 through 9'!$A148,4),FinalPayment!$F$2:$F$328,0),13)-B148</f>
        <v>741</v>
      </c>
    </row>
    <row r="149" spans="1:6" x14ac:dyDescent="0.55000000000000004">
      <c r="A149" t="s">
        <v>1155</v>
      </c>
      <c r="B149" s="9">
        <f>INDEX(Payment!$A$2:$M$328,MATCH(LEFT(A149,4),Payment!$A$2:$A$328,0),13)</f>
        <v>7231</v>
      </c>
      <c r="F149" s="9">
        <f>INDEX(FinalPayment!$F$2:$R$328,MATCH(LEFT('Payment 1 through 9'!$A149,4),FinalPayment!$F$2:$F$328,0),13)-B149</f>
        <v>439</v>
      </c>
    </row>
    <row r="150" spans="1:6" x14ac:dyDescent="0.55000000000000004">
      <c r="A150" t="s">
        <v>1156</v>
      </c>
      <c r="B150" s="9">
        <f>INDEX(Payment!$A$2:$M$328,MATCH(LEFT(A150,4),Payment!$A$2:$A$328,0),13)</f>
        <v>10658</v>
      </c>
      <c r="F150" s="9">
        <f>INDEX(FinalPayment!$F$2:$R$328,MATCH(LEFT('Payment 1 through 9'!$A150,4),FinalPayment!$F$2:$F$328,0),13)-B150</f>
        <v>227</v>
      </c>
    </row>
    <row r="151" spans="1:6" x14ac:dyDescent="0.55000000000000004">
      <c r="A151" t="s">
        <v>1158</v>
      </c>
      <c r="B151" s="9">
        <f>INDEX(Payment!$A$2:$M$328,MATCH(LEFT(A151,4),Payment!$A$2:$A$328,0),13)</f>
        <v>4512</v>
      </c>
      <c r="F151" s="9">
        <f>INDEX(FinalPayment!$F$2:$R$328,MATCH(LEFT('Payment 1 through 9'!$A151,4),FinalPayment!$F$2:$F$328,0),13)-B151</f>
        <v>1191</v>
      </c>
    </row>
    <row r="152" spans="1:6" x14ac:dyDescent="0.55000000000000004">
      <c r="A152" t="s">
        <v>1159</v>
      </c>
      <c r="B152" s="9">
        <f>INDEX(Payment!$A$2:$M$328,MATCH(LEFT(A152,4),Payment!$A$2:$A$328,0),13)</f>
        <v>7634</v>
      </c>
      <c r="F152" s="9">
        <f>INDEX(FinalPayment!$F$2:$R$328,MATCH(LEFT('Payment 1 through 9'!$A152,4),FinalPayment!$F$2:$F$328,0),13)-B152</f>
        <v>391</v>
      </c>
    </row>
    <row r="153" spans="1:6" x14ac:dyDescent="0.55000000000000004">
      <c r="A153" t="s">
        <v>1160</v>
      </c>
      <c r="B153" s="9">
        <f>INDEX(Payment!$A$2:$M$328,MATCH(LEFT(A153,4),Payment!$A$2:$A$328,0),13)</f>
        <v>11147</v>
      </c>
      <c r="F153" s="9">
        <f>INDEX(FinalPayment!$F$2:$R$328,MATCH(LEFT('Payment 1 through 9'!$A153,4),FinalPayment!$F$2:$F$328,0),13)-B153</f>
        <v>277</v>
      </c>
    </row>
    <row r="154" spans="1:6" x14ac:dyDescent="0.55000000000000004">
      <c r="A154" t="s">
        <v>1161</v>
      </c>
      <c r="B154" s="9">
        <f>INDEX(Payment!$A$2:$M$328,MATCH(LEFT(A154,4),Payment!$A$2:$A$328,0),13)</f>
        <v>1908</v>
      </c>
      <c r="F154" s="9">
        <f>INDEX(FinalPayment!$F$2:$R$328,MATCH(LEFT('Payment 1 through 9'!$A154,4),FinalPayment!$F$2:$F$328,0),13)-B154</f>
        <v>289</v>
      </c>
    </row>
    <row r="155" spans="1:6" x14ac:dyDescent="0.55000000000000004">
      <c r="A155" t="s">
        <v>1268</v>
      </c>
      <c r="B155" s="9">
        <f>INDEX(Payment!$A$2:$M$328,MATCH(LEFT(A155,4),Payment!$A$2:$A$328,0),13)</f>
        <v>369</v>
      </c>
      <c r="F155" s="9">
        <f>INDEX(FinalPayment!$F$2:$R$328,MATCH(LEFT('Payment 1 through 9'!$A155,4),FinalPayment!$F$2:$F$328,0),13)-B155</f>
        <v>1111</v>
      </c>
    </row>
    <row r="156" spans="1:6" x14ac:dyDescent="0.55000000000000004">
      <c r="A156" t="s">
        <v>1269</v>
      </c>
      <c r="B156" s="9">
        <f>INDEX(Payment!$A$2:$M$328,MATCH(LEFT(A156,4),Payment!$A$2:$A$328,0),13)</f>
        <v>8936</v>
      </c>
      <c r="F156" s="9">
        <f>INDEX(FinalPayment!$F$2:$R$328,MATCH(LEFT('Payment 1 through 9'!$A156,4),FinalPayment!$F$2:$F$328,0),13)-B156</f>
        <v>792</v>
      </c>
    </row>
    <row r="157" spans="1:6" x14ac:dyDescent="0.55000000000000004">
      <c r="A157" t="s">
        <v>1163</v>
      </c>
      <c r="B157" s="9">
        <f>INDEX(Payment!$A$2:$M$328,MATCH(LEFT(A157,4),Payment!$A$2:$A$328,0),13)</f>
        <v>13341</v>
      </c>
      <c r="F157" s="9">
        <f>INDEX(FinalPayment!$F$2:$R$328,MATCH(LEFT('Payment 1 through 9'!$A157,4),FinalPayment!$F$2:$F$328,0),13)-B157</f>
        <v>390</v>
      </c>
    </row>
    <row r="158" spans="1:6" x14ac:dyDescent="0.55000000000000004">
      <c r="A158" t="s">
        <v>1164</v>
      </c>
      <c r="B158" s="9">
        <f>INDEX(Payment!$A$2:$M$328,MATCH(LEFT(A158,4),Payment!$A$2:$A$328,0),13)</f>
        <v>11090</v>
      </c>
      <c r="F158" s="9">
        <f>INDEX(FinalPayment!$F$2:$R$328,MATCH(LEFT('Payment 1 through 9'!$A158,4),FinalPayment!$F$2:$F$328,0),13)-B158</f>
        <v>512</v>
      </c>
    </row>
    <row r="159" spans="1:6" x14ac:dyDescent="0.55000000000000004">
      <c r="A159" t="s">
        <v>1165</v>
      </c>
      <c r="B159" s="9">
        <f>INDEX(Payment!$A$2:$M$328,MATCH(LEFT(A159,4),Payment!$A$2:$A$328,0),13)</f>
        <v>18649</v>
      </c>
      <c r="F159" s="9">
        <f>INDEX(FinalPayment!$F$2:$R$328,MATCH(LEFT('Payment 1 through 9'!$A159,4),FinalPayment!$F$2:$F$328,0),13)-B159</f>
        <v>1010</v>
      </c>
    </row>
    <row r="160" spans="1:6" x14ac:dyDescent="0.55000000000000004">
      <c r="A160" t="s">
        <v>1167</v>
      </c>
      <c r="B160" s="9">
        <f>INDEX(Payment!$A$2:$M$328,MATCH(LEFT(A160,4),Payment!$A$2:$A$328,0),13)</f>
        <v>14173</v>
      </c>
      <c r="F160" s="9">
        <f>INDEX(FinalPayment!$F$2:$R$328,MATCH(LEFT('Payment 1 through 9'!$A160,4),FinalPayment!$F$2:$F$328,0),13)-B160</f>
        <v>672</v>
      </c>
    </row>
    <row r="161" spans="1:6" x14ac:dyDescent="0.55000000000000004">
      <c r="A161" t="s">
        <v>1270</v>
      </c>
      <c r="B161" s="9">
        <f>INDEX(Payment!$A$2:$M$328,MATCH(LEFT(A161,4),Payment!$A$2:$A$328,0),13)</f>
        <v>5585</v>
      </c>
      <c r="F161" s="9">
        <f>INDEX(FinalPayment!$F$2:$R$328,MATCH(LEFT('Payment 1 through 9'!$A161,4),FinalPayment!$F$2:$F$328,0),13)-B161</f>
        <v>648</v>
      </c>
    </row>
    <row r="162" spans="1:6" x14ac:dyDescent="0.55000000000000004">
      <c r="A162" t="s">
        <v>1271</v>
      </c>
      <c r="B162" s="9">
        <f>INDEX(Payment!$A$2:$M$328,MATCH(LEFT(A162,4),Payment!$A$2:$A$328,0),13)</f>
        <v>2421</v>
      </c>
      <c r="F162" s="9">
        <f>INDEX(FinalPayment!$F$2:$R$328,MATCH(LEFT('Payment 1 through 9'!$A162,4),FinalPayment!$F$2:$F$328,0),13)-B162</f>
        <v>210</v>
      </c>
    </row>
    <row r="163" spans="1:6" x14ac:dyDescent="0.55000000000000004">
      <c r="A163" t="s">
        <v>1169</v>
      </c>
      <c r="B163" s="9">
        <f>INDEX(Payment!$A$2:$M$328,MATCH(LEFT(A163,4),Payment!$A$2:$A$328,0),13)</f>
        <v>8920</v>
      </c>
      <c r="F163" s="9">
        <f>INDEX(FinalPayment!$F$2:$R$328,MATCH(LEFT('Payment 1 through 9'!$A163,4),FinalPayment!$F$2:$F$328,0),13)-B163</f>
        <v>1629</v>
      </c>
    </row>
    <row r="164" spans="1:6" x14ac:dyDescent="0.55000000000000004">
      <c r="A164" t="s">
        <v>1272</v>
      </c>
      <c r="B164" s="9">
        <f>INDEX(Payment!$A$2:$M$328,MATCH(LEFT(A164,4),Payment!$A$2:$A$328,0),13)</f>
        <v>7415</v>
      </c>
      <c r="F164" s="9">
        <f>INDEX(FinalPayment!$F$2:$R$328,MATCH(LEFT('Payment 1 through 9'!$A164,4),FinalPayment!$F$2:$F$328,0),13)-B164</f>
        <v>528</v>
      </c>
    </row>
    <row r="165" spans="1:6" x14ac:dyDescent="0.55000000000000004">
      <c r="A165" t="s">
        <v>1166</v>
      </c>
      <c r="B165" s="9">
        <f>INDEX(Payment!$A$2:$M$328,MATCH(LEFT(A165,4),Payment!$A$2:$A$328,0),13)</f>
        <v>8696</v>
      </c>
      <c r="F165" s="9">
        <f>INDEX(FinalPayment!$F$2:$R$328,MATCH(LEFT('Payment 1 through 9'!$A165,4),FinalPayment!$F$2:$F$328,0),13)-B165</f>
        <v>576</v>
      </c>
    </row>
    <row r="166" spans="1:6" x14ac:dyDescent="0.55000000000000004">
      <c r="A166" t="s">
        <v>1168</v>
      </c>
      <c r="B166" s="9">
        <f>INDEX(Payment!$A$2:$M$328,MATCH(LEFT(A166,4),Payment!$A$2:$A$328,0),13)</f>
        <v>23951</v>
      </c>
      <c r="F166" s="9">
        <f>INDEX(FinalPayment!$F$2:$R$328,MATCH(LEFT('Payment 1 through 9'!$A166,4),FinalPayment!$F$2:$F$328,0),13)-B166</f>
        <v>600</v>
      </c>
    </row>
    <row r="167" spans="1:6" x14ac:dyDescent="0.55000000000000004">
      <c r="A167" t="s">
        <v>1157</v>
      </c>
      <c r="B167" s="9">
        <f>INDEX(Payment!$A$2:$M$328,MATCH(LEFT(A167,4),Payment!$A$2:$A$328,0),13)</f>
        <v>13667</v>
      </c>
      <c r="F167" s="9">
        <f>INDEX(FinalPayment!$F$2:$R$328,MATCH(LEFT('Payment 1 through 9'!$A167,4),FinalPayment!$F$2:$F$328,0),13)-B167</f>
        <v>615</v>
      </c>
    </row>
    <row r="168" spans="1:6" x14ac:dyDescent="0.55000000000000004">
      <c r="A168" t="s">
        <v>1341</v>
      </c>
      <c r="B168" s="9">
        <f>INDEX(Payment!$A$2:$M$328,MATCH(LEFT(A168,4),Payment!$A$2:$A$328,0),13)</f>
        <v>2146</v>
      </c>
      <c r="F168" s="9">
        <f>INDEX(FinalPayment!$F$2:$R$328,MATCH(LEFT('Payment 1 through 9'!$A168,4),FinalPayment!$F$2:$F$328,0),13)-B168</f>
        <v>641</v>
      </c>
    </row>
    <row r="169" spans="1:6" x14ac:dyDescent="0.55000000000000004">
      <c r="A169" t="s">
        <v>1170</v>
      </c>
      <c r="B169" s="9">
        <f>INDEX(Payment!$A$2:$M$328,MATCH(LEFT(A169,4),Payment!$A$2:$A$328,0),13)</f>
        <v>2716</v>
      </c>
      <c r="F169" s="9">
        <f>INDEX(FinalPayment!$F$2:$R$328,MATCH(LEFT('Payment 1 through 9'!$A169,4),FinalPayment!$F$2:$F$328,0),13)-B169</f>
        <v>149</v>
      </c>
    </row>
    <row r="170" spans="1:6" x14ac:dyDescent="0.55000000000000004">
      <c r="A170" t="s">
        <v>1273</v>
      </c>
      <c r="B170" s="9">
        <f>INDEX(Payment!$A$2:$M$328,MATCH(LEFT(A170,4),Payment!$A$2:$A$328,0),13)</f>
        <v>15258</v>
      </c>
      <c r="F170" s="9">
        <f>INDEX(FinalPayment!$F$2:$R$328,MATCH(LEFT('Payment 1 through 9'!$A170,4),FinalPayment!$F$2:$F$328,0),13)-B170</f>
        <v>870</v>
      </c>
    </row>
    <row r="171" spans="1:6" x14ac:dyDescent="0.55000000000000004">
      <c r="A171" t="s">
        <v>1171</v>
      </c>
      <c r="B171" s="9">
        <f>INDEX(Payment!$A$2:$M$328,MATCH(LEFT(A171,4),Payment!$A$2:$A$328,0),13)</f>
        <v>7148</v>
      </c>
      <c r="F171" s="9">
        <f>INDEX(FinalPayment!$F$2:$R$328,MATCH(LEFT('Payment 1 through 9'!$A171,4),FinalPayment!$F$2:$F$328,0),13)-B171</f>
        <v>667</v>
      </c>
    </row>
    <row r="172" spans="1:6" x14ac:dyDescent="0.55000000000000004">
      <c r="A172" t="s">
        <v>1172</v>
      </c>
      <c r="B172" s="9">
        <f>INDEX(Payment!$A$2:$M$328,MATCH(LEFT(A172,4),Payment!$A$2:$A$328,0),13)</f>
        <v>12743</v>
      </c>
      <c r="F172" s="9">
        <f>INDEX(FinalPayment!$F$2:$R$328,MATCH(LEFT('Payment 1 through 9'!$A172,4),FinalPayment!$F$2:$F$328,0),13)-B172</f>
        <v>672</v>
      </c>
    </row>
    <row r="173" spans="1:6" x14ac:dyDescent="0.55000000000000004">
      <c r="A173" t="s">
        <v>1173</v>
      </c>
      <c r="B173" s="9">
        <f>INDEX(Payment!$A$2:$M$328,MATCH(LEFT(A173,4),Payment!$A$2:$A$328,0),13)</f>
        <v>5302</v>
      </c>
      <c r="F173" s="9">
        <f>INDEX(FinalPayment!$F$2:$R$328,MATCH(LEFT('Payment 1 through 9'!$A173,4),FinalPayment!$F$2:$F$328,0),13)-B173</f>
        <v>307</v>
      </c>
    </row>
    <row r="174" spans="1:6" x14ac:dyDescent="0.55000000000000004">
      <c r="A174" t="s">
        <v>1174</v>
      </c>
      <c r="B174" s="9">
        <f>INDEX(Payment!$A$2:$M$328,MATCH(LEFT(A174,4),Payment!$A$2:$A$328,0),13)</f>
        <v>12200</v>
      </c>
      <c r="F174" s="9">
        <f>INDEX(FinalPayment!$F$2:$R$328,MATCH(LEFT('Payment 1 through 9'!$A174,4),FinalPayment!$F$2:$F$328,0),13)-B174</f>
        <v>363</v>
      </c>
    </row>
    <row r="175" spans="1:6" x14ac:dyDescent="0.55000000000000004">
      <c r="A175" t="s">
        <v>1175</v>
      </c>
      <c r="B175" s="9">
        <f>INDEX(Payment!$A$2:$M$328,MATCH(LEFT(A175,4),Payment!$A$2:$A$328,0),13)</f>
        <v>5360</v>
      </c>
      <c r="F175" s="9">
        <f>INDEX(FinalPayment!$F$2:$R$328,MATCH(LEFT('Payment 1 through 9'!$A175,4),FinalPayment!$F$2:$F$328,0),13)-B175</f>
        <v>358</v>
      </c>
    </row>
    <row r="176" spans="1:6" x14ac:dyDescent="0.55000000000000004">
      <c r="A176" t="s">
        <v>1274</v>
      </c>
      <c r="B176" s="9">
        <f>INDEX(Payment!$A$2:$M$328,MATCH(LEFT(A176,4),Payment!$A$2:$A$328,0),13)</f>
        <v>6636</v>
      </c>
      <c r="F176" s="9">
        <f>INDEX(FinalPayment!$F$2:$R$328,MATCH(LEFT('Payment 1 through 9'!$A176,4),FinalPayment!$F$2:$F$328,0),13)-B176</f>
        <v>142</v>
      </c>
    </row>
    <row r="177" spans="1:6" x14ac:dyDescent="0.55000000000000004">
      <c r="A177" t="s">
        <v>1176</v>
      </c>
      <c r="B177" s="9">
        <f>INDEX(Payment!$A$2:$M$328,MATCH(LEFT(A177,4),Payment!$A$2:$A$328,0),13)</f>
        <v>8602</v>
      </c>
      <c r="F177" s="9">
        <f>INDEX(FinalPayment!$F$2:$R$328,MATCH(LEFT('Payment 1 through 9'!$A177,4),FinalPayment!$F$2:$F$328,0),13)-B177</f>
        <v>760</v>
      </c>
    </row>
    <row r="178" spans="1:6" x14ac:dyDescent="0.55000000000000004">
      <c r="A178" t="s">
        <v>1275</v>
      </c>
      <c r="B178" s="9">
        <f>INDEX(Payment!$A$2:$M$328,MATCH(LEFT(A178,4),Payment!$A$2:$A$328,0),13)</f>
        <v>7270</v>
      </c>
      <c r="F178" s="9">
        <f>INDEX(FinalPayment!$F$2:$R$328,MATCH(LEFT('Payment 1 through 9'!$A178,4),FinalPayment!$F$2:$F$328,0),13)-B178</f>
        <v>1114</v>
      </c>
    </row>
    <row r="179" spans="1:6" x14ac:dyDescent="0.55000000000000004">
      <c r="A179" t="s">
        <v>1177</v>
      </c>
      <c r="B179" s="9">
        <f>INDEX(Payment!$A$2:$M$328,MATCH(LEFT(A179,4),Payment!$A$2:$A$328,0),13)</f>
        <v>7702</v>
      </c>
      <c r="F179" s="9">
        <f>INDEX(FinalPayment!$F$2:$R$328,MATCH(LEFT('Payment 1 through 9'!$A179,4),FinalPayment!$F$2:$F$328,0),13)-B179</f>
        <v>419</v>
      </c>
    </row>
    <row r="180" spans="1:6" x14ac:dyDescent="0.55000000000000004">
      <c r="A180" t="s">
        <v>1178</v>
      </c>
      <c r="B180" s="9">
        <f>INDEX(Payment!$A$2:$M$328,MATCH(LEFT(A180,4),Payment!$A$2:$A$328,0),13)</f>
        <v>55536</v>
      </c>
      <c r="F180" s="9">
        <f>INDEX(FinalPayment!$F$2:$R$328,MATCH(LEFT('Payment 1 through 9'!$A180,4),FinalPayment!$F$2:$F$328,0),13)-B180</f>
        <v>1051</v>
      </c>
    </row>
    <row r="181" spans="1:6" x14ac:dyDescent="0.55000000000000004">
      <c r="A181" t="s">
        <v>1179</v>
      </c>
      <c r="B181" s="9">
        <f>INDEX(Payment!$A$2:$M$328,MATCH(LEFT(A181,4),Payment!$A$2:$A$328,0),13)</f>
        <v>16001</v>
      </c>
      <c r="F181" s="9">
        <f>INDEX(FinalPayment!$F$2:$R$328,MATCH(LEFT('Payment 1 through 9'!$A181,4),FinalPayment!$F$2:$F$328,0),13)-B181</f>
        <v>317</v>
      </c>
    </row>
    <row r="182" spans="1:6" x14ac:dyDescent="0.55000000000000004">
      <c r="A182" t="s">
        <v>1276</v>
      </c>
      <c r="B182" s="9">
        <f>INDEX(Payment!$A$2:$M$328,MATCH(LEFT(A182,4),Payment!$A$2:$A$328,0),13)</f>
        <v>42074</v>
      </c>
      <c r="F182" s="9">
        <f>INDEX(FinalPayment!$F$2:$R$328,MATCH(LEFT('Payment 1 through 9'!$A182,4),FinalPayment!$F$2:$F$328,0),13)-B182</f>
        <v>11396</v>
      </c>
    </row>
    <row r="183" spans="1:6" x14ac:dyDescent="0.55000000000000004">
      <c r="A183" t="s">
        <v>1181</v>
      </c>
      <c r="B183" s="9">
        <f>INDEX(Payment!$A$2:$M$328,MATCH(LEFT(A183,4),Payment!$A$2:$A$328,0),13)</f>
        <v>7918</v>
      </c>
      <c r="F183" s="9">
        <f>INDEX(FinalPayment!$F$2:$R$328,MATCH(LEFT('Payment 1 through 9'!$A183,4),FinalPayment!$F$2:$F$328,0),13)-B183</f>
        <v>610</v>
      </c>
    </row>
    <row r="184" spans="1:6" x14ac:dyDescent="0.55000000000000004">
      <c r="A184" t="s">
        <v>1277</v>
      </c>
      <c r="B184" s="9">
        <f>INDEX(Payment!$A$2:$M$328,MATCH(LEFT(A184,4),Payment!$A$2:$A$328,0),13)</f>
        <v>16883</v>
      </c>
      <c r="F184" s="9">
        <f>INDEX(FinalPayment!$F$2:$R$328,MATCH(LEFT('Payment 1 through 9'!$A184,4),FinalPayment!$F$2:$F$328,0),13)-B184</f>
        <v>1818</v>
      </c>
    </row>
    <row r="185" spans="1:6" x14ac:dyDescent="0.55000000000000004">
      <c r="A185" t="s">
        <v>1182</v>
      </c>
      <c r="B185" s="9">
        <f>INDEX(Payment!$A$2:$M$328,MATCH(LEFT(A185,4),Payment!$A$2:$A$328,0),13)</f>
        <v>11566</v>
      </c>
      <c r="F185" s="9">
        <f>INDEX(FinalPayment!$F$2:$R$328,MATCH(LEFT('Payment 1 through 9'!$A185,4),FinalPayment!$F$2:$F$328,0),13)-B185</f>
        <v>300</v>
      </c>
    </row>
    <row r="186" spans="1:6" x14ac:dyDescent="0.55000000000000004">
      <c r="A186" t="s">
        <v>1278</v>
      </c>
      <c r="B186" s="9">
        <f>INDEX(Payment!$A$2:$M$328,MATCH(LEFT(A186,4),Payment!$A$2:$A$328,0),13)</f>
        <v>3582</v>
      </c>
      <c r="F186" s="9">
        <f>INDEX(FinalPayment!$F$2:$R$328,MATCH(LEFT('Payment 1 through 9'!$A186,4),FinalPayment!$F$2:$F$328,0),13)-B186</f>
        <v>771</v>
      </c>
    </row>
    <row r="187" spans="1:6" x14ac:dyDescent="0.55000000000000004">
      <c r="A187" t="s">
        <v>1342</v>
      </c>
      <c r="B187" s="9">
        <f>INDEX(Payment!$A$2:$M$328,MATCH(LEFT(A187,4),Payment!$A$2:$A$328,0),13)</f>
        <v>1988</v>
      </c>
      <c r="F187" s="9">
        <f>INDEX(FinalPayment!$F$2:$R$328,MATCH(LEFT('Payment 1 through 9'!$A187,4),FinalPayment!$F$2:$F$328,0),13)-B187</f>
        <v>267</v>
      </c>
    </row>
    <row r="188" spans="1:6" x14ac:dyDescent="0.55000000000000004">
      <c r="A188" t="s">
        <v>1279</v>
      </c>
      <c r="B188" s="9">
        <f>INDEX(Payment!$A$2:$M$328,MATCH(LEFT(A188,4),Payment!$A$2:$A$328,0),13)</f>
        <v>6446</v>
      </c>
      <c r="F188" s="9">
        <f>INDEX(FinalPayment!$F$2:$R$328,MATCH(LEFT('Payment 1 through 9'!$A188,4),FinalPayment!$F$2:$F$328,0),13)-B188</f>
        <v>1022</v>
      </c>
    </row>
    <row r="189" spans="1:6" x14ac:dyDescent="0.55000000000000004">
      <c r="A189" t="s">
        <v>1280</v>
      </c>
      <c r="B189" s="9">
        <f>INDEX(Payment!$A$2:$M$328,MATCH(LEFT(A189,4),Payment!$A$2:$A$328,0),13)</f>
        <v>22</v>
      </c>
      <c r="F189" s="9">
        <f>INDEX(FinalPayment!$F$2:$R$328,MATCH(LEFT('Payment 1 through 9'!$A189,4),FinalPayment!$F$2:$F$328,0),13)-B189</f>
        <v>1525</v>
      </c>
    </row>
    <row r="190" spans="1:6" x14ac:dyDescent="0.55000000000000004">
      <c r="A190" t="s">
        <v>1162</v>
      </c>
      <c r="B190" s="9">
        <f>INDEX(Payment!$A$2:$M$328,MATCH(LEFT(A190,4),Payment!$A$2:$A$328,0),13)</f>
        <v>17376</v>
      </c>
      <c r="F190" s="9">
        <f>INDEX(FinalPayment!$F$2:$R$328,MATCH(LEFT('Payment 1 through 9'!$A190,4),FinalPayment!$F$2:$F$328,0),13)-B190</f>
        <v>744</v>
      </c>
    </row>
    <row r="191" spans="1:6" x14ac:dyDescent="0.55000000000000004">
      <c r="A191" t="s">
        <v>1281</v>
      </c>
      <c r="B191" s="9">
        <f>INDEX(Payment!$A$2:$M$328,MATCH(LEFT(A191,4),Payment!$A$2:$A$328,0),13)</f>
        <v>5996</v>
      </c>
      <c r="F191" s="9">
        <f>INDEX(FinalPayment!$F$2:$R$328,MATCH(LEFT('Payment 1 through 9'!$A191,4),FinalPayment!$F$2:$F$328,0),13)-B191</f>
        <v>566</v>
      </c>
    </row>
    <row r="192" spans="1:6" x14ac:dyDescent="0.55000000000000004">
      <c r="A192" t="s">
        <v>1184</v>
      </c>
      <c r="B192" s="9">
        <f>INDEX(Payment!$A$2:$M$328,MATCH(LEFT(A192,4),Payment!$A$2:$A$328,0),13)</f>
        <v>3329</v>
      </c>
      <c r="F192" s="9">
        <f>INDEX(FinalPayment!$F$2:$R$328,MATCH(LEFT('Payment 1 through 9'!$A192,4),FinalPayment!$F$2:$F$328,0),13)-B192</f>
        <v>367</v>
      </c>
    </row>
    <row r="193" spans="1:6" x14ac:dyDescent="0.55000000000000004">
      <c r="A193" t="s">
        <v>1185</v>
      </c>
      <c r="B193" s="9">
        <f>INDEX(Payment!$A$2:$M$328,MATCH(LEFT(A193,4),Payment!$A$2:$A$328,0),13)</f>
        <v>20446</v>
      </c>
      <c r="F193" s="9">
        <f>INDEX(FinalPayment!$F$2:$R$328,MATCH(LEFT('Payment 1 through 9'!$A193,4),FinalPayment!$F$2:$F$328,0),13)-B193</f>
        <v>1000</v>
      </c>
    </row>
    <row r="194" spans="1:6" x14ac:dyDescent="0.55000000000000004">
      <c r="A194" t="s">
        <v>1186</v>
      </c>
      <c r="B194" s="9">
        <f>INDEX(Payment!$A$2:$M$328,MATCH(LEFT(A194,4),Payment!$A$2:$A$328,0),13)</f>
        <v>10446</v>
      </c>
      <c r="F194" s="9">
        <f>INDEX(FinalPayment!$F$2:$R$328,MATCH(LEFT('Payment 1 through 9'!$A194,4),FinalPayment!$F$2:$F$328,0),13)-B194</f>
        <v>927</v>
      </c>
    </row>
    <row r="195" spans="1:6" x14ac:dyDescent="0.55000000000000004">
      <c r="A195" t="s">
        <v>1343</v>
      </c>
      <c r="B195" s="9">
        <f>INDEX(Payment!$A$2:$M$328,MATCH(LEFT(A195,4),Payment!$A$2:$A$328,0),13)</f>
        <v>4031</v>
      </c>
      <c r="F195" s="9">
        <f>INDEX(FinalPayment!$F$2:$R$328,MATCH(LEFT('Payment 1 through 9'!$A195,4),FinalPayment!$F$2:$F$328,0),13)-B195</f>
        <v>673</v>
      </c>
    </row>
    <row r="196" spans="1:6" x14ac:dyDescent="0.55000000000000004">
      <c r="A196" t="s">
        <v>1282</v>
      </c>
      <c r="B196" s="9">
        <f>INDEX(Payment!$A$2:$M$328,MATCH(LEFT(A196,4),Payment!$A$2:$A$328,0),13)</f>
        <v>2931</v>
      </c>
      <c r="F196" s="9">
        <f>INDEX(FinalPayment!$F$2:$R$328,MATCH(LEFT('Payment 1 through 9'!$A196,4),FinalPayment!$F$2:$F$328,0),13)-B196</f>
        <v>876</v>
      </c>
    </row>
    <row r="197" spans="1:6" x14ac:dyDescent="0.55000000000000004">
      <c r="A197" t="s">
        <v>1183</v>
      </c>
      <c r="B197" s="9">
        <f>INDEX(Payment!$A$2:$M$328,MATCH(LEFT(A197,4),Payment!$A$2:$A$328,0),13)</f>
        <v>48725</v>
      </c>
      <c r="F197" s="9">
        <f>INDEX(FinalPayment!$F$2:$R$328,MATCH(LEFT('Payment 1 through 9'!$A197,4),FinalPayment!$F$2:$F$328,0),13)-B197</f>
        <v>3271</v>
      </c>
    </row>
    <row r="198" spans="1:6" x14ac:dyDescent="0.55000000000000004">
      <c r="A198" t="s">
        <v>1187</v>
      </c>
      <c r="B198" s="9">
        <f>INDEX(Payment!$A$2:$M$328,MATCH(LEFT(A198,4),Payment!$A$2:$A$328,0),13)</f>
        <v>24412</v>
      </c>
      <c r="F198" s="9">
        <f>INDEX(FinalPayment!$F$2:$R$328,MATCH(LEFT('Payment 1 through 9'!$A198,4),FinalPayment!$F$2:$F$328,0),13)-B198</f>
        <v>599</v>
      </c>
    </row>
    <row r="199" spans="1:6" x14ac:dyDescent="0.55000000000000004">
      <c r="A199" t="s">
        <v>1344</v>
      </c>
      <c r="B199" s="9">
        <f>INDEX(Payment!$A$2:$M$328,MATCH(LEFT(A199,4),Payment!$A$2:$A$328,0),13)</f>
        <v>10377</v>
      </c>
      <c r="F199" s="9">
        <f>INDEX(FinalPayment!$F$2:$R$328,MATCH(LEFT('Payment 1 through 9'!$A199,4),FinalPayment!$F$2:$F$328,0),13)-B199</f>
        <v>1169</v>
      </c>
    </row>
    <row r="200" spans="1:6" x14ac:dyDescent="0.55000000000000004">
      <c r="A200" t="s">
        <v>1283</v>
      </c>
      <c r="B200" s="9">
        <f>INDEX(Payment!$A$2:$M$328,MATCH(LEFT(A200,4),Payment!$A$2:$A$328,0),13)</f>
        <v>15792</v>
      </c>
      <c r="F200" s="9">
        <f>INDEX(FinalPayment!$F$2:$R$328,MATCH(LEFT('Payment 1 through 9'!$A200,4),FinalPayment!$F$2:$F$328,0),13)-B200</f>
        <v>1816</v>
      </c>
    </row>
    <row r="201" spans="1:6" x14ac:dyDescent="0.55000000000000004">
      <c r="A201" t="s">
        <v>1188</v>
      </c>
      <c r="B201" s="9">
        <f>INDEX(Payment!$A$2:$M$328,MATCH(LEFT(A201,4),Payment!$A$2:$A$328,0),13)</f>
        <v>10324</v>
      </c>
      <c r="F201" s="9">
        <f>INDEX(FinalPayment!$F$2:$R$328,MATCH(LEFT('Payment 1 through 9'!$A201,4),FinalPayment!$F$2:$F$328,0),13)-B201</f>
        <v>589</v>
      </c>
    </row>
    <row r="202" spans="1:6" x14ac:dyDescent="0.55000000000000004">
      <c r="A202" t="s">
        <v>1284</v>
      </c>
      <c r="B202" s="9">
        <f>INDEX(Payment!$A$2:$M$328,MATCH(LEFT(A202,4),Payment!$A$2:$A$328,0),13)</f>
        <v>5048</v>
      </c>
      <c r="F202" s="9">
        <f>INDEX(FinalPayment!$F$2:$R$328,MATCH(LEFT('Payment 1 through 9'!$A202,4),FinalPayment!$F$2:$F$328,0),13)-B202</f>
        <v>988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17" sqref="C17"/>
    </sheetView>
  </sheetViews>
  <sheetFormatPr defaultRowHeight="14.4" x14ac:dyDescent="0.55000000000000004"/>
  <sheetData>
    <row r="1" spans="1:1" x14ac:dyDescent="0.55000000000000004">
      <c r="A1" t="s">
        <v>1039</v>
      </c>
    </row>
    <row r="3" spans="1:1" x14ac:dyDescent="0.55000000000000004">
      <c r="A3" t="s">
        <v>1040</v>
      </c>
    </row>
    <row r="5" spans="1:1" x14ac:dyDescent="0.55000000000000004">
      <c r="A5" t="s">
        <v>1041</v>
      </c>
    </row>
    <row r="6" spans="1:1" x14ac:dyDescent="0.55000000000000004">
      <c r="A6" t="s">
        <v>1042</v>
      </c>
    </row>
    <row r="8" spans="1:1" x14ac:dyDescent="0.55000000000000004">
      <c r="A8" t="s">
        <v>1043</v>
      </c>
    </row>
    <row r="9" spans="1:1" x14ac:dyDescent="0.55000000000000004">
      <c r="A9" t="s">
        <v>1045</v>
      </c>
    </row>
    <row r="10" spans="1:1" x14ac:dyDescent="0.55000000000000004">
      <c r="A10" t="s">
        <v>1044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1"/>
  <sheetViews>
    <sheetView workbookViewId="0">
      <pane xSplit="3" ySplit="1" topLeftCell="D981" activePane="bottomRight" state="frozen"/>
      <selection pane="topRight" activeCell="D1" sqref="D1"/>
      <selection pane="bottomLeft" activeCell="A2" sqref="A2"/>
      <selection pane="bottomRight" activeCell="G995" sqref="G995"/>
    </sheetView>
  </sheetViews>
  <sheetFormatPr defaultRowHeight="14.4" x14ac:dyDescent="0.55000000000000004"/>
  <cols>
    <col min="2" max="2" width="14.68359375" bestFit="1" customWidth="1"/>
    <col min="3" max="3" width="26.41796875" bestFit="1" customWidth="1"/>
    <col min="4" max="4" width="43.26171875" bestFit="1" customWidth="1"/>
    <col min="5" max="5" width="26.15625" bestFit="1" customWidth="1"/>
    <col min="6" max="6" width="18.15625" bestFit="1" customWidth="1"/>
    <col min="7" max="7" width="42.15625" bestFit="1" customWidth="1"/>
    <col min="8" max="8" width="16.15625" bestFit="1" customWidth="1"/>
  </cols>
  <sheetData>
    <row r="1" spans="1:8" x14ac:dyDescent="0.55000000000000004">
      <c r="A1" t="s">
        <v>1023</v>
      </c>
      <c r="B1" t="s">
        <v>1028</v>
      </c>
      <c r="C1" t="s">
        <v>1290</v>
      </c>
      <c r="D1" t="s">
        <v>1029</v>
      </c>
      <c r="E1" t="s">
        <v>1289</v>
      </c>
      <c r="F1" t="s">
        <v>1030</v>
      </c>
      <c r="G1" t="s">
        <v>1291</v>
      </c>
      <c r="H1" t="s">
        <v>1345</v>
      </c>
    </row>
    <row r="2" spans="1:8" x14ac:dyDescent="0.55000000000000004">
      <c r="A2">
        <v>2017</v>
      </c>
      <c r="B2" t="s">
        <v>683</v>
      </c>
      <c r="C2" t="s">
        <v>17</v>
      </c>
      <c r="D2">
        <v>622.5</v>
      </c>
      <c r="E2" s="8">
        <v>3250.07</v>
      </c>
      <c r="F2" s="8">
        <v>352339.52</v>
      </c>
      <c r="G2" s="8">
        <v>349089.45</v>
      </c>
    </row>
    <row r="3" spans="1:8" x14ac:dyDescent="0.55000000000000004">
      <c r="A3">
        <v>2017</v>
      </c>
      <c r="B3" t="s">
        <v>682</v>
      </c>
      <c r="C3" t="s">
        <v>18</v>
      </c>
      <c r="D3">
        <v>300.2</v>
      </c>
      <c r="E3" s="8">
        <v>0</v>
      </c>
      <c r="F3" s="8">
        <v>244939.04</v>
      </c>
      <c r="G3" s="8">
        <v>244939.04</v>
      </c>
    </row>
    <row r="4" spans="1:8" x14ac:dyDescent="0.55000000000000004">
      <c r="A4">
        <v>2017</v>
      </c>
      <c r="B4" t="s">
        <v>681</v>
      </c>
      <c r="C4" t="s">
        <v>19</v>
      </c>
      <c r="D4">
        <v>1655.1</v>
      </c>
      <c r="E4" s="8">
        <v>7959.01</v>
      </c>
      <c r="F4" s="8">
        <v>546399.86</v>
      </c>
      <c r="G4" s="8">
        <v>538440.85</v>
      </c>
    </row>
    <row r="5" spans="1:8" x14ac:dyDescent="0.55000000000000004">
      <c r="A5">
        <v>2017</v>
      </c>
      <c r="B5" t="s">
        <v>680</v>
      </c>
      <c r="C5" t="s">
        <v>20</v>
      </c>
      <c r="D5">
        <v>520.4</v>
      </c>
      <c r="E5" s="8">
        <v>4875.1000000000004</v>
      </c>
      <c r="F5" s="8">
        <v>336597.07</v>
      </c>
      <c r="G5" s="8">
        <v>331721.97000000003</v>
      </c>
    </row>
    <row r="6" spans="1:8" x14ac:dyDescent="0.55000000000000004">
      <c r="A6">
        <v>2017</v>
      </c>
      <c r="B6" t="s">
        <v>679</v>
      </c>
      <c r="C6" t="s">
        <v>21</v>
      </c>
      <c r="D6">
        <v>203.2</v>
      </c>
      <c r="E6" s="8">
        <v>812.52</v>
      </c>
      <c r="F6" s="8">
        <v>164006.29999999999</v>
      </c>
      <c r="G6" s="8">
        <v>163193.78</v>
      </c>
    </row>
    <row r="7" spans="1:8" x14ac:dyDescent="0.55000000000000004">
      <c r="A7">
        <v>2017</v>
      </c>
      <c r="B7" t="s">
        <v>678</v>
      </c>
      <c r="C7" t="s">
        <v>22</v>
      </c>
      <c r="D7">
        <v>1215.8</v>
      </c>
      <c r="E7" s="8">
        <v>0</v>
      </c>
      <c r="F7" s="8">
        <v>382505.79</v>
      </c>
      <c r="G7" s="8">
        <v>382505.79</v>
      </c>
    </row>
    <row r="8" spans="1:8" x14ac:dyDescent="0.55000000000000004">
      <c r="A8">
        <v>2017</v>
      </c>
      <c r="B8" t="s">
        <v>677</v>
      </c>
      <c r="C8" t="s">
        <v>23</v>
      </c>
      <c r="D8">
        <v>515.29999999999995</v>
      </c>
      <c r="E8" s="8">
        <v>4062.59</v>
      </c>
      <c r="F8" s="8">
        <v>271854</v>
      </c>
      <c r="G8" s="8">
        <v>267791.40999999997</v>
      </c>
    </row>
    <row r="9" spans="1:8" x14ac:dyDescent="0.55000000000000004">
      <c r="A9">
        <v>2017</v>
      </c>
      <c r="B9" t="s">
        <v>676</v>
      </c>
      <c r="C9" t="s">
        <v>24</v>
      </c>
      <c r="D9">
        <v>281.5</v>
      </c>
      <c r="E9" s="8">
        <v>0</v>
      </c>
      <c r="F9" s="8">
        <v>148809.76</v>
      </c>
      <c r="G9" s="8">
        <v>148809.76</v>
      </c>
    </row>
    <row r="10" spans="1:8" x14ac:dyDescent="0.55000000000000004">
      <c r="A10">
        <v>2017</v>
      </c>
      <c r="B10" t="s">
        <v>675</v>
      </c>
      <c r="C10" t="s">
        <v>25</v>
      </c>
      <c r="D10">
        <v>1312</v>
      </c>
      <c r="E10" s="8">
        <v>91895.08</v>
      </c>
      <c r="F10" s="8">
        <v>509653.71</v>
      </c>
      <c r="G10" s="8">
        <v>417758.63</v>
      </c>
    </row>
    <row r="11" spans="1:8" x14ac:dyDescent="0.55000000000000004">
      <c r="A11">
        <v>2017</v>
      </c>
      <c r="B11" t="s">
        <v>674</v>
      </c>
      <c r="C11" t="s">
        <v>26</v>
      </c>
      <c r="D11">
        <v>1103.3</v>
      </c>
      <c r="E11" s="8">
        <v>74731.38</v>
      </c>
      <c r="F11" s="8">
        <v>755749.83</v>
      </c>
      <c r="G11" s="8">
        <v>681018.45</v>
      </c>
    </row>
    <row r="12" spans="1:8" x14ac:dyDescent="0.55000000000000004">
      <c r="A12">
        <v>2017</v>
      </c>
      <c r="B12" t="s">
        <v>673</v>
      </c>
      <c r="C12" t="s">
        <v>329</v>
      </c>
      <c r="D12">
        <v>592</v>
      </c>
      <c r="E12" s="8">
        <v>0</v>
      </c>
      <c r="F12" s="8">
        <v>239773.95</v>
      </c>
      <c r="G12" s="8">
        <v>239773.95</v>
      </c>
    </row>
    <row r="13" spans="1:8" x14ac:dyDescent="0.55000000000000004">
      <c r="A13">
        <v>2017</v>
      </c>
      <c r="B13" t="s">
        <v>672</v>
      </c>
      <c r="C13" t="s">
        <v>27</v>
      </c>
      <c r="D13">
        <v>517.29999999999995</v>
      </c>
      <c r="E13" s="8">
        <v>3828.85</v>
      </c>
      <c r="F13" s="8">
        <v>236843.41</v>
      </c>
      <c r="G13" s="8">
        <v>233014.56</v>
      </c>
    </row>
    <row r="14" spans="1:8" x14ac:dyDescent="0.55000000000000004">
      <c r="A14">
        <v>2017</v>
      </c>
      <c r="B14" t="s">
        <v>671</v>
      </c>
      <c r="C14" t="s">
        <v>28</v>
      </c>
      <c r="D14">
        <v>4188</v>
      </c>
      <c r="E14" s="8">
        <v>28121.53</v>
      </c>
      <c r="F14" s="8">
        <v>1938019.59</v>
      </c>
      <c r="G14" s="8">
        <v>1909898.06</v>
      </c>
    </row>
    <row r="15" spans="1:8" x14ac:dyDescent="0.55000000000000004">
      <c r="A15">
        <v>2017</v>
      </c>
      <c r="B15" t="s">
        <v>670</v>
      </c>
      <c r="C15" t="s">
        <v>29</v>
      </c>
      <c r="D15">
        <v>1257.8</v>
      </c>
      <c r="E15" s="8">
        <v>21076.51</v>
      </c>
      <c r="F15" s="8">
        <v>414700.16</v>
      </c>
      <c r="G15" s="8">
        <v>393623.64999999997</v>
      </c>
    </row>
    <row r="16" spans="1:8" x14ac:dyDescent="0.55000000000000004">
      <c r="A16">
        <v>2017</v>
      </c>
      <c r="B16" t="s">
        <v>669</v>
      </c>
      <c r="C16" t="s">
        <v>30</v>
      </c>
      <c r="D16">
        <v>234.3</v>
      </c>
      <c r="E16" s="8">
        <v>6931.04</v>
      </c>
      <c r="F16" s="8">
        <v>197440.7</v>
      </c>
      <c r="G16" s="8">
        <v>190509.66</v>
      </c>
    </row>
    <row r="17" spans="1:7" x14ac:dyDescent="0.55000000000000004">
      <c r="A17">
        <v>2017</v>
      </c>
      <c r="B17" t="s">
        <v>668</v>
      </c>
      <c r="C17" t="s">
        <v>31</v>
      </c>
      <c r="D17">
        <v>11193.199999999999</v>
      </c>
      <c r="E17" s="8">
        <v>83085.87</v>
      </c>
      <c r="F17" s="8">
        <v>2661639.4</v>
      </c>
      <c r="G17" s="8">
        <v>2578553.5299999998</v>
      </c>
    </row>
    <row r="18" spans="1:7" x14ac:dyDescent="0.55000000000000004">
      <c r="A18">
        <v>2017</v>
      </c>
      <c r="B18" t="s">
        <v>667</v>
      </c>
      <c r="C18" t="s">
        <v>32</v>
      </c>
      <c r="D18">
        <v>847.2</v>
      </c>
      <c r="E18" s="8">
        <v>6524.79</v>
      </c>
      <c r="F18" s="8">
        <v>281679.45</v>
      </c>
      <c r="G18" s="8">
        <v>275154.66000000003</v>
      </c>
    </row>
    <row r="19" spans="1:7" x14ac:dyDescent="0.55000000000000004">
      <c r="A19">
        <v>2017</v>
      </c>
      <c r="B19" t="s">
        <v>666</v>
      </c>
      <c r="C19" t="s">
        <v>343</v>
      </c>
      <c r="D19">
        <v>421.1</v>
      </c>
      <c r="E19" s="8">
        <v>0</v>
      </c>
      <c r="F19" s="8">
        <v>274232.31</v>
      </c>
      <c r="G19" s="8">
        <v>274232.31</v>
      </c>
    </row>
    <row r="20" spans="1:7" x14ac:dyDescent="0.55000000000000004">
      <c r="A20">
        <v>2017</v>
      </c>
      <c r="B20" t="s">
        <v>665</v>
      </c>
      <c r="C20" t="s">
        <v>33</v>
      </c>
      <c r="D20">
        <v>286</v>
      </c>
      <c r="E20" s="8">
        <v>18878.71</v>
      </c>
      <c r="F20" s="8">
        <v>167257.97</v>
      </c>
      <c r="G20" s="8">
        <v>148379.26</v>
      </c>
    </row>
    <row r="21" spans="1:7" x14ac:dyDescent="0.55000000000000004">
      <c r="A21">
        <v>2017</v>
      </c>
      <c r="B21" t="s">
        <v>664</v>
      </c>
      <c r="C21" t="s">
        <v>34</v>
      </c>
      <c r="D21">
        <v>1384.7</v>
      </c>
      <c r="E21" s="8">
        <v>0</v>
      </c>
      <c r="F21" s="8">
        <v>333762.99</v>
      </c>
      <c r="G21" s="8">
        <v>333762.99</v>
      </c>
    </row>
    <row r="22" spans="1:7" x14ac:dyDescent="0.55000000000000004">
      <c r="A22">
        <v>2017</v>
      </c>
      <c r="B22" t="s">
        <v>663</v>
      </c>
      <c r="C22" t="s">
        <v>35</v>
      </c>
      <c r="D22">
        <v>502.2</v>
      </c>
      <c r="E22" s="8">
        <v>406.26</v>
      </c>
      <c r="F22" s="8">
        <v>172671.74</v>
      </c>
      <c r="G22" s="8">
        <v>172265.47999999998</v>
      </c>
    </row>
    <row r="23" spans="1:7" x14ac:dyDescent="0.55000000000000004">
      <c r="A23">
        <v>2017</v>
      </c>
      <c r="B23" t="s">
        <v>662</v>
      </c>
      <c r="C23" t="s">
        <v>36</v>
      </c>
      <c r="D23">
        <v>237.1</v>
      </c>
      <c r="E23" s="8">
        <v>0</v>
      </c>
      <c r="F23" s="8">
        <v>149406.23000000001</v>
      </c>
      <c r="G23" s="8">
        <v>149406.23000000001</v>
      </c>
    </row>
    <row r="24" spans="1:7" x14ac:dyDescent="0.55000000000000004">
      <c r="A24">
        <v>2017</v>
      </c>
      <c r="B24" t="s">
        <v>661</v>
      </c>
      <c r="C24" t="s">
        <v>1292</v>
      </c>
      <c r="D24">
        <v>778.4</v>
      </c>
      <c r="E24" s="8">
        <v>0</v>
      </c>
      <c r="F24" s="8">
        <v>337602.81</v>
      </c>
      <c r="G24" s="8">
        <v>337602.81</v>
      </c>
    </row>
    <row r="25" spans="1:7" x14ac:dyDescent="0.55000000000000004">
      <c r="A25">
        <v>2017</v>
      </c>
      <c r="B25" t="s">
        <v>660</v>
      </c>
      <c r="C25" t="s">
        <v>37</v>
      </c>
      <c r="D25">
        <v>1604</v>
      </c>
      <c r="E25" s="8">
        <v>3157.85</v>
      </c>
      <c r="F25" s="8">
        <v>612814.89</v>
      </c>
      <c r="G25" s="8">
        <v>609657.04</v>
      </c>
    </row>
    <row r="26" spans="1:7" x14ac:dyDescent="0.55000000000000004">
      <c r="A26">
        <v>2017</v>
      </c>
      <c r="B26" t="s">
        <v>659</v>
      </c>
      <c r="C26" t="s">
        <v>38</v>
      </c>
      <c r="D26">
        <v>642.1</v>
      </c>
      <c r="E26" s="8">
        <v>3250.07</v>
      </c>
      <c r="F26" s="8">
        <v>285297.53999999998</v>
      </c>
      <c r="G26" s="8">
        <v>282047.46999999997</v>
      </c>
    </row>
    <row r="27" spans="1:7" x14ac:dyDescent="0.55000000000000004">
      <c r="A27">
        <v>2017</v>
      </c>
      <c r="B27" t="s">
        <v>658</v>
      </c>
      <c r="C27" t="s">
        <v>39</v>
      </c>
      <c r="D27">
        <v>328.8</v>
      </c>
      <c r="E27" s="8">
        <v>1625.03</v>
      </c>
      <c r="F27" s="8">
        <v>104397.56</v>
      </c>
      <c r="G27" s="8">
        <v>102772.53</v>
      </c>
    </row>
    <row r="28" spans="1:7" x14ac:dyDescent="0.55000000000000004">
      <c r="A28">
        <v>2017</v>
      </c>
      <c r="B28" t="s">
        <v>657</v>
      </c>
      <c r="C28" t="s">
        <v>40</v>
      </c>
      <c r="D28">
        <v>555.4</v>
      </c>
      <c r="E28" s="8">
        <v>0</v>
      </c>
      <c r="F28" s="8">
        <v>332520.53000000003</v>
      </c>
      <c r="G28" s="8">
        <v>332520.53000000003</v>
      </c>
    </row>
    <row r="29" spans="1:7" x14ac:dyDescent="0.55000000000000004">
      <c r="A29">
        <v>2017</v>
      </c>
      <c r="B29" t="s">
        <v>656</v>
      </c>
      <c r="C29" t="s">
        <v>41</v>
      </c>
      <c r="D29">
        <v>445</v>
      </c>
      <c r="E29" s="8">
        <v>1243.42</v>
      </c>
      <c r="F29" s="8">
        <v>171138.37</v>
      </c>
      <c r="G29" s="8">
        <v>169894.94999999998</v>
      </c>
    </row>
    <row r="30" spans="1:7" x14ac:dyDescent="0.55000000000000004">
      <c r="A30">
        <v>2017</v>
      </c>
      <c r="B30" t="s">
        <v>655</v>
      </c>
      <c r="C30" t="s">
        <v>42</v>
      </c>
      <c r="D30">
        <v>531.4</v>
      </c>
      <c r="E30" s="8">
        <v>812.52</v>
      </c>
      <c r="F30" s="8">
        <v>373614.91</v>
      </c>
      <c r="G30" s="8">
        <v>372802.38999999996</v>
      </c>
    </row>
    <row r="31" spans="1:7" x14ac:dyDescent="0.55000000000000004">
      <c r="A31">
        <v>2017</v>
      </c>
      <c r="B31" t="s">
        <v>654</v>
      </c>
      <c r="C31" t="s">
        <v>43</v>
      </c>
      <c r="D31">
        <v>572</v>
      </c>
      <c r="E31" s="8">
        <v>38478.78</v>
      </c>
      <c r="F31" s="8">
        <v>265744.84999999998</v>
      </c>
      <c r="G31" s="8">
        <v>227266.06999999998</v>
      </c>
    </row>
    <row r="32" spans="1:7" x14ac:dyDescent="0.55000000000000004">
      <c r="A32">
        <v>2017</v>
      </c>
      <c r="B32" t="s">
        <v>653</v>
      </c>
      <c r="C32" t="s">
        <v>44</v>
      </c>
      <c r="D32">
        <v>812.2</v>
      </c>
      <c r="E32" s="8">
        <v>0</v>
      </c>
      <c r="F32" s="8">
        <v>206049</v>
      </c>
      <c r="G32" s="8">
        <v>206049</v>
      </c>
    </row>
    <row r="33" spans="1:7" x14ac:dyDescent="0.55000000000000004">
      <c r="A33">
        <v>2017</v>
      </c>
      <c r="B33" t="s">
        <v>652</v>
      </c>
      <c r="C33" t="s">
        <v>45</v>
      </c>
      <c r="D33">
        <v>186</v>
      </c>
      <c r="E33" s="8">
        <v>0</v>
      </c>
      <c r="F33" s="8">
        <v>124693.53</v>
      </c>
      <c r="G33" s="8">
        <v>124693.53</v>
      </c>
    </row>
    <row r="34" spans="1:7" x14ac:dyDescent="0.55000000000000004">
      <c r="A34">
        <v>2017</v>
      </c>
      <c r="B34" t="s">
        <v>651</v>
      </c>
      <c r="C34" t="s">
        <v>46</v>
      </c>
      <c r="D34">
        <v>1514.8</v>
      </c>
      <c r="E34" s="8">
        <v>43608.3</v>
      </c>
      <c r="F34" s="8">
        <v>808703.06</v>
      </c>
      <c r="G34" s="8">
        <v>765094.76</v>
      </c>
    </row>
    <row r="35" spans="1:7" x14ac:dyDescent="0.55000000000000004">
      <c r="A35">
        <v>2017</v>
      </c>
      <c r="B35" t="s">
        <v>650</v>
      </c>
      <c r="C35" t="s">
        <v>47</v>
      </c>
      <c r="D35">
        <v>4134.1000000000004</v>
      </c>
      <c r="E35" s="8">
        <v>24687.25</v>
      </c>
      <c r="F35" s="8">
        <v>380987.96</v>
      </c>
      <c r="G35" s="8">
        <v>356300.71</v>
      </c>
    </row>
    <row r="36" spans="1:7" x14ac:dyDescent="0.55000000000000004">
      <c r="A36">
        <v>2017</v>
      </c>
      <c r="B36" t="s">
        <v>649</v>
      </c>
      <c r="C36" t="s">
        <v>1293</v>
      </c>
      <c r="D36">
        <v>886.9</v>
      </c>
      <c r="E36" s="8">
        <v>5404.59</v>
      </c>
      <c r="F36" s="8">
        <v>570901.86</v>
      </c>
      <c r="G36" s="8">
        <v>565497.27</v>
      </c>
    </row>
    <row r="37" spans="1:7" x14ac:dyDescent="0.55000000000000004">
      <c r="A37">
        <v>2017</v>
      </c>
      <c r="B37" t="s">
        <v>647</v>
      </c>
      <c r="C37" t="s">
        <v>48</v>
      </c>
      <c r="D37">
        <v>1916.2</v>
      </c>
      <c r="E37" s="8">
        <v>6315.69</v>
      </c>
      <c r="F37" s="8">
        <v>502457.26</v>
      </c>
      <c r="G37" s="8">
        <v>496141.57</v>
      </c>
    </row>
    <row r="38" spans="1:7" x14ac:dyDescent="0.55000000000000004">
      <c r="A38">
        <v>2017</v>
      </c>
      <c r="B38" t="s">
        <v>646</v>
      </c>
      <c r="C38" t="s">
        <v>49</v>
      </c>
      <c r="D38">
        <v>2044.6000000000001</v>
      </c>
      <c r="E38" s="8">
        <v>13689.06</v>
      </c>
      <c r="F38" s="8">
        <v>284408.28000000003</v>
      </c>
      <c r="G38" s="8">
        <v>270719.22000000003</v>
      </c>
    </row>
    <row r="39" spans="1:7" x14ac:dyDescent="0.55000000000000004">
      <c r="A39">
        <v>2017</v>
      </c>
      <c r="B39" t="s">
        <v>645</v>
      </c>
      <c r="C39" t="s">
        <v>50</v>
      </c>
      <c r="D39">
        <v>599.19999999999993</v>
      </c>
      <c r="E39" s="8">
        <v>67258.7</v>
      </c>
      <c r="F39" s="8">
        <v>202759.66</v>
      </c>
      <c r="G39" s="8">
        <v>135500.96000000002</v>
      </c>
    </row>
    <row r="40" spans="1:7" x14ac:dyDescent="0.55000000000000004">
      <c r="A40">
        <v>2017</v>
      </c>
      <c r="B40" t="s">
        <v>644</v>
      </c>
      <c r="C40" t="s">
        <v>51</v>
      </c>
      <c r="D40">
        <v>563.30000000000007</v>
      </c>
      <c r="E40" s="8">
        <v>9977.5499999999993</v>
      </c>
      <c r="F40" s="8">
        <v>211438.81</v>
      </c>
      <c r="G40" s="8">
        <v>201461.26</v>
      </c>
    </row>
    <row r="41" spans="1:7" x14ac:dyDescent="0.55000000000000004">
      <c r="A41">
        <v>2017</v>
      </c>
      <c r="B41" t="s">
        <v>643</v>
      </c>
      <c r="C41" t="s">
        <v>52</v>
      </c>
      <c r="D41">
        <v>527.1</v>
      </c>
      <c r="E41" s="8">
        <v>0</v>
      </c>
      <c r="F41" s="8">
        <v>202282.48</v>
      </c>
      <c r="G41" s="8">
        <v>202282.48</v>
      </c>
    </row>
    <row r="42" spans="1:7" x14ac:dyDescent="0.55000000000000004">
      <c r="A42">
        <v>2017</v>
      </c>
      <c r="B42" t="s">
        <v>642</v>
      </c>
      <c r="C42" t="s">
        <v>53</v>
      </c>
      <c r="D42">
        <v>476.5</v>
      </c>
      <c r="E42" s="8">
        <v>0</v>
      </c>
      <c r="F42" s="8">
        <v>194518.45</v>
      </c>
      <c r="G42" s="8">
        <v>194518.45</v>
      </c>
    </row>
    <row r="43" spans="1:7" x14ac:dyDescent="0.55000000000000004">
      <c r="A43">
        <v>2017</v>
      </c>
      <c r="B43" t="s">
        <v>641</v>
      </c>
      <c r="C43" t="s">
        <v>54</v>
      </c>
      <c r="D43">
        <v>4421.0999999999995</v>
      </c>
      <c r="E43" s="8">
        <v>32010.14</v>
      </c>
      <c r="F43" s="8">
        <v>757911.6</v>
      </c>
      <c r="G43" s="8">
        <v>725901.46</v>
      </c>
    </row>
    <row r="44" spans="1:7" x14ac:dyDescent="0.55000000000000004">
      <c r="A44">
        <v>2017</v>
      </c>
      <c r="B44" t="s">
        <v>640</v>
      </c>
      <c r="C44" t="s">
        <v>1294</v>
      </c>
      <c r="D44">
        <v>488.4</v>
      </c>
      <c r="E44" s="8">
        <v>0</v>
      </c>
      <c r="F44" s="8">
        <v>308682.44</v>
      </c>
      <c r="G44" s="8">
        <v>308682.44</v>
      </c>
    </row>
    <row r="45" spans="1:7" x14ac:dyDescent="0.55000000000000004">
      <c r="A45">
        <v>2017</v>
      </c>
      <c r="B45" t="s">
        <v>638</v>
      </c>
      <c r="C45" t="s">
        <v>55</v>
      </c>
      <c r="D45">
        <v>261.09999999999997</v>
      </c>
      <c r="E45" s="8">
        <v>4119.0200000000004</v>
      </c>
      <c r="F45" s="8">
        <v>98512.34</v>
      </c>
      <c r="G45" s="8">
        <v>94393.319999999992</v>
      </c>
    </row>
    <row r="46" spans="1:7" x14ac:dyDescent="0.55000000000000004">
      <c r="A46">
        <v>2017</v>
      </c>
      <c r="B46" t="s">
        <v>637</v>
      </c>
      <c r="C46" t="s">
        <v>56</v>
      </c>
      <c r="D46">
        <v>448.7</v>
      </c>
      <c r="E46" s="8">
        <v>4758.24</v>
      </c>
      <c r="F46" s="8">
        <v>218395.01</v>
      </c>
      <c r="G46" s="8">
        <v>213636.77000000002</v>
      </c>
    </row>
    <row r="47" spans="1:7" x14ac:dyDescent="0.55000000000000004">
      <c r="A47">
        <v>2017</v>
      </c>
      <c r="B47" t="s">
        <v>636</v>
      </c>
      <c r="C47" t="s">
        <v>57</v>
      </c>
      <c r="D47">
        <v>861.2</v>
      </c>
      <c r="E47" s="8">
        <v>0</v>
      </c>
      <c r="F47" s="8">
        <v>202901.51</v>
      </c>
      <c r="G47" s="8">
        <v>202901.51</v>
      </c>
    </row>
    <row r="48" spans="1:7" x14ac:dyDescent="0.55000000000000004">
      <c r="A48">
        <v>2017</v>
      </c>
      <c r="B48" t="s">
        <v>635</v>
      </c>
      <c r="C48" t="s">
        <v>58</v>
      </c>
      <c r="D48">
        <v>567.9</v>
      </c>
      <c r="E48" s="8">
        <v>0</v>
      </c>
      <c r="F48" s="8">
        <v>355452.94</v>
      </c>
      <c r="G48" s="8">
        <v>355452.94</v>
      </c>
    </row>
    <row r="49" spans="1:7" x14ac:dyDescent="0.55000000000000004">
      <c r="A49">
        <v>2017</v>
      </c>
      <c r="B49" t="s">
        <v>634</v>
      </c>
      <c r="C49" t="s">
        <v>59</v>
      </c>
      <c r="D49">
        <v>1902.3</v>
      </c>
      <c r="E49" s="8">
        <v>10788.51</v>
      </c>
      <c r="F49" s="8">
        <v>640602.67000000004</v>
      </c>
      <c r="G49" s="8">
        <v>629814.16</v>
      </c>
    </row>
    <row r="50" spans="1:7" x14ac:dyDescent="0.55000000000000004">
      <c r="A50">
        <v>2017</v>
      </c>
      <c r="B50" t="s">
        <v>633</v>
      </c>
      <c r="C50" t="s">
        <v>60</v>
      </c>
      <c r="D50">
        <v>1656.5</v>
      </c>
      <c r="E50" s="8">
        <v>395682.65</v>
      </c>
      <c r="F50" s="8">
        <v>867010.63</v>
      </c>
      <c r="G50" s="8">
        <v>471327.98</v>
      </c>
    </row>
    <row r="51" spans="1:7" x14ac:dyDescent="0.55000000000000004">
      <c r="A51">
        <v>2017</v>
      </c>
      <c r="B51" t="s">
        <v>632</v>
      </c>
      <c r="C51" t="s">
        <v>61</v>
      </c>
      <c r="D51">
        <v>5146.1000000000004</v>
      </c>
      <c r="E51" s="8">
        <v>68259.13</v>
      </c>
      <c r="F51" s="8">
        <v>1304098.08</v>
      </c>
      <c r="G51" s="8">
        <v>1235838.9500000002</v>
      </c>
    </row>
    <row r="52" spans="1:7" x14ac:dyDescent="0.55000000000000004">
      <c r="A52">
        <v>2017</v>
      </c>
      <c r="B52" t="s">
        <v>631</v>
      </c>
      <c r="C52" t="s">
        <v>62</v>
      </c>
      <c r="D52">
        <v>17074.8</v>
      </c>
      <c r="E52" s="8">
        <v>810394.32</v>
      </c>
      <c r="F52" s="8">
        <v>4580375.75</v>
      </c>
      <c r="G52" s="8">
        <v>3769981.43</v>
      </c>
    </row>
    <row r="53" spans="1:7" x14ac:dyDescent="0.55000000000000004">
      <c r="A53">
        <v>2017</v>
      </c>
      <c r="B53" t="s">
        <v>630</v>
      </c>
      <c r="C53" t="s">
        <v>63</v>
      </c>
      <c r="D53">
        <v>1364.1</v>
      </c>
      <c r="E53" s="8">
        <v>2219.35</v>
      </c>
      <c r="F53" s="8">
        <v>385031.04</v>
      </c>
      <c r="G53" s="8">
        <v>382811.69</v>
      </c>
    </row>
    <row r="54" spans="1:7" x14ac:dyDescent="0.55000000000000004">
      <c r="A54">
        <v>2017</v>
      </c>
      <c r="B54" t="s">
        <v>629</v>
      </c>
      <c r="C54" t="s">
        <v>64</v>
      </c>
      <c r="D54">
        <v>1335.9</v>
      </c>
      <c r="E54" s="8">
        <v>0</v>
      </c>
      <c r="F54" s="8">
        <v>326295.42</v>
      </c>
      <c r="G54" s="8">
        <v>326295.42</v>
      </c>
    </row>
    <row r="55" spans="1:7" x14ac:dyDescent="0.55000000000000004">
      <c r="A55">
        <v>2017</v>
      </c>
      <c r="B55" t="s">
        <v>628</v>
      </c>
      <c r="C55" t="s">
        <v>65</v>
      </c>
      <c r="D55">
        <v>787.4</v>
      </c>
      <c r="E55" s="8">
        <v>6118.53</v>
      </c>
      <c r="F55" s="8">
        <v>467617.03</v>
      </c>
      <c r="G55" s="8">
        <v>461498.5</v>
      </c>
    </row>
    <row r="56" spans="1:7" x14ac:dyDescent="0.55000000000000004">
      <c r="A56">
        <v>2017</v>
      </c>
      <c r="B56" t="s">
        <v>627</v>
      </c>
      <c r="C56" t="s">
        <v>66</v>
      </c>
      <c r="D56">
        <v>433.3</v>
      </c>
      <c r="E56" s="8">
        <v>0</v>
      </c>
      <c r="F56" s="8">
        <v>256617.42</v>
      </c>
      <c r="G56" s="8">
        <v>256617.42</v>
      </c>
    </row>
    <row r="57" spans="1:7" x14ac:dyDescent="0.55000000000000004">
      <c r="A57">
        <v>2017</v>
      </c>
      <c r="B57" t="s">
        <v>626</v>
      </c>
      <c r="C57" t="s">
        <v>1295</v>
      </c>
      <c r="D57">
        <v>1462.5</v>
      </c>
      <c r="E57" s="8">
        <v>67242.009999999995</v>
      </c>
      <c r="F57" s="8">
        <v>501487.47</v>
      </c>
      <c r="G57" s="8">
        <v>434245.45999999996</v>
      </c>
    </row>
    <row r="58" spans="1:7" x14ac:dyDescent="0.55000000000000004">
      <c r="A58">
        <v>2017</v>
      </c>
      <c r="B58" t="s">
        <v>624</v>
      </c>
      <c r="C58" t="s">
        <v>67</v>
      </c>
      <c r="D58">
        <v>478.8</v>
      </c>
      <c r="E58" s="8">
        <v>861.81</v>
      </c>
      <c r="F58" s="8">
        <v>147277.73000000001</v>
      </c>
      <c r="G58" s="8">
        <v>146415.92000000001</v>
      </c>
    </row>
    <row r="59" spans="1:7" x14ac:dyDescent="0.55000000000000004">
      <c r="A59">
        <v>2017</v>
      </c>
      <c r="B59" t="s">
        <v>623</v>
      </c>
      <c r="C59" t="s">
        <v>68</v>
      </c>
      <c r="D59">
        <v>650.79999999999995</v>
      </c>
      <c r="E59" s="8">
        <v>1194.1300000000001</v>
      </c>
      <c r="F59" s="8">
        <v>543530.46</v>
      </c>
      <c r="G59" s="8">
        <v>542336.32999999996</v>
      </c>
    </row>
    <row r="60" spans="1:7" x14ac:dyDescent="0.55000000000000004">
      <c r="A60">
        <v>2017</v>
      </c>
      <c r="B60" t="s">
        <v>622</v>
      </c>
      <c r="C60" t="s">
        <v>69</v>
      </c>
      <c r="D60">
        <v>751.4</v>
      </c>
      <c r="E60" s="8">
        <v>37142.07</v>
      </c>
      <c r="F60" s="8">
        <v>131100.12</v>
      </c>
      <c r="G60" s="8">
        <v>93958.049999999988</v>
      </c>
    </row>
    <row r="61" spans="1:7" x14ac:dyDescent="0.55000000000000004">
      <c r="A61">
        <v>2017</v>
      </c>
      <c r="B61" t="s">
        <v>621</v>
      </c>
      <c r="C61" t="s">
        <v>70</v>
      </c>
      <c r="D61">
        <v>1281.5999999999999</v>
      </c>
      <c r="E61" s="8">
        <v>0</v>
      </c>
      <c r="F61" s="8">
        <v>513267.99</v>
      </c>
      <c r="G61" s="8">
        <v>513267.99</v>
      </c>
    </row>
    <row r="62" spans="1:7" x14ac:dyDescent="0.55000000000000004">
      <c r="A62">
        <v>2017</v>
      </c>
      <c r="B62" t="s">
        <v>620</v>
      </c>
      <c r="C62" t="s">
        <v>71</v>
      </c>
      <c r="D62">
        <v>1510.7</v>
      </c>
      <c r="E62" s="8">
        <v>34602.99</v>
      </c>
      <c r="F62" s="8">
        <v>362792.85</v>
      </c>
      <c r="G62" s="8">
        <v>328189.86</v>
      </c>
    </row>
    <row r="63" spans="1:7" x14ac:dyDescent="0.55000000000000004">
      <c r="A63">
        <v>2017</v>
      </c>
      <c r="B63" t="s">
        <v>619</v>
      </c>
      <c r="C63" t="s">
        <v>72</v>
      </c>
      <c r="D63">
        <v>271</v>
      </c>
      <c r="E63" s="8">
        <v>0</v>
      </c>
      <c r="F63" s="8">
        <v>173533.54</v>
      </c>
      <c r="G63" s="8">
        <v>173533.54</v>
      </c>
    </row>
    <row r="64" spans="1:7" x14ac:dyDescent="0.55000000000000004">
      <c r="A64">
        <v>2017</v>
      </c>
      <c r="B64" t="s">
        <v>618</v>
      </c>
      <c r="C64" t="s">
        <v>73</v>
      </c>
      <c r="D64">
        <v>942.5</v>
      </c>
      <c r="E64" s="8">
        <v>0</v>
      </c>
      <c r="F64" s="8">
        <v>195547.35</v>
      </c>
      <c r="G64" s="8">
        <v>195547.35</v>
      </c>
    </row>
    <row r="65" spans="1:7" x14ac:dyDescent="0.55000000000000004">
      <c r="A65">
        <v>2017</v>
      </c>
      <c r="B65" t="s">
        <v>617</v>
      </c>
      <c r="C65" t="s">
        <v>74</v>
      </c>
      <c r="D65">
        <v>960.09999999999991</v>
      </c>
      <c r="E65" s="8">
        <v>7645.61</v>
      </c>
      <c r="F65" s="8">
        <v>203939.36</v>
      </c>
      <c r="G65" s="8">
        <v>196293.75</v>
      </c>
    </row>
    <row r="66" spans="1:7" x14ac:dyDescent="0.55000000000000004">
      <c r="A66">
        <v>2017</v>
      </c>
      <c r="B66" t="s">
        <v>616</v>
      </c>
      <c r="C66" t="s">
        <v>344</v>
      </c>
      <c r="D66">
        <v>966.7</v>
      </c>
      <c r="E66" s="8">
        <v>0</v>
      </c>
      <c r="F66" s="8">
        <v>668462.74</v>
      </c>
      <c r="G66" s="8">
        <v>668462.74</v>
      </c>
    </row>
    <row r="67" spans="1:7" x14ac:dyDescent="0.55000000000000004">
      <c r="A67">
        <v>2017</v>
      </c>
      <c r="B67" t="s">
        <v>615</v>
      </c>
      <c r="C67" t="s">
        <v>75</v>
      </c>
      <c r="D67">
        <v>1417.1</v>
      </c>
      <c r="E67" s="8">
        <v>0</v>
      </c>
      <c r="F67" s="8">
        <v>703297.02</v>
      </c>
      <c r="G67" s="8">
        <v>703297.02</v>
      </c>
    </row>
    <row r="68" spans="1:7" x14ac:dyDescent="0.55000000000000004">
      <c r="A68">
        <v>2017</v>
      </c>
      <c r="B68" t="s">
        <v>614</v>
      </c>
      <c r="C68" t="s">
        <v>76</v>
      </c>
      <c r="D68">
        <v>326</v>
      </c>
      <c r="E68" s="8">
        <v>837.16</v>
      </c>
      <c r="F68" s="8">
        <v>63366.95</v>
      </c>
      <c r="G68" s="8">
        <v>62529.789999999994</v>
      </c>
    </row>
    <row r="69" spans="1:7" x14ac:dyDescent="0.55000000000000004">
      <c r="A69">
        <v>2017</v>
      </c>
      <c r="B69" t="s">
        <v>613</v>
      </c>
      <c r="C69" t="s">
        <v>77</v>
      </c>
      <c r="D69">
        <v>348</v>
      </c>
      <c r="E69" s="8">
        <v>3779.56</v>
      </c>
      <c r="F69" s="8">
        <v>165770.23999999999</v>
      </c>
      <c r="G69" s="8">
        <v>161990.68</v>
      </c>
    </row>
    <row r="70" spans="1:7" x14ac:dyDescent="0.55000000000000004">
      <c r="A70">
        <v>2017</v>
      </c>
      <c r="B70" t="s">
        <v>612</v>
      </c>
      <c r="C70" t="s">
        <v>78</v>
      </c>
      <c r="D70">
        <v>2004.7</v>
      </c>
      <c r="E70" s="8">
        <v>5139.8500000000004</v>
      </c>
      <c r="F70" s="8">
        <v>653350.94999999995</v>
      </c>
      <c r="G70" s="8">
        <v>648211.1</v>
      </c>
    </row>
    <row r="71" spans="1:7" x14ac:dyDescent="0.55000000000000004">
      <c r="A71">
        <v>2017</v>
      </c>
      <c r="B71" t="s">
        <v>611</v>
      </c>
      <c r="C71" t="s">
        <v>79</v>
      </c>
      <c r="D71">
        <v>1219.8</v>
      </c>
      <c r="E71" s="8">
        <v>10230.41</v>
      </c>
      <c r="F71" s="8">
        <v>257800.33</v>
      </c>
      <c r="G71" s="8">
        <v>247569.91999999998</v>
      </c>
    </row>
    <row r="72" spans="1:7" x14ac:dyDescent="0.55000000000000004">
      <c r="A72">
        <v>2017</v>
      </c>
      <c r="B72" t="s">
        <v>610</v>
      </c>
      <c r="C72" t="s">
        <v>80</v>
      </c>
      <c r="D72">
        <v>3784.8</v>
      </c>
      <c r="E72" s="8">
        <v>57771.42</v>
      </c>
      <c r="F72" s="8">
        <v>759399.61</v>
      </c>
      <c r="G72" s="8">
        <v>701628.19</v>
      </c>
    </row>
    <row r="73" spans="1:7" x14ac:dyDescent="0.55000000000000004">
      <c r="A73">
        <v>2017</v>
      </c>
      <c r="B73" t="s">
        <v>609</v>
      </c>
      <c r="C73" t="s">
        <v>81</v>
      </c>
      <c r="D73">
        <v>722.2</v>
      </c>
      <c r="E73" s="8">
        <v>2751.59</v>
      </c>
      <c r="F73" s="8">
        <v>230357.82</v>
      </c>
      <c r="G73" s="8">
        <v>227606.23</v>
      </c>
    </row>
    <row r="74" spans="1:7" x14ac:dyDescent="0.55000000000000004">
      <c r="A74">
        <v>2017</v>
      </c>
      <c r="B74" t="s">
        <v>608</v>
      </c>
      <c r="C74" t="s">
        <v>82</v>
      </c>
      <c r="D74">
        <v>5086.6000000000004</v>
      </c>
      <c r="E74" s="8">
        <v>44572.39</v>
      </c>
      <c r="F74" s="8">
        <v>2065232.34</v>
      </c>
      <c r="G74" s="8">
        <v>2020659.9500000002</v>
      </c>
    </row>
    <row r="75" spans="1:7" x14ac:dyDescent="0.55000000000000004">
      <c r="A75">
        <v>2017</v>
      </c>
      <c r="B75" t="s">
        <v>607</v>
      </c>
      <c r="C75" t="s">
        <v>83</v>
      </c>
      <c r="D75">
        <v>488.1</v>
      </c>
      <c r="E75" s="8">
        <v>1649.68</v>
      </c>
      <c r="F75" s="8">
        <v>105701.67</v>
      </c>
      <c r="G75" s="8">
        <v>104051.99</v>
      </c>
    </row>
    <row r="76" spans="1:7" x14ac:dyDescent="0.55000000000000004">
      <c r="A76">
        <v>2017</v>
      </c>
      <c r="B76" t="s">
        <v>606</v>
      </c>
      <c r="C76" t="s">
        <v>1215</v>
      </c>
      <c r="D76">
        <v>508.3</v>
      </c>
      <c r="E76" s="8">
        <v>812.52</v>
      </c>
      <c r="F76" s="8">
        <v>209585.8</v>
      </c>
      <c r="G76" s="8">
        <v>208773.28</v>
      </c>
    </row>
    <row r="77" spans="1:7" x14ac:dyDescent="0.55000000000000004">
      <c r="A77">
        <v>2017</v>
      </c>
      <c r="B77" t="s">
        <v>604</v>
      </c>
      <c r="C77" t="s">
        <v>84</v>
      </c>
      <c r="D77">
        <v>797.1</v>
      </c>
      <c r="E77" s="8">
        <v>0</v>
      </c>
      <c r="F77" s="8">
        <v>311250.52</v>
      </c>
      <c r="G77" s="8">
        <v>311250.52</v>
      </c>
    </row>
    <row r="78" spans="1:7" x14ac:dyDescent="0.55000000000000004">
      <c r="A78">
        <v>2017</v>
      </c>
      <c r="B78" t="s">
        <v>603</v>
      </c>
      <c r="C78" t="s">
        <v>85</v>
      </c>
      <c r="D78">
        <v>423.8</v>
      </c>
      <c r="E78" s="8">
        <v>0</v>
      </c>
      <c r="F78" s="8">
        <v>182132.44</v>
      </c>
      <c r="G78" s="8">
        <v>182132.44</v>
      </c>
    </row>
    <row r="79" spans="1:7" x14ac:dyDescent="0.55000000000000004">
      <c r="A79">
        <v>2017</v>
      </c>
      <c r="B79" t="s">
        <v>602</v>
      </c>
      <c r="C79" t="s">
        <v>86</v>
      </c>
      <c r="D79">
        <v>421.5</v>
      </c>
      <c r="E79" s="8">
        <v>0</v>
      </c>
      <c r="F79" s="8">
        <v>361704.23</v>
      </c>
      <c r="G79" s="8">
        <v>361704.23</v>
      </c>
    </row>
    <row r="80" spans="1:7" x14ac:dyDescent="0.55000000000000004">
      <c r="A80">
        <v>2017</v>
      </c>
      <c r="B80" t="s">
        <v>601</v>
      </c>
      <c r="C80" t="s">
        <v>87</v>
      </c>
      <c r="D80">
        <v>9256.5</v>
      </c>
      <c r="E80" s="8">
        <v>67417.64</v>
      </c>
      <c r="F80" s="8">
        <v>2356589.56</v>
      </c>
      <c r="G80" s="8">
        <v>2289171.92</v>
      </c>
    </row>
    <row r="81" spans="1:7" x14ac:dyDescent="0.55000000000000004">
      <c r="A81">
        <v>2017</v>
      </c>
      <c r="B81" t="s">
        <v>600</v>
      </c>
      <c r="C81" t="s">
        <v>88</v>
      </c>
      <c r="D81">
        <v>1454.6</v>
      </c>
      <c r="E81" s="8">
        <v>24325.88</v>
      </c>
      <c r="F81" s="8">
        <v>355087.95</v>
      </c>
      <c r="G81" s="8">
        <v>330762.07</v>
      </c>
    </row>
    <row r="82" spans="1:7" x14ac:dyDescent="0.55000000000000004">
      <c r="A82">
        <v>2017</v>
      </c>
      <c r="B82" t="s">
        <v>599</v>
      </c>
      <c r="C82" t="s">
        <v>89</v>
      </c>
      <c r="D82">
        <v>2690.2</v>
      </c>
      <c r="E82" s="8">
        <v>20227.07</v>
      </c>
      <c r="F82" s="8">
        <v>754948.84</v>
      </c>
      <c r="G82" s="8">
        <v>734721.77</v>
      </c>
    </row>
    <row r="83" spans="1:7" x14ac:dyDescent="0.55000000000000004">
      <c r="A83">
        <v>2017</v>
      </c>
      <c r="B83" t="s">
        <v>598</v>
      </c>
      <c r="C83" t="s">
        <v>90</v>
      </c>
      <c r="D83">
        <v>508.3</v>
      </c>
      <c r="E83" s="8">
        <v>0</v>
      </c>
      <c r="F83" s="8">
        <v>234033.72</v>
      </c>
      <c r="G83" s="8">
        <v>234033.72</v>
      </c>
    </row>
    <row r="84" spans="1:7" x14ac:dyDescent="0.55000000000000004">
      <c r="A84">
        <v>2017</v>
      </c>
      <c r="B84" t="s">
        <v>597</v>
      </c>
      <c r="C84" t="s">
        <v>91</v>
      </c>
      <c r="D84">
        <v>15487</v>
      </c>
      <c r="E84" s="8">
        <v>434330.57</v>
      </c>
      <c r="F84" s="8">
        <v>5174715.12</v>
      </c>
      <c r="G84" s="8">
        <v>4740384.55</v>
      </c>
    </row>
    <row r="85" spans="1:7" x14ac:dyDescent="0.55000000000000004">
      <c r="A85">
        <v>2017</v>
      </c>
      <c r="B85" t="s">
        <v>596</v>
      </c>
      <c r="C85" t="s">
        <v>92</v>
      </c>
      <c r="D85">
        <v>1182.5</v>
      </c>
      <c r="E85" s="8">
        <v>0</v>
      </c>
      <c r="F85" s="8">
        <v>816947.05</v>
      </c>
      <c r="G85" s="8">
        <v>816947.05</v>
      </c>
    </row>
    <row r="86" spans="1:7" x14ac:dyDescent="0.55000000000000004">
      <c r="A86">
        <v>2017</v>
      </c>
      <c r="B86" t="s">
        <v>595</v>
      </c>
      <c r="C86" t="s">
        <v>93</v>
      </c>
      <c r="D86">
        <v>1348.6</v>
      </c>
      <c r="E86" s="8">
        <v>32032.98</v>
      </c>
      <c r="F86" s="8">
        <v>768442.86</v>
      </c>
      <c r="G86" s="8">
        <v>736409.88</v>
      </c>
    </row>
    <row r="87" spans="1:7" x14ac:dyDescent="0.55000000000000004">
      <c r="A87">
        <v>2017</v>
      </c>
      <c r="B87" t="s">
        <v>594</v>
      </c>
      <c r="C87" t="s">
        <v>94</v>
      </c>
      <c r="D87">
        <v>191.5</v>
      </c>
      <c r="E87" s="8">
        <v>0</v>
      </c>
      <c r="F87" s="8">
        <v>171748.36</v>
      </c>
      <c r="G87" s="8">
        <v>171748.36</v>
      </c>
    </row>
    <row r="88" spans="1:7" x14ac:dyDescent="0.55000000000000004">
      <c r="A88">
        <v>2017</v>
      </c>
      <c r="B88" t="s">
        <v>593</v>
      </c>
      <c r="C88" t="s">
        <v>95</v>
      </c>
      <c r="D88">
        <v>2063.1999999999998</v>
      </c>
      <c r="E88" s="8">
        <v>20821.48</v>
      </c>
      <c r="F88" s="8">
        <v>794453.18</v>
      </c>
      <c r="G88" s="8">
        <v>773631.70000000007</v>
      </c>
    </row>
    <row r="89" spans="1:7" x14ac:dyDescent="0.55000000000000004">
      <c r="A89">
        <v>2017</v>
      </c>
      <c r="B89" t="s">
        <v>592</v>
      </c>
      <c r="C89" t="s">
        <v>96</v>
      </c>
      <c r="D89">
        <v>716</v>
      </c>
      <c r="E89" s="8">
        <v>1698.97</v>
      </c>
      <c r="F89" s="8">
        <v>123046.14</v>
      </c>
      <c r="G89" s="8">
        <v>121347.17</v>
      </c>
    </row>
    <row r="90" spans="1:7" x14ac:dyDescent="0.55000000000000004">
      <c r="A90">
        <v>2017</v>
      </c>
      <c r="B90" t="s">
        <v>591</v>
      </c>
      <c r="C90" t="s">
        <v>97</v>
      </c>
      <c r="D90">
        <v>32974.299999999996</v>
      </c>
      <c r="E90" s="8">
        <v>429871.27</v>
      </c>
      <c r="F90" s="8">
        <v>5895583.9299999997</v>
      </c>
      <c r="G90" s="8">
        <v>5465712.6600000001</v>
      </c>
    </row>
    <row r="91" spans="1:7" x14ac:dyDescent="0.55000000000000004">
      <c r="A91">
        <v>2017</v>
      </c>
      <c r="B91" t="s">
        <v>590</v>
      </c>
      <c r="C91" t="s">
        <v>98</v>
      </c>
      <c r="D91">
        <v>100</v>
      </c>
      <c r="E91" s="8">
        <v>0</v>
      </c>
      <c r="F91" s="8">
        <v>52762.080000000002</v>
      </c>
      <c r="G91" s="8">
        <v>52762.080000000002</v>
      </c>
    </row>
    <row r="92" spans="1:7" x14ac:dyDescent="0.55000000000000004">
      <c r="A92">
        <v>2017</v>
      </c>
      <c r="B92" t="s">
        <v>589</v>
      </c>
      <c r="C92" t="s">
        <v>99</v>
      </c>
      <c r="D92">
        <v>885.2</v>
      </c>
      <c r="E92" s="8">
        <v>2486.84</v>
      </c>
      <c r="F92" s="8">
        <v>260638.67</v>
      </c>
      <c r="G92" s="8">
        <v>258151.83000000002</v>
      </c>
    </row>
    <row r="93" spans="1:7" x14ac:dyDescent="0.55000000000000004">
      <c r="A93">
        <v>2017</v>
      </c>
      <c r="B93" t="s">
        <v>588</v>
      </c>
      <c r="C93" t="s">
        <v>100</v>
      </c>
      <c r="D93">
        <v>10554.199999999999</v>
      </c>
      <c r="E93" s="8">
        <v>458403.34</v>
      </c>
      <c r="F93" s="8">
        <v>3259444.21</v>
      </c>
      <c r="G93" s="8">
        <v>2801040.87</v>
      </c>
    </row>
    <row r="94" spans="1:7" x14ac:dyDescent="0.55000000000000004">
      <c r="A94">
        <v>2017</v>
      </c>
      <c r="B94" t="s">
        <v>587</v>
      </c>
      <c r="C94" t="s">
        <v>101</v>
      </c>
      <c r="D94">
        <v>418.6</v>
      </c>
      <c r="E94" s="8">
        <v>4973.6899999999996</v>
      </c>
      <c r="F94" s="8">
        <v>143284.18</v>
      </c>
      <c r="G94" s="8">
        <v>138310.49</v>
      </c>
    </row>
    <row r="95" spans="1:7" x14ac:dyDescent="0.55000000000000004">
      <c r="A95">
        <v>2017</v>
      </c>
      <c r="B95" t="s">
        <v>586</v>
      </c>
      <c r="C95" t="s">
        <v>102</v>
      </c>
      <c r="D95">
        <v>415.7</v>
      </c>
      <c r="E95" s="8">
        <v>0</v>
      </c>
      <c r="F95" s="8">
        <v>203501.68</v>
      </c>
      <c r="G95" s="8">
        <v>203501.68</v>
      </c>
    </row>
    <row r="96" spans="1:7" x14ac:dyDescent="0.55000000000000004">
      <c r="A96">
        <v>2017</v>
      </c>
      <c r="B96" t="s">
        <v>585</v>
      </c>
      <c r="C96" t="s">
        <v>103</v>
      </c>
      <c r="D96">
        <v>580.70000000000005</v>
      </c>
      <c r="E96" s="8">
        <v>0</v>
      </c>
      <c r="F96" s="8">
        <v>199845.77</v>
      </c>
      <c r="G96" s="8">
        <v>199845.77</v>
      </c>
    </row>
    <row r="97" spans="1:7" x14ac:dyDescent="0.55000000000000004">
      <c r="A97">
        <v>2017</v>
      </c>
      <c r="B97" t="s">
        <v>584</v>
      </c>
      <c r="C97" t="s">
        <v>104</v>
      </c>
      <c r="D97">
        <v>851.7</v>
      </c>
      <c r="E97" s="8">
        <v>646.36</v>
      </c>
      <c r="F97" s="8">
        <v>302451.03999999998</v>
      </c>
      <c r="G97" s="8">
        <v>301804.68</v>
      </c>
    </row>
    <row r="98" spans="1:7" x14ac:dyDescent="0.55000000000000004">
      <c r="A98">
        <v>2017</v>
      </c>
      <c r="B98" t="s">
        <v>583</v>
      </c>
      <c r="C98" t="s">
        <v>105</v>
      </c>
      <c r="D98">
        <v>578.9</v>
      </c>
      <c r="E98" s="8">
        <v>1840.49</v>
      </c>
      <c r="F98" s="8">
        <v>114435.73</v>
      </c>
      <c r="G98" s="8">
        <v>112595.23999999999</v>
      </c>
    </row>
    <row r="99" spans="1:7" x14ac:dyDescent="0.55000000000000004">
      <c r="A99">
        <v>2017</v>
      </c>
      <c r="B99" t="s">
        <v>582</v>
      </c>
      <c r="C99" t="s">
        <v>106</v>
      </c>
      <c r="D99">
        <v>582.6</v>
      </c>
      <c r="E99" s="8">
        <v>2055.94</v>
      </c>
      <c r="F99" s="8">
        <v>222737.6</v>
      </c>
      <c r="G99" s="8">
        <v>220681.66</v>
      </c>
    </row>
    <row r="100" spans="1:7" x14ac:dyDescent="0.55000000000000004">
      <c r="A100">
        <v>2017</v>
      </c>
      <c r="B100" t="s">
        <v>581</v>
      </c>
      <c r="C100" t="s">
        <v>336</v>
      </c>
      <c r="D100">
        <v>615.5</v>
      </c>
      <c r="E100" s="8">
        <v>2055.94</v>
      </c>
      <c r="F100" s="8">
        <v>295158.46000000002</v>
      </c>
      <c r="G100" s="8">
        <v>293102.52</v>
      </c>
    </row>
    <row r="101" spans="1:7" x14ac:dyDescent="0.55000000000000004">
      <c r="A101">
        <v>2017</v>
      </c>
      <c r="B101" t="s">
        <v>580</v>
      </c>
      <c r="C101" t="s">
        <v>107</v>
      </c>
      <c r="D101">
        <v>554.29999999999995</v>
      </c>
      <c r="E101" s="8">
        <v>861.81</v>
      </c>
      <c r="F101" s="8">
        <v>413802.02</v>
      </c>
      <c r="G101" s="8">
        <v>412940.21</v>
      </c>
    </row>
    <row r="102" spans="1:7" x14ac:dyDescent="0.55000000000000004">
      <c r="A102">
        <v>2017</v>
      </c>
      <c r="B102" t="s">
        <v>579</v>
      </c>
      <c r="C102" t="s">
        <v>108</v>
      </c>
      <c r="D102">
        <v>493.3</v>
      </c>
      <c r="E102" s="8">
        <v>1791.2</v>
      </c>
      <c r="F102" s="8">
        <v>314230.57</v>
      </c>
      <c r="G102" s="8">
        <v>312439.37</v>
      </c>
    </row>
    <row r="103" spans="1:7" x14ac:dyDescent="0.55000000000000004">
      <c r="A103">
        <v>2017</v>
      </c>
      <c r="B103" t="s">
        <v>578</v>
      </c>
      <c r="C103" t="s">
        <v>109</v>
      </c>
      <c r="D103">
        <v>343.8</v>
      </c>
      <c r="E103" s="8">
        <v>0</v>
      </c>
      <c r="F103" s="8">
        <v>227035.53</v>
      </c>
      <c r="G103" s="8">
        <v>227035.53</v>
      </c>
    </row>
    <row r="104" spans="1:7" x14ac:dyDescent="0.55000000000000004">
      <c r="A104">
        <v>2017</v>
      </c>
      <c r="B104" t="s">
        <v>577</v>
      </c>
      <c r="C104" t="s">
        <v>110</v>
      </c>
      <c r="D104">
        <v>431.3</v>
      </c>
      <c r="E104" s="8">
        <v>0</v>
      </c>
      <c r="F104" s="8">
        <v>233368.2</v>
      </c>
      <c r="G104" s="8">
        <v>233368.2</v>
      </c>
    </row>
    <row r="105" spans="1:7" x14ac:dyDescent="0.55000000000000004">
      <c r="A105">
        <v>2017</v>
      </c>
      <c r="B105" t="s">
        <v>576</v>
      </c>
      <c r="C105" t="s">
        <v>111</v>
      </c>
      <c r="D105">
        <v>385</v>
      </c>
      <c r="E105" s="8">
        <v>7934.37</v>
      </c>
      <c r="F105" s="8">
        <v>297121.18</v>
      </c>
      <c r="G105" s="8">
        <v>289186.81</v>
      </c>
    </row>
    <row r="106" spans="1:7" x14ac:dyDescent="0.55000000000000004">
      <c r="A106">
        <v>2017</v>
      </c>
      <c r="B106" t="s">
        <v>575</v>
      </c>
      <c r="C106" t="s">
        <v>112</v>
      </c>
      <c r="D106">
        <v>634</v>
      </c>
      <c r="E106" s="8">
        <v>812.52</v>
      </c>
      <c r="F106" s="8">
        <v>182541.79</v>
      </c>
      <c r="G106" s="8">
        <v>181729.27000000002</v>
      </c>
    </row>
    <row r="107" spans="1:7" x14ac:dyDescent="0.55000000000000004">
      <c r="A107">
        <v>2017</v>
      </c>
      <c r="B107" t="s">
        <v>574</v>
      </c>
      <c r="C107" t="s">
        <v>113</v>
      </c>
      <c r="D107">
        <v>695</v>
      </c>
      <c r="E107" s="8">
        <v>14366.28</v>
      </c>
      <c r="F107" s="8">
        <v>481531.24</v>
      </c>
      <c r="G107" s="8">
        <v>467164.95999999996</v>
      </c>
    </row>
    <row r="108" spans="1:7" x14ac:dyDescent="0.55000000000000004">
      <c r="A108">
        <v>2017</v>
      </c>
      <c r="B108" t="s">
        <v>573</v>
      </c>
      <c r="C108" t="s">
        <v>114</v>
      </c>
      <c r="D108">
        <v>457.8</v>
      </c>
      <c r="E108" s="8">
        <v>621.71</v>
      </c>
      <c r="F108" s="8">
        <v>262584.92</v>
      </c>
      <c r="G108" s="8">
        <v>261963.21</v>
      </c>
    </row>
    <row r="109" spans="1:7" x14ac:dyDescent="0.55000000000000004">
      <c r="A109">
        <v>2017</v>
      </c>
      <c r="B109" t="s">
        <v>572</v>
      </c>
      <c r="C109" t="s">
        <v>115</v>
      </c>
      <c r="D109">
        <v>196</v>
      </c>
      <c r="E109" s="8">
        <v>1243.42</v>
      </c>
      <c r="F109" s="8">
        <v>61476.57</v>
      </c>
      <c r="G109" s="8">
        <v>60233.15</v>
      </c>
    </row>
    <row r="110" spans="1:7" x14ac:dyDescent="0.55000000000000004">
      <c r="A110">
        <v>2017</v>
      </c>
      <c r="B110" t="s">
        <v>571</v>
      </c>
      <c r="C110" t="s">
        <v>116</v>
      </c>
      <c r="D110">
        <v>1376.9</v>
      </c>
      <c r="E110" s="8">
        <v>1027.97</v>
      </c>
      <c r="F110" s="8">
        <v>165150.98000000001</v>
      </c>
      <c r="G110" s="8">
        <v>164123.01</v>
      </c>
    </row>
    <row r="111" spans="1:7" x14ac:dyDescent="0.55000000000000004">
      <c r="A111">
        <v>2017</v>
      </c>
      <c r="B111" t="s">
        <v>570</v>
      </c>
      <c r="C111" t="s">
        <v>1220</v>
      </c>
      <c r="D111">
        <v>442.5</v>
      </c>
      <c r="E111" s="8">
        <v>0</v>
      </c>
      <c r="F111" s="8">
        <v>242127.92</v>
      </c>
      <c r="G111" s="8">
        <v>242127.92</v>
      </c>
    </row>
    <row r="112" spans="1:7" x14ac:dyDescent="0.55000000000000004">
      <c r="A112">
        <v>2017</v>
      </c>
      <c r="B112" t="s">
        <v>568</v>
      </c>
      <c r="C112" t="s">
        <v>117</v>
      </c>
      <c r="D112">
        <v>1636.6</v>
      </c>
      <c r="E112" s="8">
        <v>0</v>
      </c>
      <c r="F112" s="8">
        <v>547485.30000000005</v>
      </c>
      <c r="G112" s="8">
        <v>547485.30000000005</v>
      </c>
    </row>
    <row r="113" spans="1:7" x14ac:dyDescent="0.55000000000000004">
      <c r="A113">
        <v>2017</v>
      </c>
      <c r="B113" t="s">
        <v>567</v>
      </c>
      <c r="C113" t="s">
        <v>118</v>
      </c>
      <c r="D113">
        <v>1105.3</v>
      </c>
      <c r="E113" s="8">
        <v>597.07000000000005</v>
      </c>
      <c r="F113" s="8">
        <v>401689</v>
      </c>
      <c r="G113" s="8">
        <v>401091.93</v>
      </c>
    </row>
    <row r="114" spans="1:7" x14ac:dyDescent="0.55000000000000004">
      <c r="A114">
        <v>2017</v>
      </c>
      <c r="B114" t="s">
        <v>566</v>
      </c>
      <c r="C114" t="s">
        <v>119</v>
      </c>
      <c r="D114">
        <v>3707.7999999999997</v>
      </c>
      <c r="E114" s="8">
        <v>59687.03</v>
      </c>
      <c r="F114" s="8">
        <v>755878.01</v>
      </c>
      <c r="G114" s="8">
        <v>696190.98</v>
      </c>
    </row>
    <row r="115" spans="1:7" x14ac:dyDescent="0.55000000000000004">
      <c r="A115">
        <v>2017</v>
      </c>
      <c r="B115" t="s">
        <v>565</v>
      </c>
      <c r="C115" t="s">
        <v>120</v>
      </c>
      <c r="D115">
        <v>2138.6</v>
      </c>
      <c r="E115" s="8">
        <v>61689.71</v>
      </c>
      <c r="F115" s="8">
        <v>609864.74</v>
      </c>
      <c r="G115" s="8">
        <v>548175.03</v>
      </c>
    </row>
    <row r="116" spans="1:7" x14ac:dyDescent="0.55000000000000004">
      <c r="A116">
        <v>2017</v>
      </c>
      <c r="B116" t="s">
        <v>564</v>
      </c>
      <c r="C116" t="s">
        <v>121</v>
      </c>
      <c r="D116">
        <v>456</v>
      </c>
      <c r="E116" s="8">
        <v>381.61</v>
      </c>
      <c r="F116" s="8">
        <v>167811.28</v>
      </c>
      <c r="G116" s="8">
        <v>167429.67000000001</v>
      </c>
    </row>
    <row r="117" spans="1:7" x14ac:dyDescent="0.55000000000000004">
      <c r="A117">
        <v>2017</v>
      </c>
      <c r="B117" t="s">
        <v>563</v>
      </c>
      <c r="C117" t="s">
        <v>122</v>
      </c>
      <c r="D117">
        <v>427</v>
      </c>
      <c r="E117" s="8">
        <v>1526.45</v>
      </c>
      <c r="F117" s="8">
        <v>246999.43</v>
      </c>
      <c r="G117" s="8">
        <v>245472.97999999998</v>
      </c>
    </row>
    <row r="118" spans="1:7" x14ac:dyDescent="0.55000000000000004">
      <c r="A118">
        <v>2017</v>
      </c>
      <c r="B118" t="s">
        <v>562</v>
      </c>
      <c r="C118" t="s">
        <v>1296</v>
      </c>
      <c r="D118">
        <v>879.2</v>
      </c>
      <c r="E118" s="8">
        <v>2006.65</v>
      </c>
      <c r="F118" s="8">
        <v>396876.17</v>
      </c>
      <c r="G118" s="8">
        <v>394869.51999999996</v>
      </c>
    </row>
    <row r="119" spans="1:7" x14ac:dyDescent="0.55000000000000004">
      <c r="A119">
        <v>2017</v>
      </c>
      <c r="B119" t="s">
        <v>560</v>
      </c>
      <c r="C119" t="s">
        <v>123</v>
      </c>
      <c r="D119">
        <v>459</v>
      </c>
      <c r="E119" s="8">
        <v>683.02</v>
      </c>
      <c r="F119" s="8">
        <v>229381.96</v>
      </c>
      <c r="G119" s="8">
        <v>228698.94</v>
      </c>
    </row>
    <row r="120" spans="1:7" x14ac:dyDescent="0.55000000000000004">
      <c r="A120">
        <v>2017</v>
      </c>
      <c r="B120" t="s">
        <v>559</v>
      </c>
      <c r="C120" t="s">
        <v>124</v>
      </c>
      <c r="D120">
        <v>1425.2</v>
      </c>
      <c r="E120" s="8">
        <v>11811.71</v>
      </c>
      <c r="F120" s="8">
        <v>369847.52</v>
      </c>
      <c r="G120" s="8">
        <v>358035.81</v>
      </c>
    </row>
    <row r="121" spans="1:7" x14ac:dyDescent="0.55000000000000004">
      <c r="A121">
        <v>2017</v>
      </c>
      <c r="B121" t="s">
        <v>558</v>
      </c>
      <c r="C121" t="s">
        <v>125</v>
      </c>
      <c r="D121">
        <v>118</v>
      </c>
      <c r="E121" s="8">
        <v>0</v>
      </c>
      <c r="F121" s="8">
        <v>92811.16</v>
      </c>
      <c r="G121" s="8">
        <v>92811.16</v>
      </c>
    </row>
    <row r="122" spans="1:7" x14ac:dyDescent="0.55000000000000004">
      <c r="A122">
        <v>2017</v>
      </c>
      <c r="B122" t="s">
        <v>557</v>
      </c>
      <c r="C122" t="s">
        <v>126</v>
      </c>
      <c r="D122">
        <v>569.4</v>
      </c>
      <c r="E122" s="8">
        <v>430.9</v>
      </c>
      <c r="F122" s="8">
        <v>252845.81</v>
      </c>
      <c r="G122" s="8">
        <v>252414.91</v>
      </c>
    </row>
    <row r="123" spans="1:7" x14ac:dyDescent="0.55000000000000004">
      <c r="A123">
        <v>2017</v>
      </c>
      <c r="B123" t="s">
        <v>556</v>
      </c>
      <c r="C123" t="s">
        <v>127</v>
      </c>
      <c r="D123">
        <v>1956.7</v>
      </c>
      <c r="E123" s="8">
        <v>4924.3999999999996</v>
      </c>
      <c r="F123" s="8">
        <v>542606.38</v>
      </c>
      <c r="G123" s="8">
        <v>537681.98</v>
      </c>
    </row>
    <row r="124" spans="1:7" x14ac:dyDescent="0.55000000000000004">
      <c r="A124">
        <v>2017</v>
      </c>
      <c r="B124" t="s">
        <v>555</v>
      </c>
      <c r="C124" t="s">
        <v>128</v>
      </c>
      <c r="D124">
        <v>267.10000000000002</v>
      </c>
      <c r="E124" s="8">
        <v>3465.52</v>
      </c>
      <c r="F124" s="8">
        <v>55409.98</v>
      </c>
      <c r="G124" s="8">
        <v>51944.460000000006</v>
      </c>
    </row>
    <row r="125" spans="1:7" x14ac:dyDescent="0.55000000000000004">
      <c r="A125">
        <v>2017</v>
      </c>
      <c r="B125" t="s">
        <v>554</v>
      </c>
      <c r="C125" t="s">
        <v>129</v>
      </c>
      <c r="D125">
        <v>376</v>
      </c>
      <c r="E125" s="8">
        <v>2055.94</v>
      </c>
      <c r="F125" s="8">
        <v>162507.13</v>
      </c>
      <c r="G125" s="8">
        <v>160451.19</v>
      </c>
    </row>
    <row r="126" spans="1:7" x14ac:dyDescent="0.55000000000000004">
      <c r="A126">
        <v>2017</v>
      </c>
      <c r="B126" t="s">
        <v>553</v>
      </c>
      <c r="C126" t="s">
        <v>130</v>
      </c>
      <c r="D126">
        <v>663.5</v>
      </c>
      <c r="E126" s="8">
        <v>3108.56</v>
      </c>
      <c r="F126" s="8">
        <v>433750.08</v>
      </c>
      <c r="G126" s="8">
        <v>430641.52</v>
      </c>
    </row>
    <row r="127" spans="1:7" x14ac:dyDescent="0.55000000000000004">
      <c r="A127">
        <v>2017</v>
      </c>
      <c r="B127" t="s">
        <v>552</v>
      </c>
      <c r="C127" t="s">
        <v>131</v>
      </c>
      <c r="D127">
        <v>287.3</v>
      </c>
      <c r="E127" s="8">
        <v>0</v>
      </c>
      <c r="F127" s="8">
        <v>128129</v>
      </c>
      <c r="G127" s="8">
        <v>128129</v>
      </c>
    </row>
    <row r="128" spans="1:7" x14ac:dyDescent="0.55000000000000004">
      <c r="A128">
        <v>2017</v>
      </c>
      <c r="B128" t="s">
        <v>551</v>
      </c>
      <c r="C128" t="s">
        <v>132</v>
      </c>
      <c r="D128">
        <v>1614.5</v>
      </c>
      <c r="E128" s="8">
        <v>6198.41</v>
      </c>
      <c r="F128" s="8">
        <v>508151.34</v>
      </c>
      <c r="G128" s="8">
        <v>501952.93000000005</v>
      </c>
    </row>
    <row r="129" spans="1:7" x14ac:dyDescent="0.55000000000000004">
      <c r="A129">
        <v>2017</v>
      </c>
      <c r="B129" t="s">
        <v>550</v>
      </c>
      <c r="C129" t="s">
        <v>133</v>
      </c>
      <c r="D129">
        <v>516.6</v>
      </c>
      <c r="E129" s="8">
        <v>0</v>
      </c>
      <c r="F129" s="8">
        <v>333816.40000000002</v>
      </c>
      <c r="G129" s="8">
        <v>333816.40000000002</v>
      </c>
    </row>
    <row r="130" spans="1:7" x14ac:dyDescent="0.55000000000000004">
      <c r="A130">
        <v>2017</v>
      </c>
      <c r="B130" t="s">
        <v>549</v>
      </c>
      <c r="C130" t="s">
        <v>134</v>
      </c>
      <c r="D130">
        <v>658.5</v>
      </c>
      <c r="E130" s="8">
        <v>1243.42</v>
      </c>
      <c r="F130" s="8">
        <v>189880.38</v>
      </c>
      <c r="G130" s="8">
        <v>188636.96</v>
      </c>
    </row>
    <row r="131" spans="1:7" x14ac:dyDescent="0.55000000000000004">
      <c r="A131">
        <v>2017</v>
      </c>
      <c r="B131" t="s">
        <v>548</v>
      </c>
      <c r="C131" t="s">
        <v>135</v>
      </c>
      <c r="D131">
        <v>463.3</v>
      </c>
      <c r="E131" s="8">
        <v>0</v>
      </c>
      <c r="F131" s="8">
        <v>255990.94</v>
      </c>
      <c r="G131" s="8">
        <v>255990.94</v>
      </c>
    </row>
    <row r="132" spans="1:7" x14ac:dyDescent="0.55000000000000004">
      <c r="A132">
        <v>2017</v>
      </c>
      <c r="B132" t="s">
        <v>547</v>
      </c>
      <c r="C132" t="s">
        <v>136</v>
      </c>
      <c r="D132">
        <v>574</v>
      </c>
      <c r="E132" s="8">
        <v>50448.62</v>
      </c>
      <c r="F132" s="8">
        <v>357719.68</v>
      </c>
      <c r="G132" s="8">
        <v>307271.06</v>
      </c>
    </row>
    <row r="133" spans="1:7" x14ac:dyDescent="0.55000000000000004">
      <c r="A133">
        <v>2017</v>
      </c>
      <c r="B133" t="s">
        <v>546</v>
      </c>
      <c r="C133" t="s">
        <v>137</v>
      </c>
      <c r="D133">
        <v>330.7</v>
      </c>
      <c r="E133" s="8">
        <v>3440.88</v>
      </c>
      <c r="F133" s="8">
        <v>209078.52</v>
      </c>
      <c r="G133" s="8">
        <v>205637.63999999998</v>
      </c>
    </row>
    <row r="134" spans="1:7" x14ac:dyDescent="0.55000000000000004">
      <c r="A134">
        <v>2017</v>
      </c>
      <c r="B134" t="s">
        <v>545</v>
      </c>
      <c r="C134" t="s">
        <v>138</v>
      </c>
      <c r="D134">
        <v>235</v>
      </c>
      <c r="E134" s="8">
        <v>4161.17</v>
      </c>
      <c r="F134" s="8">
        <v>96029.1</v>
      </c>
      <c r="G134" s="8">
        <v>91867.930000000008</v>
      </c>
    </row>
    <row r="135" spans="1:7" x14ac:dyDescent="0.55000000000000004">
      <c r="A135">
        <v>2017</v>
      </c>
      <c r="B135" t="s">
        <v>544</v>
      </c>
      <c r="C135" t="s">
        <v>139</v>
      </c>
      <c r="D135">
        <v>1192.3</v>
      </c>
      <c r="E135" s="8">
        <v>0</v>
      </c>
      <c r="F135" s="8">
        <v>336496.28</v>
      </c>
      <c r="G135" s="8">
        <v>336496.28</v>
      </c>
    </row>
    <row r="136" spans="1:7" x14ac:dyDescent="0.55000000000000004">
      <c r="A136">
        <v>2017</v>
      </c>
      <c r="B136" t="s">
        <v>543</v>
      </c>
      <c r="C136" t="s">
        <v>140</v>
      </c>
      <c r="D136">
        <v>1398.6000000000001</v>
      </c>
      <c r="E136" s="8">
        <v>41956.03</v>
      </c>
      <c r="F136" s="8">
        <v>497309.46</v>
      </c>
      <c r="G136" s="8">
        <v>455353.43000000005</v>
      </c>
    </row>
    <row r="137" spans="1:7" x14ac:dyDescent="0.55000000000000004">
      <c r="A137">
        <v>2017</v>
      </c>
      <c r="B137" t="s">
        <v>542</v>
      </c>
      <c r="C137" t="s">
        <v>141</v>
      </c>
      <c r="D137">
        <v>346.2</v>
      </c>
      <c r="E137" s="8">
        <v>1243.42</v>
      </c>
      <c r="F137" s="8">
        <v>234281.83</v>
      </c>
      <c r="G137" s="8">
        <v>233038.40999999997</v>
      </c>
    </row>
    <row r="138" spans="1:7" x14ac:dyDescent="0.55000000000000004">
      <c r="A138">
        <v>2017</v>
      </c>
      <c r="B138" t="s">
        <v>541</v>
      </c>
      <c r="C138" t="s">
        <v>142</v>
      </c>
      <c r="D138">
        <v>300.10000000000002</v>
      </c>
      <c r="E138" s="8">
        <v>1144.8399999999999</v>
      </c>
      <c r="F138" s="8">
        <v>159786.53</v>
      </c>
      <c r="G138" s="8">
        <v>158641.69</v>
      </c>
    </row>
    <row r="139" spans="1:7" x14ac:dyDescent="0.55000000000000004">
      <c r="A139">
        <v>2017</v>
      </c>
      <c r="B139" t="s">
        <v>540</v>
      </c>
      <c r="C139" t="s">
        <v>143</v>
      </c>
      <c r="D139">
        <v>637.6</v>
      </c>
      <c r="E139" s="8">
        <v>19475.73</v>
      </c>
      <c r="F139" s="8">
        <v>173670.84</v>
      </c>
      <c r="G139" s="8">
        <v>154195.10999999999</v>
      </c>
    </row>
    <row r="140" spans="1:7" x14ac:dyDescent="0.55000000000000004">
      <c r="A140">
        <v>2017</v>
      </c>
      <c r="B140" t="s">
        <v>539</v>
      </c>
      <c r="C140" t="s">
        <v>144</v>
      </c>
      <c r="D140">
        <v>629.29999999999995</v>
      </c>
      <c r="E140" s="8">
        <v>430.9</v>
      </c>
      <c r="F140" s="8">
        <v>279956.5</v>
      </c>
      <c r="G140" s="8">
        <v>279525.59999999998</v>
      </c>
    </row>
    <row r="141" spans="1:7" x14ac:dyDescent="0.55000000000000004">
      <c r="A141">
        <v>2017</v>
      </c>
      <c r="B141" t="s">
        <v>538</v>
      </c>
      <c r="C141" t="s">
        <v>145</v>
      </c>
      <c r="D141">
        <v>538</v>
      </c>
      <c r="E141" s="8">
        <v>13000.28</v>
      </c>
      <c r="F141" s="8">
        <v>291263.13</v>
      </c>
      <c r="G141" s="8">
        <v>278262.84999999998</v>
      </c>
    </row>
    <row r="142" spans="1:7" x14ac:dyDescent="0.55000000000000004">
      <c r="A142">
        <v>2017</v>
      </c>
      <c r="B142" t="s">
        <v>537</v>
      </c>
      <c r="C142" t="s">
        <v>146</v>
      </c>
      <c r="D142">
        <v>1193.4000000000001</v>
      </c>
      <c r="E142" s="8">
        <v>60062.69</v>
      </c>
      <c r="F142" s="8">
        <v>712274.18</v>
      </c>
      <c r="G142" s="8">
        <v>652211.49</v>
      </c>
    </row>
    <row r="143" spans="1:7" x14ac:dyDescent="0.55000000000000004">
      <c r="A143">
        <v>2017</v>
      </c>
      <c r="B143" t="s">
        <v>536</v>
      </c>
      <c r="C143" t="s">
        <v>147</v>
      </c>
      <c r="D143">
        <v>459.6</v>
      </c>
      <c r="E143" s="8">
        <v>812.52</v>
      </c>
      <c r="F143" s="8">
        <v>244259.21</v>
      </c>
      <c r="G143" s="8">
        <v>243446.69</v>
      </c>
    </row>
    <row r="144" spans="1:7" x14ac:dyDescent="0.55000000000000004">
      <c r="A144">
        <v>2017</v>
      </c>
      <c r="B144" t="s">
        <v>535</v>
      </c>
      <c r="C144" t="s">
        <v>148</v>
      </c>
      <c r="D144">
        <v>666</v>
      </c>
      <c r="E144" s="8">
        <v>5281.36</v>
      </c>
      <c r="F144" s="8">
        <v>176261.43</v>
      </c>
      <c r="G144" s="8">
        <v>170980.07</v>
      </c>
    </row>
    <row r="145" spans="1:7" x14ac:dyDescent="0.55000000000000004">
      <c r="A145">
        <v>2017</v>
      </c>
      <c r="B145" t="s">
        <v>534</v>
      </c>
      <c r="C145" t="s">
        <v>149</v>
      </c>
      <c r="D145">
        <v>1195.1999999999998</v>
      </c>
      <c r="E145" s="8">
        <v>25421.01</v>
      </c>
      <c r="F145" s="8">
        <v>249372.49</v>
      </c>
      <c r="G145" s="8">
        <v>223951.47999999998</v>
      </c>
    </row>
    <row r="146" spans="1:7" x14ac:dyDescent="0.55000000000000004">
      <c r="A146">
        <v>2017</v>
      </c>
      <c r="B146" t="s">
        <v>533</v>
      </c>
      <c r="C146" t="s">
        <v>150</v>
      </c>
      <c r="D146">
        <v>1408.2</v>
      </c>
      <c r="E146" s="8">
        <v>24047.91</v>
      </c>
      <c r="F146" s="8">
        <v>412551.12</v>
      </c>
      <c r="G146" s="8">
        <v>388503.21</v>
      </c>
    </row>
    <row r="147" spans="1:7" x14ac:dyDescent="0.55000000000000004">
      <c r="A147">
        <v>2017</v>
      </c>
      <c r="B147" t="s">
        <v>532</v>
      </c>
      <c r="C147" t="s">
        <v>151</v>
      </c>
      <c r="D147">
        <v>3429.2</v>
      </c>
      <c r="E147" s="8">
        <v>8322.34</v>
      </c>
      <c r="F147" s="8">
        <v>917219.48</v>
      </c>
      <c r="G147" s="8">
        <v>908897.14</v>
      </c>
    </row>
    <row r="148" spans="1:7" x14ac:dyDescent="0.55000000000000004">
      <c r="A148">
        <v>2017</v>
      </c>
      <c r="B148" t="s">
        <v>531</v>
      </c>
      <c r="C148" t="s">
        <v>152</v>
      </c>
      <c r="D148">
        <v>888.4</v>
      </c>
      <c r="E148" s="8">
        <v>430.9</v>
      </c>
      <c r="F148" s="8">
        <v>480041.38</v>
      </c>
      <c r="G148" s="8">
        <v>479610.48</v>
      </c>
    </row>
    <row r="149" spans="1:7" x14ac:dyDescent="0.55000000000000004">
      <c r="A149">
        <v>2017</v>
      </c>
      <c r="B149" t="s">
        <v>530</v>
      </c>
      <c r="C149" t="s">
        <v>153</v>
      </c>
      <c r="D149">
        <v>13981</v>
      </c>
      <c r="E149" s="8">
        <v>168754.15</v>
      </c>
      <c r="F149" s="8">
        <v>2038566.93</v>
      </c>
      <c r="G149" s="8">
        <v>1869812.78</v>
      </c>
    </row>
    <row r="150" spans="1:7" x14ac:dyDescent="0.55000000000000004">
      <c r="A150">
        <v>2017</v>
      </c>
      <c r="B150" t="s">
        <v>529</v>
      </c>
      <c r="C150" t="s">
        <v>154</v>
      </c>
      <c r="D150">
        <v>1079.3</v>
      </c>
      <c r="E150" s="8">
        <v>1625.03</v>
      </c>
      <c r="F150" s="8">
        <v>265479.81</v>
      </c>
      <c r="G150" s="8">
        <v>263854.77999999997</v>
      </c>
    </row>
    <row r="151" spans="1:7" x14ac:dyDescent="0.55000000000000004">
      <c r="A151">
        <v>2017</v>
      </c>
      <c r="B151" t="s">
        <v>528</v>
      </c>
      <c r="C151" t="s">
        <v>155</v>
      </c>
      <c r="D151">
        <v>540.70000000000005</v>
      </c>
      <c r="E151" s="8">
        <v>430.9</v>
      </c>
      <c r="F151" s="8">
        <v>137742.62</v>
      </c>
      <c r="G151" s="8">
        <v>137311.72</v>
      </c>
    </row>
    <row r="152" spans="1:7" x14ac:dyDescent="0.55000000000000004">
      <c r="A152">
        <v>2017</v>
      </c>
      <c r="B152" t="s">
        <v>527</v>
      </c>
      <c r="C152" t="s">
        <v>330</v>
      </c>
      <c r="D152">
        <v>658.8</v>
      </c>
      <c r="E152" s="8">
        <v>1625.03</v>
      </c>
      <c r="F152" s="8">
        <v>468589.34</v>
      </c>
      <c r="G152" s="8">
        <v>466964.31</v>
      </c>
    </row>
    <row r="153" spans="1:7" x14ac:dyDescent="0.55000000000000004">
      <c r="A153">
        <v>2017</v>
      </c>
      <c r="B153" t="s">
        <v>526</v>
      </c>
      <c r="C153" t="s">
        <v>156</v>
      </c>
      <c r="D153">
        <v>389.2</v>
      </c>
      <c r="E153" s="8">
        <v>4775.33</v>
      </c>
      <c r="F153" s="8">
        <v>123950.12</v>
      </c>
      <c r="G153" s="8">
        <v>119174.79</v>
      </c>
    </row>
    <row r="154" spans="1:7" x14ac:dyDescent="0.55000000000000004">
      <c r="A154">
        <v>2017</v>
      </c>
      <c r="B154" t="s">
        <v>525</v>
      </c>
      <c r="C154" t="s">
        <v>342</v>
      </c>
      <c r="D154">
        <v>1248.4000000000001</v>
      </c>
      <c r="E154" s="8">
        <v>381.61</v>
      </c>
      <c r="F154" s="8">
        <v>696653.03</v>
      </c>
      <c r="G154" s="8">
        <v>696271.42</v>
      </c>
    </row>
    <row r="155" spans="1:7" x14ac:dyDescent="0.55000000000000004">
      <c r="A155">
        <v>2017</v>
      </c>
      <c r="B155" t="s">
        <v>524</v>
      </c>
      <c r="C155" t="s">
        <v>157</v>
      </c>
      <c r="D155">
        <v>886</v>
      </c>
      <c r="E155" s="8">
        <v>37207.51</v>
      </c>
      <c r="F155" s="8">
        <v>287607.46000000002</v>
      </c>
      <c r="G155" s="8">
        <v>250399.95</v>
      </c>
    </row>
    <row r="156" spans="1:7" x14ac:dyDescent="0.55000000000000004">
      <c r="A156">
        <v>2017</v>
      </c>
      <c r="B156" t="s">
        <v>523</v>
      </c>
      <c r="C156" t="s">
        <v>158</v>
      </c>
      <c r="D156">
        <v>6894.2</v>
      </c>
      <c r="E156" s="8">
        <v>98991.98</v>
      </c>
      <c r="F156" s="8">
        <v>2582558.42</v>
      </c>
      <c r="G156" s="8">
        <v>2483566.44</v>
      </c>
    </row>
    <row r="157" spans="1:7" x14ac:dyDescent="0.55000000000000004">
      <c r="A157">
        <v>2017</v>
      </c>
      <c r="B157" t="s">
        <v>522</v>
      </c>
      <c r="C157" t="s">
        <v>159</v>
      </c>
      <c r="D157">
        <v>1913.7</v>
      </c>
      <c r="E157" s="8">
        <v>2968.2</v>
      </c>
      <c r="F157" s="8">
        <v>216316.24</v>
      </c>
      <c r="G157" s="8">
        <v>213348.03999999998</v>
      </c>
    </row>
    <row r="158" spans="1:7" x14ac:dyDescent="0.55000000000000004">
      <c r="A158">
        <v>2017</v>
      </c>
      <c r="B158" t="s">
        <v>521</v>
      </c>
      <c r="C158" t="s">
        <v>160</v>
      </c>
      <c r="D158">
        <v>349</v>
      </c>
      <c r="E158" s="8">
        <v>0</v>
      </c>
      <c r="F158" s="8">
        <v>146252.26</v>
      </c>
      <c r="G158" s="8">
        <v>146252.26</v>
      </c>
    </row>
    <row r="159" spans="1:7" x14ac:dyDescent="0.55000000000000004">
      <c r="A159">
        <v>2017</v>
      </c>
      <c r="B159" t="s">
        <v>520</v>
      </c>
      <c r="C159" t="s">
        <v>161</v>
      </c>
      <c r="D159">
        <v>467.3</v>
      </c>
      <c r="E159" s="8">
        <v>1815.84</v>
      </c>
      <c r="F159" s="8">
        <v>146403.81</v>
      </c>
      <c r="G159" s="8">
        <v>144587.97</v>
      </c>
    </row>
    <row r="160" spans="1:7" x14ac:dyDescent="0.55000000000000004">
      <c r="A160">
        <v>2017</v>
      </c>
      <c r="B160" t="s">
        <v>519</v>
      </c>
      <c r="C160" t="s">
        <v>162</v>
      </c>
      <c r="D160">
        <v>1744.8</v>
      </c>
      <c r="E160" s="8">
        <v>8429.57</v>
      </c>
      <c r="F160" s="8">
        <v>444819.96</v>
      </c>
      <c r="G160" s="8">
        <v>436390.39</v>
      </c>
    </row>
    <row r="161" spans="1:7" x14ac:dyDescent="0.55000000000000004">
      <c r="A161">
        <v>2017</v>
      </c>
      <c r="B161" t="s">
        <v>518</v>
      </c>
      <c r="C161" t="s">
        <v>163</v>
      </c>
      <c r="D161">
        <v>615</v>
      </c>
      <c r="E161" s="8">
        <v>0</v>
      </c>
      <c r="F161" s="8">
        <v>370396.98</v>
      </c>
      <c r="G161" s="8">
        <v>370396.98</v>
      </c>
    </row>
    <row r="162" spans="1:7" x14ac:dyDescent="0.55000000000000004">
      <c r="A162">
        <v>2017</v>
      </c>
      <c r="B162" t="s">
        <v>517</v>
      </c>
      <c r="C162" t="s">
        <v>164</v>
      </c>
      <c r="D162">
        <v>299.89999999999998</v>
      </c>
      <c r="E162" s="8">
        <v>0</v>
      </c>
      <c r="F162" s="8">
        <v>134674.59</v>
      </c>
      <c r="G162" s="8">
        <v>134674.59</v>
      </c>
    </row>
    <row r="163" spans="1:7" x14ac:dyDescent="0.55000000000000004">
      <c r="A163">
        <v>2017</v>
      </c>
      <c r="B163" t="s">
        <v>516</v>
      </c>
      <c r="C163" t="s">
        <v>165</v>
      </c>
      <c r="D163">
        <v>291</v>
      </c>
      <c r="E163" s="8">
        <v>0</v>
      </c>
      <c r="F163" s="8">
        <v>98864.56</v>
      </c>
      <c r="G163" s="8">
        <v>98864.56</v>
      </c>
    </row>
    <row r="164" spans="1:7" x14ac:dyDescent="0.55000000000000004">
      <c r="A164">
        <v>2017</v>
      </c>
      <c r="B164" t="s">
        <v>515</v>
      </c>
      <c r="C164" t="s">
        <v>166</v>
      </c>
      <c r="D164">
        <v>581.9</v>
      </c>
      <c r="E164" s="8">
        <v>9208.7999999999993</v>
      </c>
      <c r="F164" s="8">
        <v>341038.42</v>
      </c>
      <c r="G164" s="8">
        <v>331829.62</v>
      </c>
    </row>
    <row r="165" spans="1:7" x14ac:dyDescent="0.55000000000000004">
      <c r="A165">
        <v>2017</v>
      </c>
      <c r="B165" t="s">
        <v>514</v>
      </c>
      <c r="C165" t="s">
        <v>167</v>
      </c>
      <c r="D165">
        <v>2167.1</v>
      </c>
      <c r="E165" s="8">
        <v>111225.86</v>
      </c>
      <c r="F165" s="8">
        <v>626517.72</v>
      </c>
      <c r="G165" s="8">
        <v>515291.86</v>
      </c>
    </row>
    <row r="166" spans="1:7" x14ac:dyDescent="0.55000000000000004">
      <c r="A166">
        <v>2017</v>
      </c>
      <c r="B166" t="s">
        <v>513</v>
      </c>
      <c r="C166" t="s">
        <v>168</v>
      </c>
      <c r="D166">
        <v>467.1</v>
      </c>
      <c r="E166" s="8">
        <v>0</v>
      </c>
      <c r="F166" s="8">
        <v>133715.06</v>
      </c>
      <c r="G166" s="8">
        <v>133715.06</v>
      </c>
    </row>
    <row r="167" spans="1:7" x14ac:dyDescent="0.55000000000000004">
      <c r="A167">
        <v>2017</v>
      </c>
      <c r="B167" t="s">
        <v>512</v>
      </c>
      <c r="C167" t="s">
        <v>169</v>
      </c>
      <c r="D167">
        <v>2494.5</v>
      </c>
      <c r="E167" s="8">
        <v>30856.58</v>
      </c>
      <c r="F167" s="8">
        <v>911227.97</v>
      </c>
      <c r="G167" s="8">
        <v>880371.39</v>
      </c>
    </row>
    <row r="168" spans="1:7" x14ac:dyDescent="0.55000000000000004">
      <c r="A168">
        <v>2017</v>
      </c>
      <c r="B168" t="s">
        <v>511</v>
      </c>
      <c r="C168" t="s">
        <v>170</v>
      </c>
      <c r="D168">
        <v>823.5</v>
      </c>
      <c r="E168" s="8">
        <v>381.61</v>
      </c>
      <c r="F168" s="8">
        <v>288252.38</v>
      </c>
      <c r="G168" s="8">
        <v>287870.77</v>
      </c>
    </row>
    <row r="169" spans="1:7" x14ac:dyDescent="0.55000000000000004">
      <c r="A169">
        <v>2017</v>
      </c>
      <c r="B169" t="s">
        <v>510</v>
      </c>
      <c r="C169" t="s">
        <v>171</v>
      </c>
      <c r="D169">
        <v>7312.5</v>
      </c>
      <c r="E169" s="8">
        <v>118704.45</v>
      </c>
      <c r="F169" s="8">
        <v>1920694.51</v>
      </c>
      <c r="G169" s="8">
        <v>1801990.06</v>
      </c>
    </row>
    <row r="170" spans="1:7" x14ac:dyDescent="0.55000000000000004">
      <c r="A170">
        <v>2017</v>
      </c>
      <c r="B170" t="s">
        <v>509</v>
      </c>
      <c r="C170" t="s">
        <v>172</v>
      </c>
      <c r="D170">
        <v>662.9</v>
      </c>
      <c r="E170" s="8">
        <v>1027.97</v>
      </c>
      <c r="F170" s="8">
        <v>108544.81</v>
      </c>
      <c r="G170" s="8">
        <v>107516.84</v>
      </c>
    </row>
    <row r="171" spans="1:7" x14ac:dyDescent="0.55000000000000004">
      <c r="A171">
        <v>2017</v>
      </c>
      <c r="B171" t="s">
        <v>508</v>
      </c>
      <c r="C171" t="s">
        <v>173</v>
      </c>
      <c r="D171">
        <v>552</v>
      </c>
      <c r="E171" s="8">
        <v>0</v>
      </c>
      <c r="F171" s="8">
        <v>234988.58</v>
      </c>
      <c r="G171" s="8">
        <v>234988.58</v>
      </c>
    </row>
    <row r="172" spans="1:7" x14ac:dyDescent="0.55000000000000004">
      <c r="A172">
        <v>2017</v>
      </c>
      <c r="B172" t="s">
        <v>507</v>
      </c>
      <c r="C172" t="s">
        <v>174</v>
      </c>
      <c r="D172">
        <v>359.5</v>
      </c>
      <c r="E172" s="8">
        <v>1243.42</v>
      </c>
      <c r="F172" s="8">
        <v>61851.93</v>
      </c>
      <c r="G172" s="8">
        <v>60608.51</v>
      </c>
    </row>
    <row r="173" spans="1:7" x14ac:dyDescent="0.55000000000000004">
      <c r="A173">
        <v>2017</v>
      </c>
      <c r="B173" t="s">
        <v>506</v>
      </c>
      <c r="C173" t="s">
        <v>175</v>
      </c>
      <c r="D173">
        <v>729.7</v>
      </c>
      <c r="E173" s="8">
        <v>0</v>
      </c>
      <c r="F173" s="8">
        <v>430645.15</v>
      </c>
      <c r="G173" s="8">
        <v>430645.15</v>
      </c>
    </row>
    <row r="174" spans="1:7" x14ac:dyDescent="0.55000000000000004">
      <c r="A174">
        <v>2017</v>
      </c>
      <c r="B174" t="s">
        <v>505</v>
      </c>
      <c r="C174" t="s">
        <v>176</v>
      </c>
      <c r="D174">
        <v>153.5</v>
      </c>
      <c r="E174" s="8">
        <v>1243.42</v>
      </c>
      <c r="F174" s="8">
        <v>109988.11</v>
      </c>
      <c r="G174" s="8">
        <v>108744.69</v>
      </c>
    </row>
    <row r="175" spans="1:7" x14ac:dyDescent="0.55000000000000004">
      <c r="A175">
        <v>2017</v>
      </c>
      <c r="B175" t="s">
        <v>504</v>
      </c>
      <c r="C175" t="s">
        <v>177</v>
      </c>
      <c r="D175">
        <v>452.4</v>
      </c>
      <c r="E175" s="8">
        <v>26478.81</v>
      </c>
      <c r="F175" s="8">
        <v>195554.72</v>
      </c>
      <c r="G175" s="8">
        <v>169075.91</v>
      </c>
    </row>
    <row r="176" spans="1:7" x14ac:dyDescent="0.55000000000000004">
      <c r="A176">
        <v>2017</v>
      </c>
      <c r="B176" t="s">
        <v>503</v>
      </c>
      <c r="C176" t="s">
        <v>178</v>
      </c>
      <c r="D176">
        <v>672.5</v>
      </c>
      <c r="E176" s="8">
        <v>1674.33</v>
      </c>
      <c r="F176" s="8">
        <v>129886.31</v>
      </c>
      <c r="G176" s="8">
        <v>128211.98</v>
      </c>
    </row>
    <row r="177" spans="1:7" x14ac:dyDescent="0.55000000000000004">
      <c r="A177">
        <v>2017</v>
      </c>
      <c r="B177" t="s">
        <v>502</v>
      </c>
      <c r="C177" t="s">
        <v>331</v>
      </c>
      <c r="D177">
        <v>534.29999999999995</v>
      </c>
      <c r="E177" s="8">
        <v>861.81</v>
      </c>
      <c r="F177" s="8">
        <v>339020.09</v>
      </c>
      <c r="G177" s="8">
        <v>338158.28</v>
      </c>
    </row>
    <row r="178" spans="1:7" x14ac:dyDescent="0.55000000000000004">
      <c r="A178">
        <v>2017</v>
      </c>
      <c r="B178" t="s">
        <v>501</v>
      </c>
      <c r="C178" t="s">
        <v>179</v>
      </c>
      <c r="D178">
        <v>649</v>
      </c>
      <c r="E178" s="8">
        <v>17857.099999999999</v>
      </c>
      <c r="F178" s="8">
        <v>592060.80000000005</v>
      </c>
      <c r="G178" s="8">
        <v>574203.70000000007</v>
      </c>
    </row>
    <row r="179" spans="1:7" x14ac:dyDescent="0.55000000000000004">
      <c r="A179">
        <v>2017</v>
      </c>
      <c r="B179" t="s">
        <v>500</v>
      </c>
      <c r="C179" t="s">
        <v>337</v>
      </c>
      <c r="D179">
        <v>679.4</v>
      </c>
      <c r="E179" s="8">
        <v>10046.530000000001</v>
      </c>
      <c r="F179" s="8">
        <v>354966.95</v>
      </c>
      <c r="G179" s="8">
        <v>344920.42</v>
      </c>
    </row>
    <row r="180" spans="1:7" x14ac:dyDescent="0.55000000000000004">
      <c r="A180">
        <v>2017</v>
      </c>
      <c r="B180" t="s">
        <v>499</v>
      </c>
      <c r="C180" t="s">
        <v>180</v>
      </c>
      <c r="D180">
        <v>1362.8</v>
      </c>
      <c r="E180" s="8">
        <v>22578.23</v>
      </c>
      <c r="F180" s="8">
        <v>458138.11</v>
      </c>
      <c r="G180" s="8">
        <v>435559.88</v>
      </c>
    </row>
    <row r="181" spans="1:7" x14ac:dyDescent="0.55000000000000004">
      <c r="A181">
        <v>2017</v>
      </c>
      <c r="B181" t="s">
        <v>498</v>
      </c>
      <c r="C181" t="s">
        <v>181</v>
      </c>
      <c r="D181">
        <v>698.4</v>
      </c>
      <c r="E181" s="8">
        <v>8125.17</v>
      </c>
      <c r="F181" s="8">
        <v>280533.49</v>
      </c>
      <c r="G181" s="8">
        <v>272408.32000000001</v>
      </c>
    </row>
    <row r="182" spans="1:7" x14ac:dyDescent="0.55000000000000004">
      <c r="A182">
        <v>2017</v>
      </c>
      <c r="B182" t="s">
        <v>497</v>
      </c>
      <c r="C182" t="s">
        <v>182</v>
      </c>
      <c r="D182">
        <v>431</v>
      </c>
      <c r="E182" s="8">
        <v>3160.22</v>
      </c>
      <c r="F182" s="8">
        <v>206319.12</v>
      </c>
      <c r="G182" s="8">
        <v>203158.9</v>
      </c>
    </row>
    <row r="183" spans="1:7" x14ac:dyDescent="0.55000000000000004">
      <c r="A183">
        <v>2017</v>
      </c>
      <c r="B183" t="s">
        <v>496</v>
      </c>
      <c r="C183" t="s">
        <v>183</v>
      </c>
      <c r="D183">
        <v>1934.2</v>
      </c>
      <c r="E183" s="8">
        <v>19844.45</v>
      </c>
      <c r="F183" s="8">
        <v>242998.63</v>
      </c>
      <c r="G183" s="8">
        <v>223154.18</v>
      </c>
    </row>
    <row r="184" spans="1:7" x14ac:dyDescent="0.55000000000000004">
      <c r="A184">
        <v>2017</v>
      </c>
      <c r="B184" t="s">
        <v>495</v>
      </c>
      <c r="C184" t="s">
        <v>184</v>
      </c>
      <c r="D184">
        <v>5433.5</v>
      </c>
      <c r="E184" s="8">
        <v>17863.98</v>
      </c>
      <c r="F184" s="8">
        <v>984384.41</v>
      </c>
      <c r="G184" s="8">
        <v>966520.43</v>
      </c>
    </row>
    <row r="185" spans="1:7" x14ac:dyDescent="0.55000000000000004">
      <c r="A185">
        <v>2017</v>
      </c>
      <c r="B185" t="s">
        <v>494</v>
      </c>
      <c r="C185" t="s">
        <v>185</v>
      </c>
      <c r="D185">
        <v>510</v>
      </c>
      <c r="E185" s="8">
        <v>7245.08</v>
      </c>
      <c r="F185" s="8">
        <v>219108.42</v>
      </c>
      <c r="G185" s="8">
        <v>211863.34000000003</v>
      </c>
    </row>
    <row r="186" spans="1:7" x14ac:dyDescent="0.55000000000000004">
      <c r="A186">
        <v>2017</v>
      </c>
      <c r="B186" t="s">
        <v>493</v>
      </c>
      <c r="C186" t="s">
        <v>186</v>
      </c>
      <c r="D186">
        <v>3721.9</v>
      </c>
      <c r="E186" s="8">
        <v>59902.45</v>
      </c>
      <c r="F186" s="8">
        <v>1042222.22</v>
      </c>
      <c r="G186" s="8">
        <v>982319.77</v>
      </c>
    </row>
    <row r="187" spans="1:7" x14ac:dyDescent="0.55000000000000004">
      <c r="A187">
        <v>2017</v>
      </c>
      <c r="B187" t="s">
        <v>492</v>
      </c>
      <c r="C187" t="s">
        <v>187</v>
      </c>
      <c r="D187">
        <v>1400.7</v>
      </c>
      <c r="E187" s="8">
        <v>98636.31</v>
      </c>
      <c r="F187" s="8">
        <v>341009.73</v>
      </c>
      <c r="G187" s="8">
        <v>242373.41999999998</v>
      </c>
    </row>
    <row r="188" spans="1:7" x14ac:dyDescent="0.55000000000000004">
      <c r="A188">
        <v>2017</v>
      </c>
      <c r="B188" t="s">
        <v>491</v>
      </c>
      <c r="C188" t="s">
        <v>188</v>
      </c>
      <c r="D188">
        <v>780.9</v>
      </c>
      <c r="E188" s="8">
        <v>812.52</v>
      </c>
      <c r="F188" s="8">
        <v>504723.93</v>
      </c>
      <c r="G188" s="8">
        <v>503911.41</v>
      </c>
    </row>
    <row r="189" spans="1:7" x14ac:dyDescent="0.55000000000000004">
      <c r="A189">
        <v>2017</v>
      </c>
      <c r="B189" t="s">
        <v>490</v>
      </c>
      <c r="C189" t="s">
        <v>189</v>
      </c>
      <c r="D189">
        <v>343.1</v>
      </c>
      <c r="E189" s="8">
        <v>0</v>
      </c>
      <c r="F189" s="8">
        <v>118234.08</v>
      </c>
      <c r="G189" s="8">
        <v>118234.08</v>
      </c>
    </row>
    <row r="190" spans="1:7" x14ac:dyDescent="0.55000000000000004">
      <c r="A190">
        <v>2017</v>
      </c>
      <c r="B190" t="s">
        <v>489</v>
      </c>
      <c r="C190" t="s">
        <v>190</v>
      </c>
      <c r="D190">
        <v>552.9</v>
      </c>
      <c r="E190" s="8">
        <v>190.81</v>
      </c>
      <c r="F190" s="8">
        <v>348353.83</v>
      </c>
      <c r="G190" s="8">
        <v>348163.02</v>
      </c>
    </row>
    <row r="191" spans="1:7" x14ac:dyDescent="0.55000000000000004">
      <c r="A191">
        <v>2017</v>
      </c>
      <c r="B191" t="s">
        <v>488</v>
      </c>
      <c r="C191" t="s">
        <v>191</v>
      </c>
      <c r="D191">
        <v>1258.4000000000001</v>
      </c>
      <c r="E191" s="8">
        <v>14226.74</v>
      </c>
      <c r="F191" s="8">
        <v>599363.81000000006</v>
      </c>
      <c r="G191" s="8">
        <v>585137.07000000007</v>
      </c>
    </row>
    <row r="192" spans="1:7" x14ac:dyDescent="0.55000000000000004">
      <c r="A192">
        <v>2017</v>
      </c>
      <c r="B192" t="s">
        <v>487</v>
      </c>
      <c r="C192" t="s">
        <v>192</v>
      </c>
      <c r="D192">
        <v>842.1</v>
      </c>
      <c r="E192" s="8">
        <v>1003.32</v>
      </c>
      <c r="F192" s="8">
        <v>229987.57</v>
      </c>
      <c r="G192" s="8">
        <v>228984.25</v>
      </c>
    </row>
    <row r="193" spans="1:7" x14ac:dyDescent="0.55000000000000004">
      <c r="A193">
        <v>2017</v>
      </c>
      <c r="B193" t="s">
        <v>486</v>
      </c>
      <c r="C193" t="s">
        <v>193</v>
      </c>
      <c r="D193">
        <v>777.4</v>
      </c>
      <c r="E193" s="8">
        <v>0</v>
      </c>
      <c r="F193" s="8">
        <v>367444</v>
      </c>
      <c r="G193" s="8">
        <v>367444</v>
      </c>
    </row>
    <row r="194" spans="1:7" x14ac:dyDescent="0.55000000000000004">
      <c r="A194">
        <v>2017</v>
      </c>
      <c r="B194" t="s">
        <v>485</v>
      </c>
      <c r="C194" t="s">
        <v>194</v>
      </c>
      <c r="D194">
        <v>526.20000000000005</v>
      </c>
      <c r="E194" s="8">
        <v>1575.74</v>
      </c>
      <c r="F194" s="8">
        <v>167687.46</v>
      </c>
      <c r="G194" s="8">
        <v>166111.72</v>
      </c>
    </row>
    <row r="195" spans="1:7" x14ac:dyDescent="0.55000000000000004">
      <c r="A195">
        <v>2017</v>
      </c>
      <c r="B195" t="s">
        <v>484</v>
      </c>
      <c r="C195" t="s">
        <v>195</v>
      </c>
      <c r="D195">
        <v>1024</v>
      </c>
      <c r="E195" s="8">
        <v>15936.03</v>
      </c>
      <c r="F195" s="8">
        <v>304828.65999999997</v>
      </c>
      <c r="G195" s="8">
        <v>288892.62999999995</v>
      </c>
    </row>
    <row r="196" spans="1:7" x14ac:dyDescent="0.55000000000000004">
      <c r="A196">
        <v>2017</v>
      </c>
      <c r="B196" t="s">
        <v>483</v>
      </c>
      <c r="C196" t="s">
        <v>196</v>
      </c>
      <c r="D196">
        <v>330.4</v>
      </c>
      <c r="E196" s="8">
        <v>0</v>
      </c>
      <c r="F196" s="8">
        <v>145813.04</v>
      </c>
      <c r="G196" s="8">
        <v>145813.04</v>
      </c>
    </row>
    <row r="197" spans="1:7" x14ac:dyDescent="0.55000000000000004">
      <c r="A197">
        <v>2017</v>
      </c>
      <c r="B197" t="s">
        <v>482</v>
      </c>
      <c r="C197" t="s">
        <v>197</v>
      </c>
      <c r="D197">
        <v>258.3</v>
      </c>
      <c r="E197" s="8">
        <v>0</v>
      </c>
      <c r="F197" s="8">
        <v>148764.89000000001</v>
      </c>
      <c r="G197" s="8">
        <v>148764.89000000001</v>
      </c>
    </row>
    <row r="198" spans="1:7" x14ac:dyDescent="0.55000000000000004">
      <c r="A198">
        <v>2017</v>
      </c>
      <c r="B198" t="s">
        <v>481</v>
      </c>
      <c r="C198" t="s">
        <v>198</v>
      </c>
      <c r="D198">
        <v>213.4</v>
      </c>
      <c r="E198" s="8">
        <v>0</v>
      </c>
      <c r="F198" s="8">
        <v>57727.08</v>
      </c>
      <c r="G198" s="8">
        <v>57727.08</v>
      </c>
    </row>
    <row r="199" spans="1:7" x14ac:dyDescent="0.55000000000000004">
      <c r="A199">
        <v>2017</v>
      </c>
      <c r="B199" t="s">
        <v>480</v>
      </c>
      <c r="C199" t="s">
        <v>199</v>
      </c>
      <c r="D199">
        <v>222.5</v>
      </c>
      <c r="E199" s="8">
        <v>0</v>
      </c>
      <c r="F199" s="8">
        <v>109770.31</v>
      </c>
      <c r="G199" s="8">
        <v>109770.31</v>
      </c>
    </row>
    <row r="200" spans="1:7" x14ac:dyDescent="0.55000000000000004">
      <c r="A200">
        <v>2017</v>
      </c>
      <c r="B200" t="s">
        <v>479</v>
      </c>
      <c r="C200" t="s">
        <v>200</v>
      </c>
      <c r="D200">
        <v>632.79999999999995</v>
      </c>
      <c r="E200" s="8">
        <v>621.71</v>
      </c>
      <c r="F200" s="8">
        <v>319068.71999999997</v>
      </c>
      <c r="G200" s="8">
        <v>318447.00999999995</v>
      </c>
    </row>
    <row r="201" spans="1:7" x14ac:dyDescent="0.55000000000000004">
      <c r="A201">
        <v>2017</v>
      </c>
      <c r="B201" t="s">
        <v>478</v>
      </c>
      <c r="C201" t="s">
        <v>201</v>
      </c>
      <c r="D201">
        <v>1970.2</v>
      </c>
      <c r="E201" s="8">
        <v>1243.42</v>
      </c>
      <c r="F201" s="8">
        <v>608188.74</v>
      </c>
      <c r="G201" s="8">
        <v>606945.31999999995</v>
      </c>
    </row>
    <row r="202" spans="1:7" x14ac:dyDescent="0.55000000000000004">
      <c r="A202">
        <v>2017</v>
      </c>
      <c r="B202" t="s">
        <v>477</v>
      </c>
      <c r="C202" t="s">
        <v>202</v>
      </c>
      <c r="D202">
        <v>1124.2</v>
      </c>
      <c r="E202" s="8">
        <v>3828.85</v>
      </c>
      <c r="F202" s="8">
        <v>187249.33</v>
      </c>
      <c r="G202" s="8">
        <v>183420.47999999998</v>
      </c>
    </row>
    <row r="203" spans="1:7" x14ac:dyDescent="0.55000000000000004">
      <c r="A203">
        <v>2017</v>
      </c>
      <c r="B203" t="s">
        <v>476</v>
      </c>
      <c r="C203" t="s">
        <v>203</v>
      </c>
      <c r="D203">
        <v>264.39999999999998</v>
      </c>
      <c r="E203" s="8">
        <v>0</v>
      </c>
      <c r="F203" s="8">
        <v>96404.38</v>
      </c>
      <c r="G203" s="8">
        <v>96404.38</v>
      </c>
    </row>
    <row r="204" spans="1:7" x14ac:dyDescent="0.55000000000000004">
      <c r="A204">
        <v>2017</v>
      </c>
      <c r="B204" t="s">
        <v>475</v>
      </c>
      <c r="C204" t="s">
        <v>204</v>
      </c>
      <c r="D204">
        <v>5084.2</v>
      </c>
      <c r="E204" s="8">
        <v>16692.04</v>
      </c>
      <c r="F204" s="8">
        <v>1028210.88</v>
      </c>
      <c r="G204" s="8">
        <v>1011518.84</v>
      </c>
    </row>
    <row r="205" spans="1:7" x14ac:dyDescent="0.55000000000000004">
      <c r="A205">
        <v>2017</v>
      </c>
      <c r="B205" t="s">
        <v>474</v>
      </c>
      <c r="C205" t="s">
        <v>205</v>
      </c>
      <c r="D205">
        <v>623.29999999999995</v>
      </c>
      <c r="E205" s="8">
        <v>0</v>
      </c>
      <c r="F205" s="8">
        <v>249214.66</v>
      </c>
      <c r="G205" s="8">
        <v>249214.66</v>
      </c>
    </row>
    <row r="206" spans="1:7" x14ac:dyDescent="0.55000000000000004">
      <c r="A206">
        <v>2017</v>
      </c>
      <c r="B206" t="s">
        <v>473</v>
      </c>
      <c r="C206" t="s">
        <v>206</v>
      </c>
      <c r="D206">
        <v>1548.1</v>
      </c>
      <c r="E206" s="8">
        <v>2105.23</v>
      </c>
      <c r="F206" s="8">
        <v>294485.62</v>
      </c>
      <c r="G206" s="8">
        <v>292380.39</v>
      </c>
    </row>
    <row r="207" spans="1:7" x14ac:dyDescent="0.55000000000000004">
      <c r="A207">
        <v>2017</v>
      </c>
      <c r="B207" t="s">
        <v>472</v>
      </c>
      <c r="C207" t="s">
        <v>207</v>
      </c>
      <c r="D207">
        <v>470.8</v>
      </c>
      <c r="E207" s="8">
        <v>3299.36</v>
      </c>
      <c r="F207" s="8">
        <v>240626.81</v>
      </c>
      <c r="G207" s="8">
        <v>237327.45</v>
      </c>
    </row>
    <row r="208" spans="1:7" x14ac:dyDescent="0.55000000000000004">
      <c r="A208">
        <v>2017</v>
      </c>
      <c r="B208" t="s">
        <v>471</v>
      </c>
      <c r="C208" t="s">
        <v>208</v>
      </c>
      <c r="D208">
        <v>960</v>
      </c>
      <c r="E208" s="8">
        <v>34992.559999999998</v>
      </c>
      <c r="F208" s="8">
        <v>426216.47</v>
      </c>
      <c r="G208" s="8">
        <v>391223.91</v>
      </c>
    </row>
    <row r="209" spans="1:7" x14ac:dyDescent="0.55000000000000004">
      <c r="A209">
        <v>2017</v>
      </c>
      <c r="B209" t="s">
        <v>470</v>
      </c>
      <c r="C209" t="s">
        <v>209</v>
      </c>
      <c r="D209">
        <v>492.3</v>
      </c>
      <c r="E209" s="8">
        <v>0</v>
      </c>
      <c r="F209" s="8">
        <v>172017.3</v>
      </c>
      <c r="G209" s="8">
        <v>172017.3</v>
      </c>
    </row>
    <row r="210" spans="1:7" x14ac:dyDescent="0.55000000000000004">
      <c r="A210">
        <v>2017</v>
      </c>
      <c r="B210" t="s">
        <v>469</v>
      </c>
      <c r="C210" t="s">
        <v>210</v>
      </c>
      <c r="D210">
        <v>2965.2</v>
      </c>
      <c r="E210" s="8">
        <v>15116.39</v>
      </c>
      <c r="F210" s="8">
        <v>721926.46</v>
      </c>
      <c r="G210" s="8">
        <v>706810.07</v>
      </c>
    </row>
    <row r="211" spans="1:7" x14ac:dyDescent="0.55000000000000004">
      <c r="A211">
        <v>2017</v>
      </c>
      <c r="B211" t="s">
        <v>468</v>
      </c>
      <c r="C211" t="s">
        <v>332</v>
      </c>
      <c r="D211">
        <v>814.1</v>
      </c>
      <c r="E211" s="8">
        <v>7503.46</v>
      </c>
      <c r="F211" s="8">
        <v>448542.48</v>
      </c>
      <c r="G211" s="8">
        <v>441039.01999999996</v>
      </c>
    </row>
    <row r="212" spans="1:7" x14ac:dyDescent="0.55000000000000004">
      <c r="A212">
        <v>2017</v>
      </c>
      <c r="B212" t="s">
        <v>467</v>
      </c>
      <c r="C212" t="s">
        <v>211</v>
      </c>
      <c r="D212">
        <v>524.70000000000005</v>
      </c>
      <c r="E212" s="8">
        <v>2055.94</v>
      </c>
      <c r="F212" s="8">
        <v>289761.48</v>
      </c>
      <c r="G212" s="8">
        <v>287705.53999999998</v>
      </c>
    </row>
    <row r="213" spans="1:7" x14ac:dyDescent="0.55000000000000004">
      <c r="A213">
        <v>2017</v>
      </c>
      <c r="B213" t="s">
        <v>466</v>
      </c>
      <c r="C213" t="s">
        <v>212</v>
      </c>
      <c r="D213">
        <v>753.7</v>
      </c>
      <c r="E213" s="8">
        <v>0</v>
      </c>
      <c r="F213" s="8">
        <v>350263.12</v>
      </c>
      <c r="G213" s="8">
        <v>350263.12</v>
      </c>
    </row>
    <row r="214" spans="1:7" x14ac:dyDescent="0.55000000000000004">
      <c r="A214">
        <v>2017</v>
      </c>
      <c r="B214" t="s">
        <v>465</v>
      </c>
      <c r="C214" t="s">
        <v>213</v>
      </c>
      <c r="D214">
        <v>195.3</v>
      </c>
      <c r="E214" s="8">
        <v>0</v>
      </c>
      <c r="F214" s="8">
        <v>165906.37</v>
      </c>
      <c r="G214" s="8">
        <v>165906.37</v>
      </c>
    </row>
    <row r="215" spans="1:7" x14ac:dyDescent="0.55000000000000004">
      <c r="A215">
        <v>2017</v>
      </c>
      <c r="B215" t="s">
        <v>464</v>
      </c>
      <c r="C215" t="s">
        <v>214</v>
      </c>
      <c r="D215">
        <v>509.5</v>
      </c>
      <c r="E215" s="8">
        <v>13238.28</v>
      </c>
      <c r="F215" s="8">
        <v>228092.3</v>
      </c>
      <c r="G215" s="8">
        <v>214854.02</v>
      </c>
    </row>
    <row r="216" spans="1:7" x14ac:dyDescent="0.55000000000000004">
      <c r="A216">
        <v>2017</v>
      </c>
      <c r="B216" t="s">
        <v>463</v>
      </c>
      <c r="C216" t="s">
        <v>215</v>
      </c>
      <c r="D216">
        <v>641.20000000000005</v>
      </c>
      <c r="E216" s="8">
        <v>0</v>
      </c>
      <c r="F216" s="8">
        <v>240841.73</v>
      </c>
      <c r="G216" s="8">
        <v>240841.73</v>
      </c>
    </row>
    <row r="217" spans="1:7" x14ac:dyDescent="0.55000000000000004">
      <c r="A217">
        <v>2017</v>
      </c>
      <c r="B217" t="s">
        <v>462</v>
      </c>
      <c r="C217" t="s">
        <v>216</v>
      </c>
      <c r="D217">
        <v>261.60000000000002</v>
      </c>
      <c r="E217" s="8">
        <v>13000.28</v>
      </c>
      <c r="F217" s="8">
        <v>189024.45</v>
      </c>
      <c r="G217" s="8">
        <v>176024.17</v>
      </c>
    </row>
    <row r="218" spans="1:7" x14ac:dyDescent="0.55000000000000004">
      <c r="A218">
        <v>2017</v>
      </c>
      <c r="B218" t="s">
        <v>461</v>
      </c>
      <c r="C218" t="s">
        <v>217</v>
      </c>
      <c r="D218">
        <v>1565.3</v>
      </c>
      <c r="E218" s="8">
        <v>4758.24</v>
      </c>
      <c r="F218" s="8">
        <v>588958.31000000006</v>
      </c>
      <c r="G218" s="8">
        <v>584200.07000000007</v>
      </c>
    </row>
    <row r="219" spans="1:7" x14ac:dyDescent="0.55000000000000004">
      <c r="A219">
        <v>2017</v>
      </c>
      <c r="B219" t="s">
        <v>460</v>
      </c>
      <c r="C219" t="s">
        <v>218</v>
      </c>
      <c r="D219">
        <v>3062.1</v>
      </c>
      <c r="E219" s="8">
        <v>16656.61</v>
      </c>
      <c r="F219" s="8">
        <v>915353.14</v>
      </c>
      <c r="G219" s="8">
        <v>898696.53</v>
      </c>
    </row>
    <row r="220" spans="1:7" x14ac:dyDescent="0.55000000000000004">
      <c r="A220">
        <v>2017</v>
      </c>
      <c r="B220" t="s">
        <v>459</v>
      </c>
      <c r="C220" t="s">
        <v>219</v>
      </c>
      <c r="D220">
        <v>441.3</v>
      </c>
      <c r="E220" s="8">
        <v>0</v>
      </c>
      <c r="F220" s="8">
        <v>215876.16</v>
      </c>
      <c r="G220" s="8">
        <v>215876.16</v>
      </c>
    </row>
    <row r="221" spans="1:7" x14ac:dyDescent="0.55000000000000004">
      <c r="A221">
        <v>2017</v>
      </c>
      <c r="B221" t="s">
        <v>458</v>
      </c>
      <c r="C221" t="s">
        <v>220</v>
      </c>
      <c r="D221">
        <v>283.3</v>
      </c>
      <c r="E221" s="8">
        <v>0</v>
      </c>
      <c r="F221" s="8">
        <v>274686.36</v>
      </c>
      <c r="G221" s="8">
        <v>274686.36</v>
      </c>
    </row>
    <row r="222" spans="1:7" x14ac:dyDescent="0.55000000000000004">
      <c r="A222">
        <v>2017</v>
      </c>
      <c r="B222" t="s">
        <v>457</v>
      </c>
      <c r="C222" t="s">
        <v>221</v>
      </c>
      <c r="D222">
        <v>500</v>
      </c>
      <c r="E222" s="8">
        <v>0</v>
      </c>
      <c r="F222" s="8">
        <v>257371.97</v>
      </c>
      <c r="G222" s="8">
        <v>257371.97</v>
      </c>
    </row>
    <row r="223" spans="1:7" x14ac:dyDescent="0.55000000000000004">
      <c r="A223">
        <v>2017</v>
      </c>
      <c r="B223" t="s">
        <v>456</v>
      </c>
      <c r="C223" t="s">
        <v>222</v>
      </c>
      <c r="D223">
        <v>2714.5</v>
      </c>
      <c r="E223" s="8">
        <v>18011.330000000002</v>
      </c>
      <c r="F223" s="8">
        <v>500364.7</v>
      </c>
      <c r="G223" s="8">
        <v>482353.37</v>
      </c>
    </row>
    <row r="224" spans="1:7" x14ac:dyDescent="0.55000000000000004">
      <c r="A224">
        <v>2017</v>
      </c>
      <c r="B224" t="s">
        <v>455</v>
      </c>
      <c r="C224" t="s">
        <v>223</v>
      </c>
      <c r="D224">
        <v>334.4</v>
      </c>
      <c r="E224" s="8">
        <v>430.9</v>
      </c>
      <c r="F224" s="8">
        <v>168697.51</v>
      </c>
      <c r="G224" s="8">
        <v>168266.61000000002</v>
      </c>
    </row>
    <row r="225" spans="1:7" x14ac:dyDescent="0.55000000000000004">
      <c r="A225">
        <v>2017</v>
      </c>
      <c r="B225" t="s">
        <v>454</v>
      </c>
      <c r="C225" t="s">
        <v>224</v>
      </c>
      <c r="D225">
        <v>1279.1000000000001</v>
      </c>
      <c r="E225" s="8">
        <v>6934.7</v>
      </c>
      <c r="F225" s="8">
        <v>327459.62</v>
      </c>
      <c r="G225" s="8">
        <v>320524.92</v>
      </c>
    </row>
    <row r="226" spans="1:7" x14ac:dyDescent="0.55000000000000004">
      <c r="A226">
        <v>2017</v>
      </c>
      <c r="B226" t="s">
        <v>453</v>
      </c>
      <c r="C226" t="s">
        <v>225</v>
      </c>
      <c r="D226">
        <v>630.5</v>
      </c>
      <c r="E226" s="8">
        <v>2214.98</v>
      </c>
      <c r="F226" s="8">
        <v>217973.15</v>
      </c>
      <c r="G226" s="8">
        <v>215758.16999999998</v>
      </c>
    </row>
    <row r="227" spans="1:7" x14ac:dyDescent="0.55000000000000004">
      <c r="A227">
        <v>2017</v>
      </c>
      <c r="B227" t="s">
        <v>452</v>
      </c>
      <c r="C227" t="s">
        <v>226</v>
      </c>
      <c r="D227">
        <v>973.9</v>
      </c>
      <c r="E227" s="8">
        <v>1791.2</v>
      </c>
      <c r="F227" s="8">
        <v>301678.96999999997</v>
      </c>
      <c r="G227" s="8">
        <v>299887.76999999996</v>
      </c>
    </row>
    <row r="228" spans="1:7" x14ac:dyDescent="0.55000000000000004">
      <c r="A228">
        <v>2017</v>
      </c>
      <c r="B228" t="s">
        <v>451</v>
      </c>
      <c r="C228" t="s">
        <v>227</v>
      </c>
      <c r="D228">
        <v>218</v>
      </c>
      <c r="E228" s="8">
        <v>0</v>
      </c>
      <c r="F228" s="8">
        <v>164126.59</v>
      </c>
      <c r="G228" s="8">
        <v>164126.59</v>
      </c>
    </row>
    <row r="229" spans="1:7" x14ac:dyDescent="0.55000000000000004">
      <c r="A229">
        <v>2017</v>
      </c>
      <c r="B229" t="s">
        <v>450</v>
      </c>
      <c r="C229" t="s">
        <v>228</v>
      </c>
      <c r="D229">
        <v>192</v>
      </c>
      <c r="E229" s="8">
        <v>812.52</v>
      </c>
      <c r="F229" s="8">
        <v>62928.31</v>
      </c>
      <c r="G229" s="8">
        <v>62115.79</v>
      </c>
    </row>
    <row r="230" spans="1:7" x14ac:dyDescent="0.55000000000000004">
      <c r="A230">
        <v>2017</v>
      </c>
      <c r="B230" t="s">
        <v>449</v>
      </c>
      <c r="C230" t="s">
        <v>229</v>
      </c>
      <c r="D230">
        <v>920.5</v>
      </c>
      <c r="E230" s="8">
        <v>0</v>
      </c>
      <c r="F230" s="8">
        <v>303188.65999999997</v>
      </c>
      <c r="G230" s="8">
        <v>303188.65999999997</v>
      </c>
    </row>
    <row r="231" spans="1:7" x14ac:dyDescent="0.55000000000000004">
      <c r="A231">
        <v>2017</v>
      </c>
      <c r="B231" t="s">
        <v>448</v>
      </c>
      <c r="C231" t="s">
        <v>230</v>
      </c>
      <c r="D231">
        <v>2365.1999999999998</v>
      </c>
      <c r="E231" s="8">
        <v>40855.06</v>
      </c>
      <c r="F231" s="8">
        <v>751537.05</v>
      </c>
      <c r="G231" s="8">
        <v>710681.99</v>
      </c>
    </row>
    <row r="232" spans="1:7" x14ac:dyDescent="0.55000000000000004">
      <c r="A232">
        <v>2017</v>
      </c>
      <c r="B232" t="s">
        <v>447</v>
      </c>
      <c r="C232" t="s">
        <v>231</v>
      </c>
      <c r="D232">
        <v>4643.2</v>
      </c>
      <c r="E232" s="8">
        <v>3004.18</v>
      </c>
      <c r="F232" s="8">
        <v>1141371.01</v>
      </c>
      <c r="G232" s="8">
        <v>1138366.83</v>
      </c>
    </row>
    <row r="233" spans="1:7" x14ac:dyDescent="0.55000000000000004">
      <c r="A233">
        <v>2017</v>
      </c>
      <c r="B233" t="s">
        <v>446</v>
      </c>
      <c r="C233" t="s">
        <v>232</v>
      </c>
      <c r="D233">
        <v>722.9</v>
      </c>
      <c r="E233" s="8">
        <v>1409.58</v>
      </c>
      <c r="F233" s="8">
        <v>346693.68</v>
      </c>
      <c r="G233" s="8">
        <v>345284.1</v>
      </c>
    </row>
    <row r="234" spans="1:7" x14ac:dyDescent="0.55000000000000004">
      <c r="A234">
        <v>2017</v>
      </c>
      <c r="B234" t="s">
        <v>445</v>
      </c>
      <c r="C234" t="s">
        <v>233</v>
      </c>
      <c r="D234">
        <v>194.3</v>
      </c>
      <c r="E234" s="8">
        <v>215.45</v>
      </c>
      <c r="F234" s="8">
        <v>168396.95</v>
      </c>
      <c r="G234" s="8">
        <v>168181.5</v>
      </c>
    </row>
    <row r="235" spans="1:7" x14ac:dyDescent="0.55000000000000004">
      <c r="A235">
        <v>2017</v>
      </c>
      <c r="B235" t="s">
        <v>444</v>
      </c>
      <c r="C235" t="s">
        <v>234</v>
      </c>
      <c r="D235">
        <v>1046.8</v>
      </c>
      <c r="E235" s="8">
        <v>6432.56</v>
      </c>
      <c r="F235" s="8">
        <v>332910.15000000002</v>
      </c>
      <c r="G235" s="8">
        <v>326477.59000000003</v>
      </c>
    </row>
    <row r="236" spans="1:7" x14ac:dyDescent="0.55000000000000004">
      <c r="A236">
        <v>2017</v>
      </c>
      <c r="B236" t="s">
        <v>443</v>
      </c>
      <c r="C236" t="s">
        <v>235</v>
      </c>
      <c r="D236">
        <v>615.5</v>
      </c>
      <c r="E236" s="8">
        <v>0</v>
      </c>
      <c r="F236" s="8">
        <v>374319.98</v>
      </c>
      <c r="G236" s="8">
        <v>374319.98</v>
      </c>
    </row>
    <row r="237" spans="1:7" x14ac:dyDescent="0.55000000000000004">
      <c r="A237">
        <v>2017</v>
      </c>
      <c r="B237" t="s">
        <v>442</v>
      </c>
      <c r="C237" t="s">
        <v>236</v>
      </c>
      <c r="D237">
        <v>2155</v>
      </c>
      <c r="E237" s="8">
        <v>171314.7</v>
      </c>
      <c r="F237" s="8">
        <v>600318.93000000005</v>
      </c>
      <c r="G237" s="8">
        <v>429004.23000000004</v>
      </c>
    </row>
    <row r="238" spans="1:7" x14ac:dyDescent="0.55000000000000004">
      <c r="A238">
        <v>2017</v>
      </c>
      <c r="B238" t="s">
        <v>441</v>
      </c>
      <c r="C238" t="s">
        <v>237</v>
      </c>
      <c r="D238">
        <v>1828.1</v>
      </c>
      <c r="E238" s="8">
        <v>15898.06</v>
      </c>
      <c r="F238" s="8">
        <v>484053.2</v>
      </c>
      <c r="G238" s="8">
        <v>468155.14</v>
      </c>
    </row>
    <row r="239" spans="1:7" x14ac:dyDescent="0.55000000000000004">
      <c r="A239">
        <v>2017</v>
      </c>
      <c r="B239" t="s">
        <v>440</v>
      </c>
      <c r="C239" t="s">
        <v>238</v>
      </c>
      <c r="D239">
        <v>4745.5</v>
      </c>
      <c r="E239" s="8">
        <v>38797.31</v>
      </c>
      <c r="F239" s="8">
        <v>1201503.6100000001</v>
      </c>
      <c r="G239" s="8">
        <v>1162706.3</v>
      </c>
    </row>
    <row r="240" spans="1:7" x14ac:dyDescent="0.55000000000000004">
      <c r="A240">
        <v>2017</v>
      </c>
      <c r="B240" t="s">
        <v>439</v>
      </c>
      <c r="C240" t="s">
        <v>239</v>
      </c>
      <c r="D240">
        <v>693.6</v>
      </c>
      <c r="E240" s="8">
        <v>812.52</v>
      </c>
      <c r="F240" s="8">
        <v>203660.41</v>
      </c>
      <c r="G240" s="8">
        <v>202847.89</v>
      </c>
    </row>
    <row r="241" spans="1:7" x14ac:dyDescent="0.55000000000000004">
      <c r="A241">
        <v>2017</v>
      </c>
      <c r="B241" t="s">
        <v>438</v>
      </c>
      <c r="C241" t="s">
        <v>240</v>
      </c>
      <c r="D241">
        <v>681.7</v>
      </c>
      <c r="E241" s="8">
        <v>56623.22</v>
      </c>
      <c r="F241" s="8">
        <v>326493.03999999998</v>
      </c>
      <c r="G241" s="8">
        <v>269869.81999999995</v>
      </c>
    </row>
    <row r="242" spans="1:7" x14ac:dyDescent="0.55000000000000004">
      <c r="A242">
        <v>2017</v>
      </c>
      <c r="B242" t="s">
        <v>437</v>
      </c>
      <c r="C242" t="s">
        <v>241</v>
      </c>
      <c r="D242">
        <v>701.6</v>
      </c>
      <c r="E242" s="8">
        <v>0</v>
      </c>
      <c r="F242" s="8">
        <v>141762.13</v>
      </c>
      <c r="G242" s="8">
        <v>141762.13</v>
      </c>
    </row>
    <row r="243" spans="1:7" x14ac:dyDescent="0.55000000000000004">
      <c r="A243">
        <v>2017</v>
      </c>
      <c r="B243" t="s">
        <v>436</v>
      </c>
      <c r="C243" t="s">
        <v>242</v>
      </c>
      <c r="D243">
        <v>590</v>
      </c>
      <c r="E243" s="8">
        <v>4924.3999999999996</v>
      </c>
      <c r="F243" s="8">
        <v>373772.67</v>
      </c>
      <c r="G243" s="8">
        <v>368848.26999999996</v>
      </c>
    </row>
    <row r="244" spans="1:7" x14ac:dyDescent="0.55000000000000004">
      <c r="A244">
        <v>2017</v>
      </c>
      <c r="B244" t="s">
        <v>435</v>
      </c>
      <c r="C244" t="s">
        <v>243</v>
      </c>
      <c r="D244">
        <v>1110.3</v>
      </c>
      <c r="E244" s="8">
        <v>0</v>
      </c>
      <c r="F244" s="8">
        <v>272302.21000000002</v>
      </c>
      <c r="G244" s="8">
        <v>272302.21000000002</v>
      </c>
    </row>
    <row r="245" spans="1:7" x14ac:dyDescent="0.55000000000000004">
      <c r="A245">
        <v>2017</v>
      </c>
      <c r="B245" t="s">
        <v>434</v>
      </c>
      <c r="C245" t="s">
        <v>244</v>
      </c>
      <c r="D245">
        <v>363.2</v>
      </c>
      <c r="E245" s="8">
        <v>65065.37</v>
      </c>
      <c r="F245" s="8">
        <v>214292.61</v>
      </c>
      <c r="G245" s="8">
        <v>149227.24</v>
      </c>
    </row>
    <row r="246" spans="1:7" x14ac:dyDescent="0.55000000000000004">
      <c r="A246">
        <v>2017</v>
      </c>
      <c r="B246" t="s">
        <v>433</v>
      </c>
      <c r="C246" t="s">
        <v>245</v>
      </c>
      <c r="D246">
        <v>302.8</v>
      </c>
      <c r="E246" s="8">
        <v>0</v>
      </c>
      <c r="F246" s="8">
        <v>123737.02</v>
      </c>
      <c r="G246" s="8">
        <v>123737.02</v>
      </c>
    </row>
    <row r="247" spans="1:7" x14ac:dyDescent="0.55000000000000004">
      <c r="A247">
        <v>2017</v>
      </c>
      <c r="B247" t="s">
        <v>432</v>
      </c>
      <c r="C247" t="s">
        <v>246</v>
      </c>
      <c r="D247">
        <v>704</v>
      </c>
      <c r="E247" s="8">
        <v>0</v>
      </c>
      <c r="F247" s="8">
        <v>341508.32</v>
      </c>
      <c r="G247" s="8">
        <v>341508.32</v>
      </c>
    </row>
    <row r="248" spans="1:7" x14ac:dyDescent="0.55000000000000004">
      <c r="A248">
        <v>2017</v>
      </c>
      <c r="B248" t="s">
        <v>431</v>
      </c>
      <c r="C248" t="s">
        <v>247</v>
      </c>
      <c r="D248">
        <v>784.1</v>
      </c>
      <c r="E248" s="8">
        <v>52453.100000000006</v>
      </c>
      <c r="F248" s="8">
        <v>117639.32</v>
      </c>
      <c r="G248" s="8">
        <v>65186.22</v>
      </c>
    </row>
    <row r="249" spans="1:7" x14ac:dyDescent="0.55000000000000004">
      <c r="A249">
        <v>2017</v>
      </c>
      <c r="B249" t="s">
        <v>430</v>
      </c>
      <c r="C249" t="s">
        <v>248</v>
      </c>
      <c r="D249">
        <v>1015.1</v>
      </c>
      <c r="E249" s="8">
        <v>0</v>
      </c>
      <c r="F249" s="8">
        <v>252629.57</v>
      </c>
      <c r="G249" s="8">
        <v>252629.57</v>
      </c>
    </row>
    <row r="250" spans="1:7" x14ac:dyDescent="0.55000000000000004">
      <c r="A250">
        <v>2017</v>
      </c>
      <c r="B250" t="s">
        <v>429</v>
      </c>
      <c r="C250" t="s">
        <v>1297</v>
      </c>
      <c r="D250">
        <v>441.1</v>
      </c>
      <c r="E250" s="8">
        <v>861.81</v>
      </c>
      <c r="F250" s="8">
        <v>228494.2</v>
      </c>
      <c r="G250" s="8">
        <v>227632.39</v>
      </c>
    </row>
    <row r="251" spans="1:7" x14ac:dyDescent="0.55000000000000004">
      <c r="A251">
        <v>2017</v>
      </c>
      <c r="B251" t="s">
        <v>428</v>
      </c>
      <c r="C251" t="s">
        <v>249</v>
      </c>
      <c r="D251">
        <v>229</v>
      </c>
      <c r="E251" s="8">
        <v>1027.97</v>
      </c>
      <c r="F251" s="8">
        <v>148449.82999999999</v>
      </c>
      <c r="G251" s="8">
        <v>147421.85999999999</v>
      </c>
    </row>
    <row r="252" spans="1:7" x14ac:dyDescent="0.55000000000000004">
      <c r="A252">
        <v>2017</v>
      </c>
      <c r="B252" t="s">
        <v>427</v>
      </c>
      <c r="C252" t="s">
        <v>250</v>
      </c>
      <c r="D252">
        <v>600.29999999999995</v>
      </c>
      <c r="E252" s="8">
        <v>0</v>
      </c>
      <c r="F252" s="8">
        <v>382027.4</v>
      </c>
      <c r="G252" s="8">
        <v>382027.4</v>
      </c>
    </row>
    <row r="253" spans="1:7" x14ac:dyDescent="0.55000000000000004">
      <c r="A253">
        <v>2017</v>
      </c>
      <c r="B253" t="s">
        <v>426</v>
      </c>
      <c r="C253" t="s">
        <v>251</v>
      </c>
      <c r="D253">
        <v>1122.8000000000002</v>
      </c>
      <c r="E253" s="8">
        <v>9873.44</v>
      </c>
      <c r="F253" s="8">
        <v>571080.78</v>
      </c>
      <c r="G253" s="8">
        <v>561207.34000000008</v>
      </c>
    </row>
    <row r="254" spans="1:7" x14ac:dyDescent="0.55000000000000004">
      <c r="A254">
        <v>2017</v>
      </c>
      <c r="B254" t="s">
        <v>425</v>
      </c>
      <c r="C254" t="s">
        <v>252</v>
      </c>
      <c r="D254">
        <v>354.1</v>
      </c>
      <c r="E254" s="8">
        <v>5022.9799999999996</v>
      </c>
      <c r="F254" s="8">
        <v>211902.52</v>
      </c>
      <c r="G254" s="8">
        <v>206879.53999999998</v>
      </c>
    </row>
    <row r="255" spans="1:7" x14ac:dyDescent="0.55000000000000004">
      <c r="A255">
        <v>2017</v>
      </c>
      <c r="B255" t="s">
        <v>424</v>
      </c>
      <c r="C255" t="s">
        <v>253</v>
      </c>
      <c r="D255">
        <v>274.39999999999998</v>
      </c>
      <c r="E255" s="8">
        <v>811.12</v>
      </c>
      <c r="F255" s="8">
        <v>172936.55</v>
      </c>
      <c r="G255" s="8">
        <v>172125.43</v>
      </c>
    </row>
    <row r="256" spans="1:7" x14ac:dyDescent="0.55000000000000004">
      <c r="A256">
        <v>2017</v>
      </c>
      <c r="B256" t="s">
        <v>423</v>
      </c>
      <c r="C256" t="s">
        <v>254</v>
      </c>
      <c r="D256">
        <v>1421.6</v>
      </c>
      <c r="E256" s="8">
        <v>13271.38</v>
      </c>
      <c r="F256" s="8">
        <v>365448.75</v>
      </c>
      <c r="G256" s="8">
        <v>352177.37</v>
      </c>
    </row>
    <row r="257" spans="1:7" x14ac:dyDescent="0.55000000000000004">
      <c r="A257">
        <v>2017</v>
      </c>
      <c r="B257" t="s">
        <v>422</v>
      </c>
      <c r="C257" t="s">
        <v>255</v>
      </c>
      <c r="D257">
        <v>299.60000000000002</v>
      </c>
      <c r="E257" s="8">
        <v>0</v>
      </c>
      <c r="F257" s="8">
        <v>125661.49</v>
      </c>
      <c r="G257" s="8">
        <v>125661.49</v>
      </c>
    </row>
    <row r="258" spans="1:7" x14ac:dyDescent="0.55000000000000004">
      <c r="A258">
        <v>2017</v>
      </c>
      <c r="B258" t="s">
        <v>421</v>
      </c>
      <c r="C258" t="s">
        <v>1298</v>
      </c>
      <c r="D258">
        <v>703.1</v>
      </c>
      <c r="E258" s="8">
        <v>13117.15</v>
      </c>
      <c r="F258" s="8">
        <v>339609.31</v>
      </c>
      <c r="G258" s="8">
        <v>326492.15999999997</v>
      </c>
    </row>
    <row r="259" spans="1:7" x14ac:dyDescent="0.55000000000000004">
      <c r="A259">
        <v>2017</v>
      </c>
      <c r="B259" t="s">
        <v>420</v>
      </c>
      <c r="C259" t="s">
        <v>256</v>
      </c>
      <c r="D259">
        <v>1043.7</v>
      </c>
      <c r="E259" s="8">
        <v>60263.63</v>
      </c>
      <c r="F259" s="8">
        <v>312682.21000000002</v>
      </c>
      <c r="G259" s="8">
        <v>252418.58000000002</v>
      </c>
    </row>
    <row r="260" spans="1:7" x14ac:dyDescent="0.55000000000000004">
      <c r="A260">
        <v>2017</v>
      </c>
      <c r="B260" t="s">
        <v>419</v>
      </c>
      <c r="C260" t="s">
        <v>257</v>
      </c>
      <c r="D260">
        <v>1075.7</v>
      </c>
      <c r="E260" s="8">
        <v>1625.03</v>
      </c>
      <c r="F260" s="8">
        <v>314576.28999999998</v>
      </c>
      <c r="G260" s="8">
        <v>312951.25999999995</v>
      </c>
    </row>
    <row r="261" spans="1:7" x14ac:dyDescent="0.55000000000000004">
      <c r="A261">
        <v>2017</v>
      </c>
      <c r="B261" t="s">
        <v>418</v>
      </c>
      <c r="C261" t="s">
        <v>258</v>
      </c>
      <c r="D261">
        <v>765.6</v>
      </c>
      <c r="E261" s="8">
        <v>4881.5</v>
      </c>
      <c r="F261" s="8">
        <v>258698.65</v>
      </c>
      <c r="G261" s="8">
        <v>253817.15</v>
      </c>
    </row>
    <row r="262" spans="1:7" x14ac:dyDescent="0.55000000000000004">
      <c r="A262">
        <v>2017</v>
      </c>
      <c r="B262" t="s">
        <v>417</v>
      </c>
      <c r="C262" t="s">
        <v>259</v>
      </c>
      <c r="D262">
        <v>408.9</v>
      </c>
      <c r="E262" s="8">
        <v>0</v>
      </c>
      <c r="F262" s="8">
        <v>176851.16</v>
      </c>
      <c r="G262" s="8">
        <v>176851.16</v>
      </c>
    </row>
    <row r="263" spans="1:7" x14ac:dyDescent="0.55000000000000004">
      <c r="A263">
        <v>2017</v>
      </c>
      <c r="B263" t="s">
        <v>416</v>
      </c>
      <c r="C263" t="s">
        <v>260</v>
      </c>
      <c r="D263">
        <v>537.1</v>
      </c>
      <c r="E263" s="8">
        <v>0</v>
      </c>
      <c r="F263" s="8">
        <v>157653.51</v>
      </c>
      <c r="G263" s="8">
        <v>157653.51</v>
      </c>
    </row>
    <row r="264" spans="1:7" x14ac:dyDescent="0.55000000000000004">
      <c r="A264">
        <v>2017</v>
      </c>
      <c r="B264" t="s">
        <v>415</v>
      </c>
      <c r="C264" t="s">
        <v>261</v>
      </c>
      <c r="D264">
        <v>1245.2</v>
      </c>
      <c r="E264" s="8">
        <v>135842.84</v>
      </c>
      <c r="F264" s="8">
        <v>359228.03</v>
      </c>
      <c r="G264" s="8">
        <v>223385.19000000003</v>
      </c>
    </row>
    <row r="265" spans="1:7" x14ac:dyDescent="0.55000000000000004">
      <c r="A265">
        <v>2017</v>
      </c>
      <c r="B265" t="s">
        <v>414</v>
      </c>
      <c r="C265" t="s">
        <v>262</v>
      </c>
      <c r="D265">
        <v>473</v>
      </c>
      <c r="E265" s="8">
        <v>0</v>
      </c>
      <c r="F265" s="8">
        <v>361651.03</v>
      </c>
      <c r="G265" s="8">
        <v>361651.03</v>
      </c>
    </row>
    <row r="266" spans="1:7" x14ac:dyDescent="0.55000000000000004">
      <c r="A266">
        <v>2017</v>
      </c>
      <c r="B266" t="s">
        <v>413</v>
      </c>
      <c r="C266" t="s">
        <v>263</v>
      </c>
      <c r="D266">
        <v>14476.1</v>
      </c>
      <c r="E266" s="8">
        <v>306928.24</v>
      </c>
      <c r="F266" s="8">
        <v>2153088.87</v>
      </c>
      <c r="G266" s="8">
        <v>1846160.6300000001</v>
      </c>
    </row>
    <row r="267" spans="1:7" x14ac:dyDescent="0.55000000000000004">
      <c r="A267">
        <v>2017</v>
      </c>
      <c r="B267" t="s">
        <v>412</v>
      </c>
      <c r="C267" t="s">
        <v>340</v>
      </c>
      <c r="D267">
        <v>920.1</v>
      </c>
      <c r="E267" s="8">
        <v>6740.24</v>
      </c>
      <c r="F267" s="8">
        <v>468550.25</v>
      </c>
      <c r="G267" s="8">
        <v>461810.01</v>
      </c>
    </row>
    <row r="268" spans="1:7" x14ac:dyDescent="0.55000000000000004">
      <c r="A268">
        <v>2017</v>
      </c>
      <c r="B268" t="s">
        <v>411</v>
      </c>
      <c r="C268" t="s">
        <v>264</v>
      </c>
      <c r="D268">
        <v>1328.6</v>
      </c>
      <c r="E268" s="8">
        <v>2437.5500000000002</v>
      </c>
      <c r="F268" s="8">
        <v>296044.79999999999</v>
      </c>
      <c r="G268" s="8">
        <v>293607.25</v>
      </c>
    </row>
    <row r="269" spans="1:7" x14ac:dyDescent="0.55000000000000004">
      <c r="A269">
        <v>2017</v>
      </c>
      <c r="B269" t="s">
        <v>410</v>
      </c>
      <c r="C269" t="s">
        <v>265</v>
      </c>
      <c r="D269">
        <v>581.70000000000005</v>
      </c>
      <c r="E269" s="8">
        <v>0</v>
      </c>
      <c r="F269" s="8">
        <v>253373.16</v>
      </c>
      <c r="G269" s="8">
        <v>253373.16</v>
      </c>
    </row>
    <row r="270" spans="1:7" x14ac:dyDescent="0.55000000000000004">
      <c r="A270">
        <v>2017</v>
      </c>
      <c r="B270" t="s">
        <v>409</v>
      </c>
      <c r="C270" t="s">
        <v>266</v>
      </c>
      <c r="D270">
        <v>638.20000000000005</v>
      </c>
      <c r="E270" s="8">
        <v>0</v>
      </c>
      <c r="F270" s="8">
        <v>286538.07</v>
      </c>
      <c r="G270" s="8">
        <v>286538.07</v>
      </c>
    </row>
    <row r="271" spans="1:7" x14ac:dyDescent="0.55000000000000004">
      <c r="A271">
        <v>2017</v>
      </c>
      <c r="B271" t="s">
        <v>408</v>
      </c>
      <c r="C271" t="s">
        <v>267</v>
      </c>
      <c r="D271">
        <v>547.20000000000005</v>
      </c>
      <c r="E271" s="8">
        <v>1575.74</v>
      </c>
      <c r="F271" s="8">
        <v>398899.11</v>
      </c>
      <c r="G271" s="8">
        <v>397323.37</v>
      </c>
    </row>
    <row r="272" spans="1:7" x14ac:dyDescent="0.55000000000000004">
      <c r="A272">
        <v>2017</v>
      </c>
      <c r="B272" t="s">
        <v>407</v>
      </c>
      <c r="C272" t="s">
        <v>268</v>
      </c>
      <c r="D272">
        <v>197.9</v>
      </c>
      <c r="E272" s="8">
        <v>812.52</v>
      </c>
      <c r="F272" s="8">
        <v>37498.47</v>
      </c>
      <c r="G272" s="8">
        <v>36685.950000000004</v>
      </c>
    </row>
    <row r="273" spans="1:7" x14ac:dyDescent="0.55000000000000004">
      <c r="A273">
        <v>2017</v>
      </c>
      <c r="B273" t="s">
        <v>406</v>
      </c>
      <c r="C273" t="s">
        <v>269</v>
      </c>
      <c r="D273">
        <v>1565</v>
      </c>
      <c r="E273" s="8">
        <v>1625.03</v>
      </c>
      <c r="F273" s="8">
        <v>667400.16</v>
      </c>
      <c r="G273" s="8">
        <v>665775.13</v>
      </c>
    </row>
    <row r="274" spans="1:7" x14ac:dyDescent="0.55000000000000004">
      <c r="A274">
        <v>2017</v>
      </c>
      <c r="B274" t="s">
        <v>405</v>
      </c>
      <c r="C274" t="s">
        <v>270</v>
      </c>
      <c r="D274">
        <v>609.6</v>
      </c>
      <c r="E274" s="8">
        <v>28813.57</v>
      </c>
      <c r="F274" s="8">
        <v>255536.79</v>
      </c>
      <c r="G274" s="8">
        <v>226723.22</v>
      </c>
    </row>
    <row r="275" spans="1:7" x14ac:dyDescent="0.55000000000000004">
      <c r="A275">
        <v>2017</v>
      </c>
      <c r="B275" t="s">
        <v>404</v>
      </c>
      <c r="C275" t="s">
        <v>271</v>
      </c>
      <c r="D275">
        <v>507</v>
      </c>
      <c r="E275" s="8">
        <v>70118.929999999993</v>
      </c>
      <c r="F275" s="8">
        <v>277160.53999999998</v>
      </c>
      <c r="G275" s="8">
        <v>207041.61</v>
      </c>
    </row>
    <row r="276" spans="1:7" x14ac:dyDescent="0.55000000000000004">
      <c r="A276">
        <v>2017</v>
      </c>
      <c r="B276" t="s">
        <v>403</v>
      </c>
      <c r="C276" t="s">
        <v>272</v>
      </c>
      <c r="D276">
        <v>6797.2</v>
      </c>
      <c r="E276" s="8">
        <v>82376.710000000006</v>
      </c>
      <c r="F276" s="8">
        <v>2088161.6</v>
      </c>
      <c r="G276" s="8">
        <v>2005784.8900000001</v>
      </c>
    </row>
    <row r="277" spans="1:7" x14ac:dyDescent="0.55000000000000004">
      <c r="A277">
        <v>2017</v>
      </c>
      <c r="B277" t="s">
        <v>402</v>
      </c>
      <c r="C277" t="s">
        <v>273</v>
      </c>
      <c r="D277">
        <v>1847.8</v>
      </c>
      <c r="E277" s="8">
        <v>11719.71</v>
      </c>
      <c r="F277" s="8">
        <v>269464.68</v>
      </c>
      <c r="G277" s="8">
        <v>257744.97</v>
      </c>
    </row>
    <row r="278" spans="1:7" x14ac:dyDescent="0.55000000000000004">
      <c r="A278">
        <v>2017</v>
      </c>
      <c r="B278" t="s">
        <v>401</v>
      </c>
      <c r="C278" t="s">
        <v>274</v>
      </c>
      <c r="D278">
        <v>1163.0999999999999</v>
      </c>
      <c r="E278" s="8">
        <v>2222.1</v>
      </c>
      <c r="F278" s="8">
        <v>372540.22</v>
      </c>
      <c r="G278" s="8">
        <v>370318.12</v>
      </c>
    </row>
    <row r="279" spans="1:7" x14ac:dyDescent="0.55000000000000004">
      <c r="A279">
        <v>2017</v>
      </c>
      <c r="B279" t="s">
        <v>400</v>
      </c>
      <c r="C279" t="s">
        <v>275</v>
      </c>
      <c r="D279">
        <v>368.8</v>
      </c>
      <c r="E279" s="8">
        <v>2006.65</v>
      </c>
      <c r="F279" s="8">
        <v>93302.94</v>
      </c>
      <c r="G279" s="8">
        <v>91296.290000000008</v>
      </c>
    </row>
    <row r="280" spans="1:7" x14ac:dyDescent="0.55000000000000004">
      <c r="A280">
        <v>2017</v>
      </c>
      <c r="B280" t="s">
        <v>399</v>
      </c>
      <c r="C280" t="s">
        <v>276</v>
      </c>
      <c r="D280">
        <v>204.1</v>
      </c>
      <c r="E280" s="8">
        <v>0</v>
      </c>
      <c r="F280" s="8">
        <v>80806.490000000005</v>
      </c>
      <c r="G280" s="8">
        <v>80806.490000000005</v>
      </c>
    </row>
    <row r="281" spans="1:7" x14ac:dyDescent="0.55000000000000004">
      <c r="A281">
        <v>2017</v>
      </c>
      <c r="B281" t="s">
        <v>398</v>
      </c>
      <c r="C281" t="s">
        <v>277</v>
      </c>
      <c r="D281">
        <v>633.4</v>
      </c>
      <c r="E281" s="8">
        <v>0</v>
      </c>
      <c r="F281" s="8">
        <v>208460.49</v>
      </c>
      <c r="G281" s="8">
        <v>208460.49</v>
      </c>
    </row>
    <row r="282" spans="1:7" x14ac:dyDescent="0.55000000000000004">
      <c r="A282">
        <v>2017</v>
      </c>
      <c r="B282" t="s">
        <v>397</v>
      </c>
      <c r="C282" t="s">
        <v>278</v>
      </c>
      <c r="D282">
        <v>2288.7000000000003</v>
      </c>
      <c r="E282" s="8">
        <v>7620.21</v>
      </c>
      <c r="F282" s="8">
        <v>388429.23</v>
      </c>
      <c r="G282" s="8">
        <v>380809.01999999996</v>
      </c>
    </row>
    <row r="283" spans="1:7" x14ac:dyDescent="0.55000000000000004">
      <c r="A283">
        <v>2017</v>
      </c>
      <c r="B283" t="s">
        <v>396</v>
      </c>
      <c r="C283" t="s">
        <v>279</v>
      </c>
      <c r="D283">
        <v>160.69999999999999</v>
      </c>
      <c r="E283" s="8">
        <v>597.07000000000005</v>
      </c>
      <c r="F283" s="8">
        <v>77811.09</v>
      </c>
      <c r="G283" s="8">
        <v>77214.01999999999</v>
      </c>
    </row>
    <row r="284" spans="1:7" x14ac:dyDescent="0.55000000000000004">
      <c r="A284">
        <v>2017</v>
      </c>
      <c r="B284" t="s">
        <v>395</v>
      </c>
      <c r="C284" t="s">
        <v>280</v>
      </c>
      <c r="D284">
        <v>899</v>
      </c>
      <c r="E284" s="8">
        <v>0</v>
      </c>
      <c r="F284" s="8">
        <v>350764.63</v>
      </c>
      <c r="G284" s="8">
        <v>350764.63</v>
      </c>
    </row>
    <row r="285" spans="1:7" x14ac:dyDescent="0.55000000000000004">
      <c r="A285">
        <v>2017</v>
      </c>
      <c r="B285" t="s">
        <v>394</v>
      </c>
      <c r="C285" t="s">
        <v>341</v>
      </c>
      <c r="D285">
        <v>821.4</v>
      </c>
      <c r="E285" s="8">
        <v>812.52</v>
      </c>
      <c r="F285" s="8">
        <v>319520.18</v>
      </c>
      <c r="G285" s="8">
        <v>318707.65999999997</v>
      </c>
    </row>
    <row r="286" spans="1:7" x14ac:dyDescent="0.55000000000000004">
      <c r="A286">
        <v>2017</v>
      </c>
      <c r="B286" t="s">
        <v>393</v>
      </c>
      <c r="C286" t="s">
        <v>281</v>
      </c>
      <c r="D286">
        <v>899.1</v>
      </c>
      <c r="E286" s="8">
        <v>0</v>
      </c>
      <c r="F286" s="8">
        <v>287579.61</v>
      </c>
      <c r="G286" s="8">
        <v>287579.61</v>
      </c>
    </row>
    <row r="287" spans="1:7" x14ac:dyDescent="0.55000000000000004">
      <c r="A287">
        <v>2017</v>
      </c>
      <c r="B287" t="s">
        <v>392</v>
      </c>
      <c r="C287" t="s">
        <v>282</v>
      </c>
      <c r="D287">
        <v>587.20000000000005</v>
      </c>
      <c r="E287" s="8">
        <v>3656.33</v>
      </c>
      <c r="F287" s="8">
        <v>289558.52</v>
      </c>
      <c r="G287" s="8">
        <v>285902.19</v>
      </c>
    </row>
    <row r="288" spans="1:7" x14ac:dyDescent="0.55000000000000004">
      <c r="A288">
        <v>2017</v>
      </c>
      <c r="B288" t="s">
        <v>391</v>
      </c>
      <c r="C288" t="s">
        <v>283</v>
      </c>
      <c r="D288">
        <v>632.1</v>
      </c>
      <c r="E288" s="8">
        <v>381.61</v>
      </c>
      <c r="F288" s="8">
        <v>269604.61</v>
      </c>
      <c r="G288" s="8">
        <v>269223</v>
      </c>
    </row>
    <row r="289" spans="1:7" x14ac:dyDescent="0.55000000000000004">
      <c r="A289">
        <v>2017</v>
      </c>
      <c r="B289" t="s">
        <v>390</v>
      </c>
      <c r="C289" t="s">
        <v>284</v>
      </c>
      <c r="D289">
        <v>283</v>
      </c>
      <c r="E289" s="8">
        <v>1027.97</v>
      </c>
      <c r="F289" s="8">
        <v>173141.56</v>
      </c>
      <c r="G289" s="8">
        <v>172113.59</v>
      </c>
    </row>
    <row r="290" spans="1:7" x14ac:dyDescent="0.55000000000000004">
      <c r="A290">
        <v>2017</v>
      </c>
      <c r="B290" t="s">
        <v>389</v>
      </c>
      <c r="C290" t="s">
        <v>285</v>
      </c>
      <c r="D290">
        <v>437</v>
      </c>
      <c r="E290" s="8">
        <v>2769.87</v>
      </c>
      <c r="F290" s="8">
        <v>97621.45</v>
      </c>
      <c r="G290" s="8">
        <v>94851.58</v>
      </c>
    </row>
    <row r="291" spans="1:7" x14ac:dyDescent="0.55000000000000004">
      <c r="A291">
        <v>2017</v>
      </c>
      <c r="B291" t="s">
        <v>388</v>
      </c>
      <c r="C291" t="s">
        <v>286</v>
      </c>
      <c r="D291">
        <v>355</v>
      </c>
      <c r="E291" s="8">
        <v>17632.240000000002</v>
      </c>
      <c r="F291" s="8">
        <v>195489.87</v>
      </c>
      <c r="G291" s="8">
        <v>177857.63</v>
      </c>
    </row>
    <row r="292" spans="1:7" x14ac:dyDescent="0.55000000000000004">
      <c r="A292">
        <v>2017</v>
      </c>
      <c r="B292" t="s">
        <v>387</v>
      </c>
      <c r="C292" t="s">
        <v>287</v>
      </c>
      <c r="D292">
        <v>348.5</v>
      </c>
      <c r="E292" s="8">
        <v>6570.14</v>
      </c>
      <c r="F292" s="8">
        <v>165233.25</v>
      </c>
      <c r="G292" s="8">
        <v>158663.10999999999</v>
      </c>
    </row>
    <row r="293" spans="1:7" x14ac:dyDescent="0.55000000000000004">
      <c r="A293">
        <v>2017</v>
      </c>
      <c r="B293" t="s">
        <v>386</v>
      </c>
      <c r="C293" t="s">
        <v>288</v>
      </c>
      <c r="D293">
        <v>162</v>
      </c>
      <c r="E293" s="8">
        <v>0</v>
      </c>
      <c r="F293" s="8">
        <v>64429.3</v>
      </c>
      <c r="G293" s="8">
        <v>64429.3</v>
      </c>
    </row>
    <row r="294" spans="1:7" x14ac:dyDescent="0.55000000000000004">
      <c r="A294">
        <v>2017</v>
      </c>
      <c r="B294" t="s">
        <v>385</v>
      </c>
      <c r="C294" t="s">
        <v>289</v>
      </c>
      <c r="D294">
        <v>685.1</v>
      </c>
      <c r="E294" s="8">
        <v>3299.36</v>
      </c>
      <c r="F294" s="8">
        <v>289024.56</v>
      </c>
      <c r="G294" s="8">
        <v>285725.2</v>
      </c>
    </row>
    <row r="295" spans="1:7" x14ac:dyDescent="0.55000000000000004">
      <c r="A295">
        <v>2017</v>
      </c>
      <c r="B295" t="s">
        <v>384</v>
      </c>
      <c r="C295" t="s">
        <v>290</v>
      </c>
      <c r="D295">
        <v>1102.4000000000001</v>
      </c>
      <c r="E295" s="8">
        <v>6019.94</v>
      </c>
      <c r="F295" s="8">
        <v>463404.07</v>
      </c>
      <c r="G295" s="8">
        <v>457384.13</v>
      </c>
    </row>
    <row r="296" spans="1:7" x14ac:dyDescent="0.55000000000000004">
      <c r="A296">
        <v>2017</v>
      </c>
      <c r="B296" t="s">
        <v>383</v>
      </c>
      <c r="C296" t="s">
        <v>291</v>
      </c>
      <c r="D296">
        <v>361.5</v>
      </c>
      <c r="E296" s="8">
        <v>2843.81</v>
      </c>
      <c r="F296" s="8">
        <v>229767.09</v>
      </c>
      <c r="G296" s="8">
        <v>226923.28</v>
      </c>
    </row>
    <row r="297" spans="1:7" x14ac:dyDescent="0.55000000000000004">
      <c r="A297">
        <v>2017</v>
      </c>
      <c r="B297" t="s">
        <v>382</v>
      </c>
      <c r="C297" t="s">
        <v>292</v>
      </c>
      <c r="D297">
        <v>3395.4</v>
      </c>
      <c r="E297" s="8">
        <v>91970.52</v>
      </c>
      <c r="F297" s="8">
        <v>778839.55</v>
      </c>
      <c r="G297" s="8">
        <v>686869.03</v>
      </c>
    </row>
    <row r="298" spans="1:7" x14ac:dyDescent="0.55000000000000004">
      <c r="A298">
        <v>2017</v>
      </c>
      <c r="B298" t="s">
        <v>381</v>
      </c>
      <c r="C298" t="s">
        <v>293</v>
      </c>
      <c r="D298">
        <v>376.2</v>
      </c>
      <c r="E298" s="8">
        <v>0</v>
      </c>
      <c r="F298" s="8">
        <v>188737.36</v>
      </c>
      <c r="G298" s="8">
        <v>188737.36</v>
      </c>
    </row>
    <row r="299" spans="1:7" x14ac:dyDescent="0.55000000000000004">
      <c r="A299">
        <v>2017</v>
      </c>
      <c r="B299" t="s">
        <v>380</v>
      </c>
      <c r="C299" t="s">
        <v>294</v>
      </c>
      <c r="D299">
        <v>624</v>
      </c>
      <c r="E299" s="8">
        <v>0</v>
      </c>
      <c r="F299" s="8">
        <v>482473.1</v>
      </c>
      <c r="G299" s="8">
        <v>482473.1</v>
      </c>
    </row>
    <row r="300" spans="1:7" x14ac:dyDescent="0.55000000000000004">
      <c r="A300">
        <v>2017</v>
      </c>
      <c r="B300" t="s">
        <v>379</v>
      </c>
      <c r="C300" t="s">
        <v>295</v>
      </c>
      <c r="D300">
        <v>621.6</v>
      </c>
      <c r="E300" s="8">
        <v>13825.52</v>
      </c>
      <c r="F300" s="8">
        <v>170738.32</v>
      </c>
      <c r="G300" s="8">
        <v>156912.80000000002</v>
      </c>
    </row>
    <row r="301" spans="1:7" x14ac:dyDescent="0.55000000000000004">
      <c r="A301">
        <v>2017</v>
      </c>
      <c r="B301" t="s">
        <v>378</v>
      </c>
      <c r="C301" t="s">
        <v>296</v>
      </c>
      <c r="D301">
        <v>304</v>
      </c>
      <c r="E301" s="8">
        <v>0</v>
      </c>
      <c r="F301" s="8">
        <v>237180.36</v>
      </c>
      <c r="G301" s="8">
        <v>237180.36</v>
      </c>
    </row>
    <row r="302" spans="1:7" x14ac:dyDescent="0.55000000000000004">
      <c r="A302">
        <v>2017</v>
      </c>
      <c r="B302" t="s">
        <v>377</v>
      </c>
      <c r="C302" t="s">
        <v>297</v>
      </c>
      <c r="D302">
        <v>1534.5</v>
      </c>
      <c r="E302" s="8">
        <v>9202.44</v>
      </c>
      <c r="F302" s="8">
        <v>447960.27</v>
      </c>
      <c r="G302" s="8">
        <v>438757.83</v>
      </c>
    </row>
    <row r="303" spans="1:7" x14ac:dyDescent="0.55000000000000004">
      <c r="A303">
        <v>2017</v>
      </c>
      <c r="B303" t="s">
        <v>376</v>
      </c>
      <c r="C303" t="s">
        <v>298</v>
      </c>
      <c r="D303">
        <v>481.2</v>
      </c>
      <c r="E303" s="8">
        <v>430.9</v>
      </c>
      <c r="F303" s="8">
        <v>209647.07</v>
      </c>
      <c r="G303" s="8">
        <v>209216.17</v>
      </c>
    </row>
    <row r="304" spans="1:7" x14ac:dyDescent="0.55000000000000004">
      <c r="A304">
        <v>2017</v>
      </c>
      <c r="B304" t="s">
        <v>375</v>
      </c>
      <c r="C304" t="s">
        <v>333</v>
      </c>
      <c r="D304">
        <v>870.6</v>
      </c>
      <c r="E304" s="8">
        <v>16416.509999999998</v>
      </c>
      <c r="F304" s="8">
        <v>455694.06</v>
      </c>
      <c r="G304" s="8">
        <v>439277.55</v>
      </c>
    </row>
    <row r="305" spans="1:7" x14ac:dyDescent="0.55000000000000004">
      <c r="A305">
        <v>2017</v>
      </c>
      <c r="B305" t="s">
        <v>374</v>
      </c>
      <c r="C305" t="s">
        <v>299</v>
      </c>
      <c r="D305">
        <v>646</v>
      </c>
      <c r="E305" s="8">
        <v>0</v>
      </c>
      <c r="F305" s="8">
        <v>107387.24</v>
      </c>
      <c r="G305" s="8">
        <v>107387.24</v>
      </c>
    </row>
    <row r="306" spans="1:7" x14ac:dyDescent="0.55000000000000004">
      <c r="A306">
        <v>2017</v>
      </c>
      <c r="B306" t="s">
        <v>373</v>
      </c>
      <c r="C306" t="s">
        <v>300</v>
      </c>
      <c r="D306">
        <v>672</v>
      </c>
      <c r="E306" s="8">
        <v>0</v>
      </c>
      <c r="F306" s="8">
        <v>191978.25</v>
      </c>
      <c r="G306" s="8">
        <v>191978.25</v>
      </c>
    </row>
    <row r="307" spans="1:7" x14ac:dyDescent="0.55000000000000004">
      <c r="A307">
        <v>2017</v>
      </c>
      <c r="B307" t="s">
        <v>372</v>
      </c>
      <c r="C307" t="s">
        <v>301</v>
      </c>
      <c r="D307">
        <v>1744.8999999999999</v>
      </c>
      <c r="E307" s="8">
        <v>29238.77</v>
      </c>
      <c r="F307" s="8">
        <v>520809.77</v>
      </c>
      <c r="G307" s="8">
        <v>491571</v>
      </c>
    </row>
    <row r="308" spans="1:7" x14ac:dyDescent="0.55000000000000004">
      <c r="A308">
        <v>2017</v>
      </c>
      <c r="B308" t="s">
        <v>371</v>
      </c>
      <c r="C308" t="s">
        <v>302</v>
      </c>
      <c r="D308">
        <v>10831.5</v>
      </c>
      <c r="E308" s="8">
        <v>368288.24</v>
      </c>
      <c r="F308" s="8">
        <v>4313832.96</v>
      </c>
      <c r="G308" s="8">
        <v>3945544.7199999997</v>
      </c>
    </row>
    <row r="309" spans="1:7" x14ac:dyDescent="0.55000000000000004">
      <c r="A309">
        <v>2017</v>
      </c>
      <c r="B309" t="s">
        <v>370</v>
      </c>
      <c r="C309" t="s">
        <v>303</v>
      </c>
      <c r="D309">
        <v>10027.299999999999</v>
      </c>
      <c r="E309" s="8">
        <v>279984.62</v>
      </c>
      <c r="F309" s="8">
        <v>2364594.6</v>
      </c>
      <c r="G309" s="8">
        <v>2084609.98</v>
      </c>
    </row>
    <row r="310" spans="1:7" x14ac:dyDescent="0.55000000000000004">
      <c r="A310">
        <v>2017</v>
      </c>
      <c r="B310" t="s">
        <v>369</v>
      </c>
      <c r="C310" t="s">
        <v>304</v>
      </c>
      <c r="D310">
        <v>2024</v>
      </c>
      <c r="E310" s="8">
        <v>42241.88</v>
      </c>
      <c r="F310" s="8">
        <v>457023.99</v>
      </c>
      <c r="G310" s="8">
        <v>414782.11</v>
      </c>
    </row>
    <row r="311" spans="1:7" x14ac:dyDescent="0.55000000000000004">
      <c r="A311">
        <v>2017</v>
      </c>
      <c r="B311" t="s">
        <v>368</v>
      </c>
      <c r="C311" t="s">
        <v>305</v>
      </c>
      <c r="D311">
        <v>573</v>
      </c>
      <c r="E311" s="8">
        <v>0</v>
      </c>
      <c r="F311" s="8">
        <v>267177.06</v>
      </c>
      <c r="G311" s="8">
        <v>267177.06</v>
      </c>
    </row>
    <row r="312" spans="1:7" x14ac:dyDescent="0.55000000000000004">
      <c r="A312">
        <v>2017</v>
      </c>
      <c r="B312" t="s">
        <v>367</v>
      </c>
      <c r="C312" t="s">
        <v>306</v>
      </c>
      <c r="D312">
        <v>1543.3</v>
      </c>
      <c r="E312" s="8">
        <v>12273.88</v>
      </c>
      <c r="F312" s="8">
        <v>432050.98</v>
      </c>
      <c r="G312" s="8">
        <v>419777.1</v>
      </c>
    </row>
    <row r="313" spans="1:7" x14ac:dyDescent="0.55000000000000004">
      <c r="A313">
        <v>2017</v>
      </c>
      <c r="B313" t="s">
        <v>366</v>
      </c>
      <c r="C313" t="s">
        <v>307</v>
      </c>
      <c r="D313">
        <v>317.89999999999998</v>
      </c>
      <c r="E313" s="8">
        <v>6598.72</v>
      </c>
      <c r="F313" s="8">
        <v>178098.04</v>
      </c>
      <c r="G313" s="8">
        <v>171499.32</v>
      </c>
    </row>
    <row r="314" spans="1:7" x14ac:dyDescent="0.55000000000000004">
      <c r="A314">
        <v>2017</v>
      </c>
      <c r="B314" t="s">
        <v>365</v>
      </c>
      <c r="C314" t="s">
        <v>308</v>
      </c>
      <c r="D314">
        <v>769.4</v>
      </c>
      <c r="E314" s="8">
        <v>2388.2600000000002</v>
      </c>
      <c r="F314" s="8">
        <v>270203.63</v>
      </c>
      <c r="G314" s="8">
        <v>267815.37</v>
      </c>
    </row>
    <row r="315" spans="1:7" x14ac:dyDescent="0.55000000000000004">
      <c r="A315">
        <v>2017</v>
      </c>
      <c r="B315" t="s">
        <v>364</v>
      </c>
      <c r="C315" t="s">
        <v>309</v>
      </c>
      <c r="D315">
        <v>445.8</v>
      </c>
      <c r="E315" s="8">
        <v>1077.26</v>
      </c>
      <c r="F315" s="8">
        <v>4262.8500000000004</v>
      </c>
      <c r="G315" s="8">
        <v>3185.59</v>
      </c>
    </row>
    <row r="316" spans="1:7" x14ac:dyDescent="0.55000000000000004">
      <c r="A316">
        <v>2017</v>
      </c>
      <c r="B316" t="s">
        <v>363</v>
      </c>
      <c r="C316" t="s">
        <v>310</v>
      </c>
      <c r="D316">
        <v>257.2</v>
      </c>
      <c r="E316" s="8">
        <v>1003.32</v>
      </c>
      <c r="F316" s="8">
        <v>93481.72</v>
      </c>
      <c r="G316" s="8">
        <v>92478.399999999994</v>
      </c>
    </row>
    <row r="317" spans="1:7" x14ac:dyDescent="0.55000000000000004">
      <c r="A317">
        <v>2017</v>
      </c>
      <c r="B317" t="s">
        <v>362</v>
      </c>
      <c r="C317" t="s">
        <v>311</v>
      </c>
      <c r="D317">
        <v>1489.8</v>
      </c>
      <c r="E317" s="8">
        <v>77541.02</v>
      </c>
      <c r="F317" s="8">
        <v>520204.74</v>
      </c>
      <c r="G317" s="8">
        <v>442663.72</v>
      </c>
    </row>
    <row r="318" spans="1:7" x14ac:dyDescent="0.55000000000000004">
      <c r="A318">
        <v>2017</v>
      </c>
      <c r="B318" t="s">
        <v>361</v>
      </c>
      <c r="C318" t="s">
        <v>312</v>
      </c>
      <c r="D318">
        <v>8967.7999999999993</v>
      </c>
      <c r="E318" s="8">
        <v>292209.17</v>
      </c>
      <c r="F318" s="8">
        <v>1931268.99</v>
      </c>
      <c r="G318" s="8">
        <v>1639059.82</v>
      </c>
    </row>
    <row r="319" spans="1:7" x14ac:dyDescent="0.55000000000000004">
      <c r="A319">
        <v>2017</v>
      </c>
      <c r="B319" t="s">
        <v>360</v>
      </c>
      <c r="C319" t="s">
        <v>313</v>
      </c>
      <c r="D319">
        <v>3143.5</v>
      </c>
      <c r="E319" s="8">
        <v>401735.15</v>
      </c>
      <c r="F319" s="8">
        <v>1913574.43</v>
      </c>
      <c r="G319" s="8">
        <v>1511839.2799999998</v>
      </c>
    </row>
    <row r="320" spans="1:7" x14ac:dyDescent="0.55000000000000004">
      <c r="A320">
        <v>2017</v>
      </c>
      <c r="B320" t="s">
        <v>359</v>
      </c>
      <c r="C320" t="s">
        <v>314</v>
      </c>
      <c r="D320">
        <v>343.7</v>
      </c>
      <c r="E320" s="8">
        <v>0</v>
      </c>
      <c r="F320" s="8">
        <v>168797.36</v>
      </c>
      <c r="G320" s="8">
        <v>168797.36</v>
      </c>
    </row>
    <row r="321" spans="1:7" x14ac:dyDescent="0.55000000000000004">
      <c r="A321">
        <v>2017</v>
      </c>
      <c r="B321" t="s">
        <v>358</v>
      </c>
      <c r="C321" t="s">
        <v>315</v>
      </c>
      <c r="D321">
        <v>1307.3</v>
      </c>
      <c r="E321" s="8">
        <v>430.9</v>
      </c>
      <c r="F321" s="8">
        <v>231507.71</v>
      </c>
      <c r="G321" s="8">
        <v>231076.81</v>
      </c>
    </row>
    <row r="322" spans="1:7" x14ac:dyDescent="0.55000000000000004">
      <c r="A322">
        <v>2017</v>
      </c>
      <c r="B322" t="s">
        <v>357</v>
      </c>
      <c r="C322" t="s">
        <v>316</v>
      </c>
      <c r="D322">
        <v>929</v>
      </c>
      <c r="E322" s="8">
        <v>42428.07</v>
      </c>
      <c r="F322" s="8">
        <v>463799.87</v>
      </c>
      <c r="G322" s="8">
        <v>421371.8</v>
      </c>
    </row>
    <row r="323" spans="1:7" x14ac:dyDescent="0.55000000000000004">
      <c r="A323">
        <v>2017</v>
      </c>
      <c r="B323" t="s">
        <v>356</v>
      </c>
      <c r="C323" t="s">
        <v>317</v>
      </c>
      <c r="D323">
        <v>874.6</v>
      </c>
      <c r="E323" s="8">
        <v>597.07000000000005</v>
      </c>
      <c r="F323" s="8">
        <v>420291.92</v>
      </c>
      <c r="G323" s="8">
        <v>419694.85</v>
      </c>
    </row>
    <row r="324" spans="1:7" x14ac:dyDescent="0.55000000000000004">
      <c r="A324">
        <v>2017</v>
      </c>
      <c r="B324" t="s">
        <v>355</v>
      </c>
      <c r="C324" t="s">
        <v>318</v>
      </c>
      <c r="D324">
        <v>649</v>
      </c>
      <c r="E324" s="8">
        <v>597.07000000000005</v>
      </c>
      <c r="F324" s="8">
        <v>230260.47</v>
      </c>
      <c r="G324" s="8">
        <v>229663.4</v>
      </c>
    </row>
    <row r="325" spans="1:7" x14ac:dyDescent="0.55000000000000004">
      <c r="A325">
        <v>2017</v>
      </c>
      <c r="B325" t="s">
        <v>354</v>
      </c>
      <c r="C325" t="s">
        <v>319</v>
      </c>
      <c r="D325">
        <v>829</v>
      </c>
      <c r="E325" s="8">
        <v>44688.57</v>
      </c>
      <c r="F325" s="8">
        <v>294444.51</v>
      </c>
      <c r="G325" s="8">
        <v>249755.94</v>
      </c>
    </row>
    <row r="326" spans="1:7" x14ac:dyDescent="0.55000000000000004">
      <c r="A326">
        <v>2017</v>
      </c>
      <c r="B326" t="s">
        <v>353</v>
      </c>
      <c r="C326" t="s">
        <v>320</v>
      </c>
      <c r="D326">
        <v>541</v>
      </c>
      <c r="E326" s="8">
        <v>3797.84</v>
      </c>
      <c r="F326" s="8">
        <v>393507.76</v>
      </c>
      <c r="G326" s="8">
        <v>389709.92</v>
      </c>
    </row>
    <row r="327" spans="1:7" x14ac:dyDescent="0.55000000000000004">
      <c r="A327">
        <v>2017</v>
      </c>
      <c r="B327" t="s">
        <v>352</v>
      </c>
      <c r="C327" t="s">
        <v>321</v>
      </c>
      <c r="D327">
        <v>192</v>
      </c>
      <c r="E327" s="8">
        <v>0</v>
      </c>
      <c r="F327" s="8">
        <v>57715.61</v>
      </c>
      <c r="G327" s="8">
        <v>57715.61</v>
      </c>
    </row>
    <row r="328" spans="1:7" x14ac:dyDescent="0.55000000000000004">
      <c r="A328">
        <v>2017</v>
      </c>
      <c r="B328" t="s">
        <v>351</v>
      </c>
      <c r="C328" t="s">
        <v>322</v>
      </c>
      <c r="D328">
        <v>1127.3</v>
      </c>
      <c r="E328" s="8">
        <v>19029.330000000002</v>
      </c>
      <c r="F328" s="8">
        <v>343655.76</v>
      </c>
      <c r="G328" s="8">
        <v>324626.43</v>
      </c>
    </row>
    <row r="329" spans="1:7" x14ac:dyDescent="0.55000000000000004">
      <c r="A329">
        <v>2017</v>
      </c>
      <c r="B329" t="s">
        <v>350</v>
      </c>
      <c r="C329" t="s">
        <v>323</v>
      </c>
      <c r="D329">
        <v>817.7</v>
      </c>
      <c r="E329" s="8">
        <v>0</v>
      </c>
      <c r="F329" s="8">
        <v>189815.51</v>
      </c>
      <c r="G329" s="8">
        <v>189815.51</v>
      </c>
    </row>
    <row r="330" spans="1:7" x14ac:dyDescent="0.55000000000000004">
      <c r="A330">
        <v>2017</v>
      </c>
      <c r="B330" t="s">
        <v>349</v>
      </c>
      <c r="C330" t="s">
        <v>324</v>
      </c>
      <c r="D330">
        <v>355.5</v>
      </c>
      <c r="E330" s="8">
        <v>0</v>
      </c>
      <c r="F330" s="8">
        <v>107070.44</v>
      </c>
      <c r="G330" s="8">
        <v>107070.44</v>
      </c>
    </row>
    <row r="331" spans="1:7" x14ac:dyDescent="0.55000000000000004">
      <c r="A331">
        <v>2017</v>
      </c>
      <c r="B331" t="s">
        <v>348</v>
      </c>
      <c r="C331" t="s">
        <v>325</v>
      </c>
      <c r="D331">
        <v>1703.7</v>
      </c>
      <c r="E331" s="8">
        <v>4351.9799999999996</v>
      </c>
      <c r="F331" s="8">
        <v>700495.56</v>
      </c>
      <c r="G331" s="8">
        <v>696143.58000000007</v>
      </c>
    </row>
    <row r="332" spans="1:7" x14ac:dyDescent="0.55000000000000004">
      <c r="A332">
        <v>2017</v>
      </c>
      <c r="B332" t="s">
        <v>347</v>
      </c>
      <c r="C332" t="s">
        <v>326</v>
      </c>
      <c r="D332">
        <v>479.1</v>
      </c>
      <c r="E332" s="8">
        <v>430.9</v>
      </c>
      <c r="F332" s="8">
        <v>168774.14</v>
      </c>
      <c r="G332" s="8">
        <v>168343.24000000002</v>
      </c>
    </row>
    <row r="333" spans="1:7" x14ac:dyDescent="0.55000000000000004">
      <c r="A333">
        <v>2017</v>
      </c>
      <c r="B333" t="s">
        <v>346</v>
      </c>
      <c r="C333" t="s">
        <v>327</v>
      </c>
      <c r="D333">
        <v>559.29999999999995</v>
      </c>
      <c r="E333" s="8">
        <v>12815.83</v>
      </c>
      <c r="F333" s="8">
        <v>262650.40999999997</v>
      </c>
      <c r="G333" s="8">
        <v>249834.58</v>
      </c>
    </row>
    <row r="334" spans="1:7" x14ac:dyDescent="0.55000000000000004">
      <c r="A334">
        <v>2017</v>
      </c>
      <c r="B334" t="s">
        <v>345</v>
      </c>
      <c r="C334" t="s">
        <v>328</v>
      </c>
      <c r="D334">
        <v>950.3</v>
      </c>
      <c r="E334" s="8">
        <v>0</v>
      </c>
      <c r="F334" s="8">
        <v>336096.79</v>
      </c>
      <c r="G334" s="8">
        <v>336096.79</v>
      </c>
    </row>
    <row r="335" spans="1:7" x14ac:dyDescent="0.55000000000000004">
      <c r="A335">
        <v>2018</v>
      </c>
      <c r="B335" t="s">
        <v>683</v>
      </c>
      <c r="C335" t="s">
        <v>17</v>
      </c>
      <c r="D335">
        <v>626.09999999999991</v>
      </c>
      <c r="G335" s="8">
        <v>372362.68</v>
      </c>
    </row>
    <row r="336" spans="1:7" x14ac:dyDescent="0.55000000000000004">
      <c r="A336">
        <v>2018</v>
      </c>
      <c r="B336" t="s">
        <v>682</v>
      </c>
      <c r="C336" t="s">
        <v>18</v>
      </c>
      <c r="D336">
        <v>300.3</v>
      </c>
      <c r="G336" s="8">
        <v>282317.99</v>
      </c>
    </row>
    <row r="337" spans="1:7" x14ac:dyDescent="0.55000000000000004">
      <c r="A337">
        <v>2018</v>
      </c>
      <c r="B337" t="s">
        <v>681</v>
      </c>
      <c r="C337" t="s">
        <v>19</v>
      </c>
      <c r="D337">
        <v>1729.8</v>
      </c>
      <c r="G337" s="8">
        <v>635577.24</v>
      </c>
    </row>
    <row r="338" spans="1:7" x14ac:dyDescent="0.55000000000000004">
      <c r="A338">
        <v>2018</v>
      </c>
      <c r="B338" t="s">
        <v>680</v>
      </c>
      <c r="C338" t="s">
        <v>20</v>
      </c>
      <c r="D338">
        <v>544.70000000000005</v>
      </c>
      <c r="G338" s="8">
        <v>319142.60000000003</v>
      </c>
    </row>
    <row r="339" spans="1:7" x14ac:dyDescent="0.55000000000000004">
      <c r="A339">
        <v>2018</v>
      </c>
      <c r="B339" t="s">
        <v>679</v>
      </c>
      <c r="C339" t="s">
        <v>21</v>
      </c>
      <c r="D339">
        <v>214.2</v>
      </c>
      <c r="G339" s="8">
        <v>183432.04</v>
      </c>
    </row>
    <row r="340" spans="1:7" x14ac:dyDescent="0.55000000000000004">
      <c r="A340">
        <v>2018</v>
      </c>
      <c r="B340" t="s">
        <v>678</v>
      </c>
      <c r="C340" t="s">
        <v>22</v>
      </c>
      <c r="D340">
        <v>1182.8</v>
      </c>
      <c r="G340" s="8">
        <v>394763.81</v>
      </c>
    </row>
    <row r="341" spans="1:7" x14ac:dyDescent="0.55000000000000004">
      <c r="A341">
        <v>2018</v>
      </c>
      <c r="B341" t="s">
        <v>677</v>
      </c>
      <c r="C341" t="s">
        <v>23</v>
      </c>
      <c r="D341">
        <v>525.29999999999995</v>
      </c>
      <c r="G341" s="8">
        <v>280431.65000000002</v>
      </c>
    </row>
    <row r="342" spans="1:7" x14ac:dyDescent="0.55000000000000004">
      <c r="A342">
        <v>2018</v>
      </c>
      <c r="B342" t="s">
        <v>676</v>
      </c>
      <c r="C342" t="s">
        <v>24</v>
      </c>
      <c r="D342">
        <v>268.7</v>
      </c>
      <c r="G342" s="8">
        <v>143055.13</v>
      </c>
    </row>
    <row r="343" spans="1:7" x14ac:dyDescent="0.55000000000000004">
      <c r="A343">
        <v>2018</v>
      </c>
      <c r="B343" t="s">
        <v>675</v>
      </c>
      <c r="C343" t="s">
        <v>25</v>
      </c>
      <c r="D343">
        <v>1302.4000000000001</v>
      </c>
      <c r="G343" s="8">
        <v>498316.08</v>
      </c>
    </row>
    <row r="344" spans="1:7" x14ac:dyDescent="0.55000000000000004">
      <c r="A344">
        <v>2018</v>
      </c>
      <c r="B344" t="s">
        <v>674</v>
      </c>
      <c r="C344" t="s">
        <v>26</v>
      </c>
      <c r="D344">
        <v>1092.6000000000001</v>
      </c>
      <c r="G344" s="8">
        <v>740035.05</v>
      </c>
    </row>
    <row r="345" spans="1:7" x14ac:dyDescent="0.55000000000000004">
      <c r="A345">
        <v>2018</v>
      </c>
      <c r="B345" t="s">
        <v>673</v>
      </c>
      <c r="C345" t="s">
        <v>329</v>
      </c>
      <c r="D345">
        <v>586</v>
      </c>
      <c r="G345" s="8">
        <v>371786.12</v>
      </c>
    </row>
    <row r="346" spans="1:7" x14ac:dyDescent="0.55000000000000004">
      <c r="A346">
        <v>2018</v>
      </c>
      <c r="B346" t="s">
        <v>672</v>
      </c>
      <c r="C346" t="s">
        <v>27</v>
      </c>
      <c r="D346">
        <v>540</v>
      </c>
      <c r="G346" s="8">
        <v>233260.69999999998</v>
      </c>
    </row>
    <row r="347" spans="1:7" x14ac:dyDescent="0.55000000000000004">
      <c r="A347">
        <v>2018</v>
      </c>
      <c r="B347" t="s">
        <v>671</v>
      </c>
      <c r="C347" t="s">
        <v>28</v>
      </c>
      <c r="D347">
        <v>4299.8</v>
      </c>
      <c r="G347" s="8">
        <v>2022806.3099999998</v>
      </c>
    </row>
    <row r="348" spans="1:7" x14ac:dyDescent="0.55000000000000004">
      <c r="A348">
        <v>2018</v>
      </c>
      <c r="B348" t="s">
        <v>670</v>
      </c>
      <c r="C348" t="s">
        <v>29</v>
      </c>
      <c r="D348">
        <v>1278</v>
      </c>
      <c r="G348" s="8">
        <v>412591.71</v>
      </c>
    </row>
    <row r="349" spans="1:7" x14ac:dyDescent="0.55000000000000004">
      <c r="A349">
        <v>2018</v>
      </c>
      <c r="B349" t="s">
        <v>669</v>
      </c>
      <c r="C349" t="s">
        <v>30</v>
      </c>
      <c r="D349">
        <v>238.3</v>
      </c>
      <c r="G349" s="8">
        <v>175589.31</v>
      </c>
    </row>
    <row r="350" spans="1:7" x14ac:dyDescent="0.55000000000000004">
      <c r="A350">
        <v>2018</v>
      </c>
      <c r="B350" t="s">
        <v>668</v>
      </c>
      <c r="C350" t="s">
        <v>31</v>
      </c>
      <c r="D350">
        <v>11548.300000000001</v>
      </c>
      <c r="G350" s="8">
        <v>2706109.56</v>
      </c>
    </row>
    <row r="351" spans="1:7" x14ac:dyDescent="0.55000000000000004">
      <c r="A351">
        <v>2018</v>
      </c>
      <c r="B351" t="s">
        <v>667</v>
      </c>
      <c r="C351" t="s">
        <v>32</v>
      </c>
      <c r="D351">
        <v>824.5</v>
      </c>
      <c r="G351" s="8">
        <v>294282.89</v>
      </c>
    </row>
    <row r="352" spans="1:7" x14ac:dyDescent="0.55000000000000004">
      <c r="A352">
        <v>2018</v>
      </c>
      <c r="B352" t="s">
        <v>666</v>
      </c>
      <c r="C352" t="s">
        <v>343</v>
      </c>
      <c r="D352">
        <v>413</v>
      </c>
      <c r="G352" s="8">
        <v>291032.24</v>
      </c>
    </row>
    <row r="353" spans="1:7" x14ac:dyDescent="0.55000000000000004">
      <c r="A353">
        <v>2018</v>
      </c>
      <c r="B353" t="s">
        <v>665</v>
      </c>
      <c r="C353" t="s">
        <v>33</v>
      </c>
      <c r="D353">
        <v>267</v>
      </c>
      <c r="G353" s="8">
        <v>140671.91</v>
      </c>
    </row>
    <row r="354" spans="1:7" x14ac:dyDescent="0.55000000000000004">
      <c r="A354">
        <v>2018</v>
      </c>
      <c r="B354" t="s">
        <v>664</v>
      </c>
      <c r="C354" t="s">
        <v>34</v>
      </c>
      <c r="D354">
        <v>1352.1</v>
      </c>
      <c r="G354" s="8">
        <v>310415.3</v>
      </c>
    </row>
    <row r="355" spans="1:7" x14ac:dyDescent="0.55000000000000004">
      <c r="A355">
        <v>2018</v>
      </c>
      <c r="B355" t="s">
        <v>663</v>
      </c>
      <c r="C355" t="s">
        <v>35</v>
      </c>
      <c r="D355">
        <v>491.1</v>
      </c>
      <c r="G355" s="8">
        <v>195991.31999999998</v>
      </c>
    </row>
    <row r="356" spans="1:7" x14ac:dyDescent="0.55000000000000004">
      <c r="A356">
        <v>2018</v>
      </c>
      <c r="B356" t="s">
        <v>662</v>
      </c>
      <c r="C356" t="s">
        <v>36</v>
      </c>
      <c r="D356">
        <v>235</v>
      </c>
      <c r="G356" s="8">
        <v>135745.60999999999</v>
      </c>
    </row>
    <row r="357" spans="1:7" x14ac:dyDescent="0.55000000000000004">
      <c r="A357">
        <v>2018</v>
      </c>
      <c r="B357" t="s">
        <v>661</v>
      </c>
      <c r="C357" t="s">
        <v>691</v>
      </c>
      <c r="D357">
        <v>791.7</v>
      </c>
      <c r="G357" s="8">
        <v>419976.06</v>
      </c>
    </row>
    <row r="358" spans="1:7" x14ac:dyDescent="0.55000000000000004">
      <c r="A358">
        <v>2018</v>
      </c>
      <c r="B358" t="s">
        <v>660</v>
      </c>
      <c r="C358" t="s">
        <v>37</v>
      </c>
      <c r="D358">
        <v>1619.2</v>
      </c>
      <c r="G358" s="8">
        <v>635376.26</v>
      </c>
    </row>
    <row r="359" spans="1:7" x14ac:dyDescent="0.55000000000000004">
      <c r="A359">
        <v>2018</v>
      </c>
      <c r="B359" t="s">
        <v>659</v>
      </c>
      <c r="C359" t="s">
        <v>38</v>
      </c>
      <c r="D359">
        <v>648</v>
      </c>
      <c r="G359" s="8">
        <v>284024.24</v>
      </c>
    </row>
    <row r="360" spans="1:7" x14ac:dyDescent="0.55000000000000004">
      <c r="A360">
        <v>2018</v>
      </c>
      <c r="B360" t="s">
        <v>658</v>
      </c>
      <c r="C360" t="s">
        <v>39</v>
      </c>
      <c r="D360">
        <v>315.39999999999998</v>
      </c>
      <c r="G360" s="8">
        <v>123753.1</v>
      </c>
    </row>
    <row r="361" spans="1:7" x14ac:dyDescent="0.55000000000000004">
      <c r="A361">
        <v>2018</v>
      </c>
      <c r="B361" t="s">
        <v>657</v>
      </c>
      <c r="C361" t="s">
        <v>40</v>
      </c>
      <c r="D361">
        <v>531.29999999999995</v>
      </c>
      <c r="G361" s="8">
        <v>331239.75</v>
      </c>
    </row>
    <row r="362" spans="1:7" x14ac:dyDescent="0.55000000000000004">
      <c r="A362">
        <v>2018</v>
      </c>
      <c r="B362" t="s">
        <v>656</v>
      </c>
      <c r="C362" t="s">
        <v>41</v>
      </c>
      <c r="D362">
        <v>450.1</v>
      </c>
      <c r="G362" s="8">
        <v>177828.81</v>
      </c>
    </row>
    <row r="363" spans="1:7" x14ac:dyDescent="0.55000000000000004">
      <c r="A363">
        <v>2018</v>
      </c>
      <c r="B363" t="s">
        <v>655</v>
      </c>
      <c r="C363" t="s">
        <v>42</v>
      </c>
      <c r="D363">
        <v>532.79999999999995</v>
      </c>
      <c r="G363" s="8">
        <v>219174.92</v>
      </c>
    </row>
    <row r="364" spans="1:7" x14ac:dyDescent="0.55000000000000004">
      <c r="A364">
        <v>2018</v>
      </c>
      <c r="B364" t="s">
        <v>654</v>
      </c>
      <c r="C364" t="s">
        <v>43</v>
      </c>
      <c r="D364">
        <v>577</v>
      </c>
      <c r="G364" s="8">
        <v>241101.85</v>
      </c>
    </row>
    <row r="365" spans="1:7" x14ac:dyDescent="0.55000000000000004">
      <c r="A365">
        <v>2018</v>
      </c>
      <c r="B365" t="s">
        <v>653</v>
      </c>
      <c r="C365" t="s">
        <v>44</v>
      </c>
      <c r="D365">
        <v>797.6</v>
      </c>
      <c r="G365" s="8">
        <v>212362.64</v>
      </c>
    </row>
    <row r="366" spans="1:7" x14ac:dyDescent="0.55000000000000004">
      <c r="A366">
        <v>2018</v>
      </c>
      <c r="B366" t="s">
        <v>652</v>
      </c>
      <c r="C366" t="s">
        <v>45</v>
      </c>
      <c r="D366">
        <v>187.1</v>
      </c>
      <c r="G366" s="8">
        <v>132082.5</v>
      </c>
    </row>
    <row r="367" spans="1:7" x14ac:dyDescent="0.55000000000000004">
      <c r="A367">
        <v>2018</v>
      </c>
      <c r="B367" t="s">
        <v>651</v>
      </c>
      <c r="C367" t="s">
        <v>46</v>
      </c>
      <c r="D367">
        <v>1486.7</v>
      </c>
      <c r="G367" s="8">
        <v>792932.4</v>
      </c>
    </row>
    <row r="368" spans="1:7" x14ac:dyDescent="0.55000000000000004">
      <c r="A368">
        <v>2018</v>
      </c>
      <c r="B368" t="s">
        <v>650</v>
      </c>
      <c r="C368" t="s">
        <v>47</v>
      </c>
      <c r="D368">
        <v>4100</v>
      </c>
      <c r="G368" s="8">
        <v>423252.5</v>
      </c>
    </row>
    <row r="369" spans="1:7" x14ac:dyDescent="0.55000000000000004">
      <c r="A369">
        <v>2018</v>
      </c>
      <c r="B369" t="s">
        <v>649</v>
      </c>
      <c r="C369" t="s">
        <v>648</v>
      </c>
      <c r="D369">
        <v>875.9</v>
      </c>
      <c r="G369" s="8">
        <v>722004.51</v>
      </c>
    </row>
    <row r="370" spans="1:7" x14ac:dyDescent="0.55000000000000004">
      <c r="A370">
        <v>2018</v>
      </c>
      <c r="B370" t="s">
        <v>647</v>
      </c>
      <c r="C370" t="s">
        <v>48</v>
      </c>
      <c r="D370">
        <v>1989.4</v>
      </c>
      <c r="G370" s="8">
        <v>486465.54</v>
      </c>
    </row>
    <row r="371" spans="1:7" x14ac:dyDescent="0.55000000000000004">
      <c r="A371">
        <v>2018</v>
      </c>
      <c r="B371" t="s">
        <v>646</v>
      </c>
      <c r="C371" t="s">
        <v>49</v>
      </c>
      <c r="D371">
        <v>2049.9</v>
      </c>
      <c r="G371" s="8">
        <v>308578.95</v>
      </c>
    </row>
    <row r="372" spans="1:7" x14ac:dyDescent="0.55000000000000004">
      <c r="A372">
        <v>2018</v>
      </c>
      <c r="B372" t="s">
        <v>645</v>
      </c>
      <c r="C372" t="s">
        <v>50</v>
      </c>
      <c r="D372">
        <v>590.5</v>
      </c>
      <c r="G372" s="8">
        <v>146270.82999999999</v>
      </c>
    </row>
    <row r="373" spans="1:7" x14ac:dyDescent="0.55000000000000004">
      <c r="A373">
        <v>2018</v>
      </c>
      <c r="B373" t="s">
        <v>644</v>
      </c>
      <c r="C373" t="s">
        <v>51</v>
      </c>
      <c r="D373">
        <v>544.20000000000005</v>
      </c>
      <c r="G373" s="8">
        <v>213978.36</v>
      </c>
    </row>
    <row r="374" spans="1:7" x14ac:dyDescent="0.55000000000000004">
      <c r="A374">
        <v>2018</v>
      </c>
      <c r="B374" t="s">
        <v>643</v>
      </c>
      <c r="C374" t="s">
        <v>52</v>
      </c>
      <c r="D374">
        <v>563.1</v>
      </c>
      <c r="G374" s="8">
        <v>188884.33</v>
      </c>
    </row>
    <row r="375" spans="1:7" x14ac:dyDescent="0.55000000000000004">
      <c r="A375">
        <v>2018</v>
      </c>
      <c r="B375" t="s">
        <v>642</v>
      </c>
      <c r="C375" t="s">
        <v>53</v>
      </c>
      <c r="D375">
        <v>455.5</v>
      </c>
      <c r="G375" s="8">
        <v>178978.82</v>
      </c>
    </row>
    <row r="376" spans="1:7" x14ac:dyDescent="0.55000000000000004">
      <c r="A376">
        <v>2018</v>
      </c>
      <c r="B376" t="s">
        <v>641</v>
      </c>
      <c r="C376" t="s">
        <v>54</v>
      </c>
      <c r="D376">
        <v>4261.3</v>
      </c>
      <c r="G376" s="8">
        <v>834135.85</v>
      </c>
    </row>
    <row r="377" spans="1:7" x14ac:dyDescent="0.55000000000000004">
      <c r="A377">
        <v>2018</v>
      </c>
      <c r="B377" t="s">
        <v>640</v>
      </c>
      <c r="C377" t="s">
        <v>639</v>
      </c>
      <c r="D377">
        <v>496.9</v>
      </c>
      <c r="G377" s="8">
        <v>319309.57</v>
      </c>
    </row>
    <row r="378" spans="1:7" x14ac:dyDescent="0.55000000000000004">
      <c r="A378">
        <v>2018</v>
      </c>
      <c r="B378" t="s">
        <v>638</v>
      </c>
      <c r="C378" t="s">
        <v>55</v>
      </c>
      <c r="D378">
        <v>256.60000000000002</v>
      </c>
      <c r="G378" s="8">
        <v>99860.91</v>
      </c>
    </row>
    <row r="379" spans="1:7" x14ac:dyDescent="0.55000000000000004">
      <c r="A379">
        <v>2018</v>
      </c>
      <c r="B379" t="s">
        <v>637</v>
      </c>
      <c r="C379" t="s">
        <v>56</v>
      </c>
      <c r="D379">
        <v>437.3</v>
      </c>
      <c r="G379" s="8">
        <v>229289.06</v>
      </c>
    </row>
    <row r="380" spans="1:7" x14ac:dyDescent="0.55000000000000004">
      <c r="A380">
        <v>2018</v>
      </c>
      <c r="B380" t="s">
        <v>636</v>
      </c>
      <c r="C380" t="s">
        <v>57</v>
      </c>
      <c r="D380">
        <v>839.3</v>
      </c>
      <c r="G380" s="8">
        <v>168843.02</v>
      </c>
    </row>
    <row r="381" spans="1:7" x14ac:dyDescent="0.55000000000000004">
      <c r="A381">
        <v>2018</v>
      </c>
      <c r="B381" t="s">
        <v>635</v>
      </c>
      <c r="C381" t="s">
        <v>58</v>
      </c>
      <c r="D381">
        <v>573.70000000000005</v>
      </c>
      <c r="G381" s="8">
        <v>510139.9</v>
      </c>
    </row>
    <row r="382" spans="1:7" x14ac:dyDescent="0.55000000000000004">
      <c r="A382">
        <v>2018</v>
      </c>
      <c r="B382" t="s">
        <v>634</v>
      </c>
      <c r="C382" t="s">
        <v>59</v>
      </c>
      <c r="D382">
        <v>1943.7</v>
      </c>
      <c r="G382" s="8">
        <v>751647.2300000001</v>
      </c>
    </row>
    <row r="383" spans="1:7" x14ac:dyDescent="0.55000000000000004">
      <c r="A383">
        <v>2018</v>
      </c>
      <c r="B383" t="s">
        <v>633</v>
      </c>
      <c r="C383" t="s">
        <v>60</v>
      </c>
      <c r="D383">
        <v>1672</v>
      </c>
      <c r="G383" s="8">
        <v>788564.19</v>
      </c>
    </row>
    <row r="384" spans="1:7" x14ac:dyDescent="0.55000000000000004">
      <c r="A384">
        <v>2018</v>
      </c>
      <c r="B384" t="s">
        <v>632</v>
      </c>
      <c r="C384" t="s">
        <v>61</v>
      </c>
      <c r="D384">
        <v>5125.8999999999996</v>
      </c>
      <c r="G384" s="8">
        <v>1480213.19</v>
      </c>
    </row>
    <row r="385" spans="1:7" x14ac:dyDescent="0.55000000000000004">
      <c r="A385">
        <v>2018</v>
      </c>
      <c r="B385" t="s">
        <v>631</v>
      </c>
      <c r="C385" t="s">
        <v>62</v>
      </c>
      <c r="D385">
        <v>17104.800000000003</v>
      </c>
      <c r="G385" s="8">
        <v>4687534.7700000005</v>
      </c>
    </row>
    <row r="386" spans="1:7" x14ac:dyDescent="0.55000000000000004">
      <c r="A386">
        <v>2018</v>
      </c>
      <c r="B386" t="s">
        <v>630</v>
      </c>
      <c r="C386" t="s">
        <v>63</v>
      </c>
      <c r="D386">
        <v>1356.3</v>
      </c>
      <c r="G386" s="8">
        <v>342877.62000000005</v>
      </c>
    </row>
    <row r="387" spans="1:7" x14ac:dyDescent="0.55000000000000004">
      <c r="A387">
        <v>2018</v>
      </c>
      <c r="B387" t="s">
        <v>629</v>
      </c>
      <c r="C387" t="s">
        <v>64</v>
      </c>
      <c r="D387">
        <v>1376.4</v>
      </c>
      <c r="G387" s="8">
        <v>353031.19</v>
      </c>
    </row>
    <row r="388" spans="1:7" x14ac:dyDescent="0.55000000000000004">
      <c r="A388">
        <v>2018</v>
      </c>
      <c r="B388" t="s">
        <v>628</v>
      </c>
      <c r="C388" t="s">
        <v>65</v>
      </c>
      <c r="D388">
        <v>766.7</v>
      </c>
      <c r="G388" s="8">
        <v>514899.42</v>
      </c>
    </row>
    <row r="389" spans="1:7" x14ac:dyDescent="0.55000000000000004">
      <c r="A389">
        <v>2018</v>
      </c>
      <c r="B389" t="s">
        <v>627</v>
      </c>
      <c r="C389" t="s">
        <v>66</v>
      </c>
      <c r="D389">
        <v>418.6</v>
      </c>
      <c r="G389" s="8">
        <v>288506.21999999997</v>
      </c>
    </row>
    <row r="390" spans="1:7" x14ac:dyDescent="0.55000000000000004">
      <c r="A390">
        <v>2018</v>
      </c>
      <c r="B390" t="s">
        <v>626</v>
      </c>
      <c r="C390" t="s">
        <v>625</v>
      </c>
      <c r="D390">
        <v>1462.7</v>
      </c>
      <c r="G390" s="8">
        <v>528120.66</v>
      </c>
    </row>
    <row r="391" spans="1:7" x14ac:dyDescent="0.55000000000000004">
      <c r="A391">
        <v>2018</v>
      </c>
      <c r="B391" t="s">
        <v>624</v>
      </c>
      <c r="C391" t="s">
        <v>67</v>
      </c>
      <c r="D391">
        <v>473.6</v>
      </c>
      <c r="G391" s="8">
        <v>155938.18</v>
      </c>
    </row>
    <row r="392" spans="1:7" x14ac:dyDescent="0.55000000000000004">
      <c r="A392">
        <v>2018</v>
      </c>
      <c r="B392" t="s">
        <v>623</v>
      </c>
      <c r="C392" t="s">
        <v>68</v>
      </c>
      <c r="D392">
        <v>616.70000000000005</v>
      </c>
      <c r="G392" s="8">
        <v>535187.82000000007</v>
      </c>
    </row>
    <row r="393" spans="1:7" x14ac:dyDescent="0.55000000000000004">
      <c r="A393">
        <v>2018</v>
      </c>
      <c r="B393" t="s">
        <v>622</v>
      </c>
      <c r="C393" t="s">
        <v>69</v>
      </c>
      <c r="D393">
        <v>761.2</v>
      </c>
      <c r="G393" s="8">
        <v>159569.51</v>
      </c>
    </row>
    <row r="394" spans="1:7" x14ac:dyDescent="0.55000000000000004">
      <c r="A394">
        <v>2018</v>
      </c>
      <c r="B394" t="s">
        <v>621</v>
      </c>
      <c r="C394" t="s">
        <v>70</v>
      </c>
      <c r="D394">
        <v>1240.5</v>
      </c>
      <c r="G394" s="8">
        <v>536343.48</v>
      </c>
    </row>
    <row r="395" spans="1:7" x14ac:dyDescent="0.55000000000000004">
      <c r="A395">
        <v>2018</v>
      </c>
      <c r="B395" t="s">
        <v>620</v>
      </c>
      <c r="C395" t="s">
        <v>71</v>
      </c>
      <c r="D395">
        <v>1498.4</v>
      </c>
      <c r="G395" s="8">
        <v>363878.86</v>
      </c>
    </row>
    <row r="396" spans="1:7" x14ac:dyDescent="0.55000000000000004">
      <c r="A396">
        <v>2018</v>
      </c>
      <c r="B396" t="s">
        <v>619</v>
      </c>
      <c r="C396" t="s">
        <v>72</v>
      </c>
      <c r="D396">
        <v>259.10000000000002</v>
      </c>
      <c r="G396" s="8">
        <v>200759.75</v>
      </c>
    </row>
    <row r="397" spans="1:7" x14ac:dyDescent="0.55000000000000004">
      <c r="A397">
        <v>2018</v>
      </c>
      <c r="B397" t="s">
        <v>618</v>
      </c>
      <c r="C397" t="s">
        <v>73</v>
      </c>
      <c r="D397">
        <v>973.5</v>
      </c>
      <c r="G397" s="8">
        <v>244271.29</v>
      </c>
    </row>
    <row r="398" spans="1:7" x14ac:dyDescent="0.55000000000000004">
      <c r="A398">
        <v>2018</v>
      </c>
      <c r="B398" t="s">
        <v>617</v>
      </c>
      <c r="C398" t="s">
        <v>74</v>
      </c>
      <c r="D398">
        <v>978.6</v>
      </c>
      <c r="G398" s="8">
        <v>239648.83</v>
      </c>
    </row>
    <row r="399" spans="1:7" x14ac:dyDescent="0.55000000000000004">
      <c r="A399">
        <v>2018</v>
      </c>
      <c r="B399" t="s">
        <v>616</v>
      </c>
      <c r="C399" t="s">
        <v>344</v>
      </c>
      <c r="D399">
        <v>943.6</v>
      </c>
      <c r="G399" s="8">
        <v>623482.12</v>
      </c>
    </row>
    <row r="400" spans="1:7" x14ac:dyDescent="0.55000000000000004">
      <c r="A400">
        <v>2018</v>
      </c>
      <c r="B400" t="s">
        <v>615</v>
      </c>
      <c r="C400" t="s">
        <v>75</v>
      </c>
      <c r="D400">
        <v>1459.6</v>
      </c>
      <c r="G400" s="8">
        <v>692797.11</v>
      </c>
    </row>
    <row r="401" spans="1:7" x14ac:dyDescent="0.55000000000000004">
      <c r="A401">
        <v>2018</v>
      </c>
      <c r="B401" t="s">
        <v>614</v>
      </c>
      <c r="C401" t="s">
        <v>76</v>
      </c>
      <c r="D401">
        <v>315</v>
      </c>
      <c r="G401" s="8">
        <v>63327.839999999997</v>
      </c>
    </row>
    <row r="402" spans="1:7" x14ac:dyDescent="0.55000000000000004">
      <c r="A402">
        <v>2018</v>
      </c>
      <c r="B402" t="s">
        <v>613</v>
      </c>
      <c r="C402" t="s">
        <v>77</v>
      </c>
      <c r="D402">
        <v>332</v>
      </c>
      <c r="G402" s="8">
        <v>131396.4</v>
      </c>
    </row>
    <row r="403" spans="1:7" x14ac:dyDescent="0.55000000000000004">
      <c r="A403">
        <v>2018</v>
      </c>
      <c r="B403" t="s">
        <v>612</v>
      </c>
      <c r="C403" t="s">
        <v>78</v>
      </c>
      <c r="D403">
        <v>2191.6999999999998</v>
      </c>
      <c r="G403" s="8">
        <v>766563.48</v>
      </c>
    </row>
    <row r="404" spans="1:7" x14ac:dyDescent="0.55000000000000004">
      <c r="A404">
        <v>2018</v>
      </c>
      <c r="B404" t="s">
        <v>611</v>
      </c>
      <c r="C404" t="s">
        <v>79</v>
      </c>
      <c r="D404">
        <v>1233.9000000000001</v>
      </c>
      <c r="G404" s="8">
        <v>280775.21999999997</v>
      </c>
    </row>
    <row r="405" spans="1:7" x14ac:dyDescent="0.55000000000000004">
      <c r="A405">
        <v>2018</v>
      </c>
      <c r="B405" t="s">
        <v>610</v>
      </c>
      <c r="C405" t="s">
        <v>80</v>
      </c>
      <c r="D405">
        <v>3723.4</v>
      </c>
      <c r="G405" s="8">
        <v>774019.54</v>
      </c>
    </row>
    <row r="406" spans="1:7" x14ac:dyDescent="0.55000000000000004">
      <c r="A406">
        <v>2018</v>
      </c>
      <c r="B406" t="s">
        <v>609</v>
      </c>
      <c r="C406" t="s">
        <v>81</v>
      </c>
      <c r="D406">
        <v>736.4</v>
      </c>
      <c r="G406" s="8">
        <v>232297.36</v>
      </c>
    </row>
    <row r="407" spans="1:7" x14ac:dyDescent="0.55000000000000004">
      <c r="A407">
        <v>2018</v>
      </c>
      <c r="B407" t="s">
        <v>608</v>
      </c>
      <c r="C407" t="s">
        <v>82</v>
      </c>
      <c r="D407">
        <v>5162.7</v>
      </c>
      <c r="G407" s="8">
        <v>2254318.92</v>
      </c>
    </row>
    <row r="408" spans="1:7" x14ac:dyDescent="0.55000000000000004">
      <c r="A408">
        <v>2018</v>
      </c>
      <c r="B408" t="s">
        <v>607</v>
      </c>
      <c r="C408" t="s">
        <v>83</v>
      </c>
      <c r="D408">
        <v>459.2</v>
      </c>
      <c r="G408" s="8">
        <v>109945.3</v>
      </c>
    </row>
    <row r="409" spans="1:7" x14ac:dyDescent="0.55000000000000004">
      <c r="A409">
        <v>2018</v>
      </c>
      <c r="B409" t="s">
        <v>606</v>
      </c>
      <c r="C409" t="s">
        <v>605</v>
      </c>
      <c r="D409">
        <v>512.70000000000005</v>
      </c>
      <c r="G409" s="8">
        <v>241713.31</v>
      </c>
    </row>
    <row r="410" spans="1:7" x14ac:dyDescent="0.55000000000000004">
      <c r="A410">
        <v>2018</v>
      </c>
      <c r="B410" t="s">
        <v>604</v>
      </c>
      <c r="C410" t="s">
        <v>84</v>
      </c>
      <c r="D410">
        <v>786.9</v>
      </c>
      <c r="G410" s="8">
        <v>280705.90000000002</v>
      </c>
    </row>
    <row r="411" spans="1:7" x14ac:dyDescent="0.55000000000000004">
      <c r="A411">
        <v>2018</v>
      </c>
      <c r="B411" t="s">
        <v>603</v>
      </c>
      <c r="C411" t="s">
        <v>85</v>
      </c>
      <c r="D411">
        <v>439</v>
      </c>
      <c r="G411" s="8">
        <v>169574.79</v>
      </c>
    </row>
    <row r="412" spans="1:7" x14ac:dyDescent="0.55000000000000004">
      <c r="A412">
        <v>2018</v>
      </c>
      <c r="B412" t="s">
        <v>602</v>
      </c>
      <c r="C412" t="s">
        <v>86</v>
      </c>
      <c r="D412">
        <v>399.2</v>
      </c>
      <c r="G412" s="8">
        <v>376020.47999999998</v>
      </c>
    </row>
    <row r="413" spans="1:7" x14ac:dyDescent="0.55000000000000004">
      <c r="A413">
        <v>2018</v>
      </c>
      <c r="B413" t="s">
        <v>601</v>
      </c>
      <c r="C413" t="s">
        <v>87</v>
      </c>
      <c r="D413">
        <v>9124.5999999999985</v>
      </c>
      <c r="G413" s="8">
        <v>2686603.57</v>
      </c>
    </row>
    <row r="414" spans="1:7" x14ac:dyDescent="0.55000000000000004">
      <c r="A414">
        <v>2018</v>
      </c>
      <c r="B414" t="s">
        <v>600</v>
      </c>
      <c r="C414" t="s">
        <v>88</v>
      </c>
      <c r="D414">
        <v>1470.1</v>
      </c>
      <c r="G414" s="8">
        <v>338271.3</v>
      </c>
    </row>
    <row r="415" spans="1:7" x14ac:dyDescent="0.55000000000000004">
      <c r="A415">
        <v>2018</v>
      </c>
      <c r="B415" t="s">
        <v>599</v>
      </c>
      <c r="C415" t="s">
        <v>89</v>
      </c>
      <c r="D415">
        <v>2820.9</v>
      </c>
      <c r="G415" s="8">
        <v>888045.07</v>
      </c>
    </row>
    <row r="416" spans="1:7" x14ac:dyDescent="0.55000000000000004">
      <c r="A416">
        <v>2018</v>
      </c>
      <c r="B416" t="s">
        <v>598</v>
      </c>
      <c r="C416" t="s">
        <v>90</v>
      </c>
      <c r="D416">
        <v>513.5</v>
      </c>
      <c r="G416" s="8">
        <v>252183.03</v>
      </c>
    </row>
    <row r="417" spans="1:7" x14ac:dyDescent="0.55000000000000004">
      <c r="A417">
        <v>2018</v>
      </c>
      <c r="B417" t="s">
        <v>597</v>
      </c>
      <c r="C417" t="s">
        <v>91</v>
      </c>
      <c r="D417">
        <v>15231.3</v>
      </c>
      <c r="G417" s="8">
        <v>4550753.16</v>
      </c>
    </row>
    <row r="418" spans="1:7" x14ac:dyDescent="0.55000000000000004">
      <c r="A418">
        <v>2018</v>
      </c>
      <c r="B418" t="s">
        <v>596</v>
      </c>
      <c r="C418" t="s">
        <v>92</v>
      </c>
      <c r="D418">
        <v>1137.5999999999999</v>
      </c>
      <c r="G418" s="8">
        <v>855358.89</v>
      </c>
    </row>
    <row r="419" spans="1:7" x14ac:dyDescent="0.55000000000000004">
      <c r="A419">
        <v>2018</v>
      </c>
      <c r="B419" t="s">
        <v>595</v>
      </c>
      <c r="C419" t="s">
        <v>93</v>
      </c>
      <c r="D419">
        <v>1366.6999999999998</v>
      </c>
      <c r="G419" s="8">
        <v>660350.42000000004</v>
      </c>
    </row>
    <row r="420" spans="1:7" x14ac:dyDescent="0.55000000000000004">
      <c r="A420">
        <v>2018</v>
      </c>
      <c r="B420" t="s">
        <v>594</v>
      </c>
      <c r="C420" t="s">
        <v>94</v>
      </c>
      <c r="D420">
        <v>197.5</v>
      </c>
      <c r="G420" s="8">
        <v>184699.29</v>
      </c>
    </row>
    <row r="421" spans="1:7" x14ac:dyDescent="0.55000000000000004">
      <c r="A421">
        <v>2018</v>
      </c>
      <c r="B421" t="s">
        <v>593</v>
      </c>
      <c r="C421" t="s">
        <v>95</v>
      </c>
      <c r="D421">
        <v>2100.5</v>
      </c>
      <c r="G421" s="8">
        <v>881579.78999999992</v>
      </c>
    </row>
    <row r="422" spans="1:7" x14ac:dyDescent="0.55000000000000004">
      <c r="A422">
        <v>2018</v>
      </c>
      <c r="B422" t="s">
        <v>592</v>
      </c>
      <c r="C422" t="s">
        <v>96</v>
      </c>
      <c r="D422">
        <v>750</v>
      </c>
      <c r="G422" s="8">
        <v>128675.48</v>
      </c>
    </row>
    <row r="423" spans="1:7" x14ac:dyDescent="0.55000000000000004">
      <c r="A423">
        <v>2018</v>
      </c>
      <c r="B423" t="s">
        <v>591</v>
      </c>
      <c r="C423" t="s">
        <v>97</v>
      </c>
      <c r="D423">
        <v>33055.5</v>
      </c>
      <c r="G423" s="8">
        <v>8102618.2000000002</v>
      </c>
    </row>
    <row r="424" spans="1:7" x14ac:dyDescent="0.55000000000000004">
      <c r="A424">
        <v>2018</v>
      </c>
      <c r="B424" t="s">
        <v>590</v>
      </c>
      <c r="C424" t="s">
        <v>98</v>
      </c>
      <c r="D424">
        <v>99</v>
      </c>
      <c r="G424" s="8">
        <v>69429.72</v>
      </c>
    </row>
    <row r="425" spans="1:7" x14ac:dyDescent="0.55000000000000004">
      <c r="A425">
        <v>2018</v>
      </c>
      <c r="B425" t="s">
        <v>589</v>
      </c>
      <c r="C425" t="s">
        <v>99</v>
      </c>
      <c r="D425">
        <v>882.2</v>
      </c>
      <c r="G425" s="8">
        <v>277888.62999999995</v>
      </c>
    </row>
    <row r="426" spans="1:7" x14ac:dyDescent="0.55000000000000004">
      <c r="A426">
        <v>2018</v>
      </c>
      <c r="B426" t="s">
        <v>588</v>
      </c>
      <c r="C426" t="s">
        <v>100</v>
      </c>
      <c r="D426">
        <v>10505.5</v>
      </c>
      <c r="G426" s="8">
        <v>3204785.69</v>
      </c>
    </row>
    <row r="427" spans="1:7" x14ac:dyDescent="0.55000000000000004">
      <c r="A427">
        <v>2018</v>
      </c>
      <c r="B427" t="s">
        <v>587</v>
      </c>
      <c r="C427" t="s">
        <v>101</v>
      </c>
      <c r="D427">
        <v>419.3</v>
      </c>
      <c r="G427" s="8">
        <v>141649.40999999997</v>
      </c>
    </row>
    <row r="428" spans="1:7" x14ac:dyDescent="0.55000000000000004">
      <c r="A428">
        <v>2018</v>
      </c>
      <c r="B428" t="s">
        <v>586</v>
      </c>
      <c r="C428" t="s">
        <v>102</v>
      </c>
      <c r="D428">
        <v>406.6</v>
      </c>
      <c r="G428" s="8">
        <v>205919.86</v>
      </c>
    </row>
    <row r="429" spans="1:7" x14ac:dyDescent="0.55000000000000004">
      <c r="A429">
        <v>2018</v>
      </c>
      <c r="B429" t="s">
        <v>585</v>
      </c>
      <c r="C429" t="s">
        <v>103</v>
      </c>
      <c r="D429">
        <v>563.1</v>
      </c>
      <c r="G429" s="8">
        <v>197215.87</v>
      </c>
    </row>
    <row r="430" spans="1:7" x14ac:dyDescent="0.55000000000000004">
      <c r="A430">
        <v>2018</v>
      </c>
      <c r="B430" t="s">
        <v>584</v>
      </c>
      <c r="C430" t="s">
        <v>104</v>
      </c>
      <c r="D430">
        <v>847.6</v>
      </c>
      <c r="G430" s="8">
        <v>296120.13</v>
      </c>
    </row>
    <row r="431" spans="1:7" x14ac:dyDescent="0.55000000000000004">
      <c r="A431">
        <v>2018</v>
      </c>
      <c r="B431" t="s">
        <v>583</v>
      </c>
      <c r="C431" t="s">
        <v>105</v>
      </c>
      <c r="D431">
        <v>575.1</v>
      </c>
      <c r="G431" s="8">
        <v>156669.35999999999</v>
      </c>
    </row>
    <row r="432" spans="1:7" x14ac:dyDescent="0.55000000000000004">
      <c r="A432">
        <v>2018</v>
      </c>
      <c r="B432" t="s">
        <v>582</v>
      </c>
      <c r="C432" t="s">
        <v>106</v>
      </c>
      <c r="D432">
        <v>567.9</v>
      </c>
      <c r="G432" s="8">
        <v>239130.83000000002</v>
      </c>
    </row>
    <row r="433" spans="1:7" x14ac:dyDescent="0.55000000000000004">
      <c r="A433">
        <v>2018</v>
      </c>
      <c r="B433" t="s">
        <v>581</v>
      </c>
      <c r="C433" t="s">
        <v>336</v>
      </c>
      <c r="D433">
        <v>603.29999999999995</v>
      </c>
      <c r="G433" s="8">
        <v>376127.17</v>
      </c>
    </row>
    <row r="434" spans="1:7" x14ac:dyDescent="0.55000000000000004">
      <c r="A434">
        <v>2018</v>
      </c>
      <c r="B434" t="s">
        <v>580</v>
      </c>
      <c r="C434" t="s">
        <v>107</v>
      </c>
      <c r="D434">
        <v>562.29999999999995</v>
      </c>
      <c r="G434" s="8">
        <v>417947.08999999997</v>
      </c>
    </row>
    <row r="435" spans="1:7" x14ac:dyDescent="0.55000000000000004">
      <c r="A435">
        <v>2018</v>
      </c>
      <c r="B435" t="s">
        <v>579</v>
      </c>
      <c r="C435" t="s">
        <v>108</v>
      </c>
      <c r="D435">
        <v>491.6</v>
      </c>
      <c r="G435" s="8">
        <v>350885.51</v>
      </c>
    </row>
    <row r="436" spans="1:7" x14ac:dyDescent="0.55000000000000004">
      <c r="A436">
        <v>2018</v>
      </c>
      <c r="B436" t="s">
        <v>578</v>
      </c>
      <c r="C436" t="s">
        <v>109</v>
      </c>
      <c r="D436">
        <v>325.10000000000002</v>
      </c>
      <c r="G436" s="8">
        <v>220060.37</v>
      </c>
    </row>
    <row r="437" spans="1:7" x14ac:dyDescent="0.55000000000000004">
      <c r="A437">
        <v>2018</v>
      </c>
      <c r="B437" t="s">
        <v>577</v>
      </c>
      <c r="C437" t="s">
        <v>110</v>
      </c>
      <c r="D437">
        <v>422.6</v>
      </c>
      <c r="G437" s="8">
        <v>227240.95999999999</v>
      </c>
    </row>
    <row r="438" spans="1:7" x14ac:dyDescent="0.55000000000000004">
      <c r="A438">
        <v>2018</v>
      </c>
      <c r="B438" t="s">
        <v>576</v>
      </c>
      <c r="C438" t="s">
        <v>111</v>
      </c>
      <c r="D438">
        <v>414</v>
      </c>
      <c r="G438" s="8">
        <v>308200.09999999998</v>
      </c>
    </row>
    <row r="439" spans="1:7" x14ac:dyDescent="0.55000000000000004">
      <c r="A439">
        <v>2018</v>
      </c>
      <c r="B439" t="s">
        <v>575</v>
      </c>
      <c r="C439" t="s">
        <v>112</v>
      </c>
      <c r="D439">
        <v>624.6</v>
      </c>
      <c r="G439" s="8">
        <v>213086.37</v>
      </c>
    </row>
    <row r="440" spans="1:7" x14ac:dyDescent="0.55000000000000004">
      <c r="A440">
        <v>2018</v>
      </c>
      <c r="B440" t="s">
        <v>574</v>
      </c>
      <c r="C440" t="s">
        <v>113</v>
      </c>
      <c r="D440">
        <v>695.5</v>
      </c>
      <c r="G440" s="8">
        <v>305329.64</v>
      </c>
    </row>
    <row r="441" spans="1:7" x14ac:dyDescent="0.55000000000000004">
      <c r="A441">
        <v>2018</v>
      </c>
      <c r="B441" t="s">
        <v>573</v>
      </c>
      <c r="C441" t="s">
        <v>114</v>
      </c>
      <c r="D441">
        <v>452.2</v>
      </c>
      <c r="G441" s="8">
        <v>225336.73</v>
      </c>
    </row>
    <row r="442" spans="1:7" x14ac:dyDescent="0.55000000000000004">
      <c r="A442">
        <v>2018</v>
      </c>
      <c r="B442" t="s">
        <v>572</v>
      </c>
      <c r="C442" t="s">
        <v>115</v>
      </c>
      <c r="D442">
        <v>194</v>
      </c>
      <c r="G442" s="8">
        <v>69997.100000000006</v>
      </c>
    </row>
    <row r="443" spans="1:7" x14ac:dyDescent="0.55000000000000004">
      <c r="A443">
        <v>2018</v>
      </c>
      <c r="B443" t="s">
        <v>571</v>
      </c>
      <c r="C443" t="s">
        <v>116</v>
      </c>
      <c r="D443">
        <v>1323.5</v>
      </c>
      <c r="G443" s="8">
        <v>187744.86</v>
      </c>
    </row>
    <row r="444" spans="1:7" x14ac:dyDescent="0.55000000000000004">
      <c r="A444">
        <v>2018</v>
      </c>
      <c r="B444" t="s">
        <v>570</v>
      </c>
      <c r="C444" t="s">
        <v>569</v>
      </c>
      <c r="D444">
        <v>413.8</v>
      </c>
      <c r="G444" s="8">
        <v>235410.54</v>
      </c>
    </row>
    <row r="445" spans="1:7" x14ac:dyDescent="0.55000000000000004">
      <c r="A445">
        <v>2018</v>
      </c>
      <c r="B445" t="s">
        <v>568</v>
      </c>
      <c r="C445" t="s">
        <v>117</v>
      </c>
      <c r="D445">
        <v>1591.5</v>
      </c>
      <c r="G445" s="8">
        <v>448654.75</v>
      </c>
    </row>
    <row r="446" spans="1:7" x14ac:dyDescent="0.55000000000000004">
      <c r="A446">
        <v>2018</v>
      </c>
      <c r="B446" t="s">
        <v>567</v>
      </c>
      <c r="C446" t="s">
        <v>118</v>
      </c>
      <c r="D446">
        <v>1092.5</v>
      </c>
      <c r="G446" s="8">
        <v>461844.14</v>
      </c>
    </row>
    <row r="447" spans="1:7" x14ac:dyDescent="0.55000000000000004">
      <c r="A447">
        <v>2018</v>
      </c>
      <c r="B447" t="s">
        <v>566</v>
      </c>
      <c r="C447" t="s">
        <v>119</v>
      </c>
      <c r="D447">
        <v>3796.7999999999997</v>
      </c>
      <c r="G447" s="8">
        <v>805700.84</v>
      </c>
    </row>
    <row r="448" spans="1:7" x14ac:dyDescent="0.55000000000000004">
      <c r="A448">
        <v>2018</v>
      </c>
      <c r="B448" t="s">
        <v>565</v>
      </c>
      <c r="C448" t="s">
        <v>120</v>
      </c>
      <c r="D448">
        <v>2142</v>
      </c>
      <c r="G448" s="8">
        <v>611433.98</v>
      </c>
    </row>
    <row r="449" spans="1:7" x14ac:dyDescent="0.55000000000000004">
      <c r="A449">
        <v>2018</v>
      </c>
      <c r="B449" t="s">
        <v>564</v>
      </c>
      <c r="C449" t="s">
        <v>121</v>
      </c>
      <c r="D449">
        <v>452</v>
      </c>
      <c r="G449" s="8">
        <v>182044.5</v>
      </c>
    </row>
    <row r="450" spans="1:7" x14ac:dyDescent="0.55000000000000004">
      <c r="A450">
        <v>2018</v>
      </c>
      <c r="B450" t="s">
        <v>563</v>
      </c>
      <c r="C450" t="s">
        <v>122</v>
      </c>
      <c r="D450">
        <v>444</v>
      </c>
      <c r="G450" s="8">
        <v>318591.5</v>
      </c>
    </row>
    <row r="451" spans="1:7" x14ac:dyDescent="0.55000000000000004">
      <c r="A451">
        <v>2018</v>
      </c>
      <c r="B451" t="s">
        <v>562</v>
      </c>
      <c r="C451" t="s">
        <v>561</v>
      </c>
      <c r="D451">
        <v>882.1</v>
      </c>
      <c r="G451" s="8">
        <v>427938.33</v>
      </c>
    </row>
    <row r="452" spans="1:7" x14ac:dyDescent="0.55000000000000004">
      <c r="A452">
        <v>2018</v>
      </c>
      <c r="B452" t="s">
        <v>560</v>
      </c>
      <c r="C452" t="s">
        <v>123</v>
      </c>
      <c r="D452">
        <v>426.2</v>
      </c>
      <c r="G452" s="8">
        <v>252379.1</v>
      </c>
    </row>
    <row r="453" spans="1:7" x14ac:dyDescent="0.55000000000000004">
      <c r="A453">
        <v>2018</v>
      </c>
      <c r="B453" t="s">
        <v>559</v>
      </c>
      <c r="C453" t="s">
        <v>124</v>
      </c>
      <c r="D453">
        <v>1490.7</v>
      </c>
      <c r="G453" s="8">
        <v>406163.39</v>
      </c>
    </row>
    <row r="454" spans="1:7" x14ac:dyDescent="0.55000000000000004">
      <c r="A454">
        <v>2018</v>
      </c>
      <c r="B454" t="s">
        <v>558</v>
      </c>
      <c r="C454" t="s">
        <v>125</v>
      </c>
      <c r="D454">
        <v>146</v>
      </c>
      <c r="G454" s="8">
        <v>92934.23</v>
      </c>
    </row>
    <row r="455" spans="1:7" x14ac:dyDescent="0.55000000000000004">
      <c r="A455">
        <v>2018</v>
      </c>
      <c r="B455" t="s">
        <v>557</v>
      </c>
      <c r="C455" t="s">
        <v>126</v>
      </c>
      <c r="D455">
        <v>584.70000000000005</v>
      </c>
      <c r="G455" s="8">
        <v>246554.84</v>
      </c>
    </row>
    <row r="456" spans="1:7" x14ac:dyDescent="0.55000000000000004">
      <c r="A456">
        <v>2018</v>
      </c>
      <c r="B456" t="s">
        <v>556</v>
      </c>
      <c r="C456" t="s">
        <v>127</v>
      </c>
      <c r="D456">
        <v>1979</v>
      </c>
      <c r="G456" s="8">
        <v>592163.98</v>
      </c>
    </row>
    <row r="457" spans="1:7" x14ac:dyDescent="0.55000000000000004">
      <c r="A457">
        <v>2018</v>
      </c>
      <c r="B457" t="s">
        <v>555</v>
      </c>
      <c r="C457" t="s">
        <v>128</v>
      </c>
      <c r="D457">
        <v>278</v>
      </c>
      <c r="G457" s="8">
        <v>76801.490000000005</v>
      </c>
    </row>
    <row r="458" spans="1:7" x14ac:dyDescent="0.55000000000000004">
      <c r="A458">
        <v>2018</v>
      </c>
      <c r="B458" t="s">
        <v>554</v>
      </c>
      <c r="C458" t="s">
        <v>129</v>
      </c>
      <c r="D458">
        <v>390</v>
      </c>
      <c r="G458" s="8">
        <v>210763.03</v>
      </c>
    </row>
    <row r="459" spans="1:7" x14ac:dyDescent="0.55000000000000004">
      <c r="A459">
        <v>2018</v>
      </c>
      <c r="B459" t="s">
        <v>553</v>
      </c>
      <c r="C459" t="s">
        <v>130</v>
      </c>
      <c r="D459">
        <v>643.79999999999995</v>
      </c>
      <c r="G459" s="8">
        <v>384449.42</v>
      </c>
    </row>
    <row r="460" spans="1:7" x14ac:dyDescent="0.55000000000000004">
      <c r="A460">
        <v>2018</v>
      </c>
      <c r="B460" t="s">
        <v>552</v>
      </c>
      <c r="C460" t="s">
        <v>131</v>
      </c>
      <c r="D460">
        <v>281.39999999999998</v>
      </c>
      <c r="G460" s="8">
        <v>124550.8</v>
      </c>
    </row>
    <row r="461" spans="1:7" x14ac:dyDescent="0.55000000000000004">
      <c r="A461">
        <v>2018</v>
      </c>
      <c r="B461" t="s">
        <v>551</v>
      </c>
      <c r="C461" t="s">
        <v>132</v>
      </c>
      <c r="D461">
        <v>1595.6999999999998</v>
      </c>
      <c r="G461" s="8">
        <v>492161.5</v>
      </c>
    </row>
    <row r="462" spans="1:7" x14ac:dyDescent="0.55000000000000004">
      <c r="A462">
        <v>2018</v>
      </c>
      <c r="B462" t="s">
        <v>550</v>
      </c>
      <c r="C462" t="s">
        <v>133</v>
      </c>
      <c r="D462">
        <v>503.9</v>
      </c>
      <c r="G462" s="8">
        <v>354853.42</v>
      </c>
    </row>
    <row r="463" spans="1:7" x14ac:dyDescent="0.55000000000000004">
      <c r="A463">
        <v>2018</v>
      </c>
      <c r="B463" t="s">
        <v>549</v>
      </c>
      <c r="C463" t="s">
        <v>134</v>
      </c>
      <c r="D463">
        <v>654.20000000000005</v>
      </c>
      <c r="G463" s="8">
        <v>195301.09</v>
      </c>
    </row>
    <row r="464" spans="1:7" x14ac:dyDescent="0.55000000000000004">
      <c r="A464">
        <v>2018</v>
      </c>
      <c r="B464" t="s">
        <v>548</v>
      </c>
      <c r="C464" t="s">
        <v>135</v>
      </c>
      <c r="D464">
        <v>447.6</v>
      </c>
      <c r="G464" s="8">
        <v>259378.94</v>
      </c>
    </row>
    <row r="465" spans="1:7" x14ac:dyDescent="0.55000000000000004">
      <c r="A465">
        <v>2018</v>
      </c>
      <c r="B465" t="s">
        <v>547</v>
      </c>
      <c r="C465" t="s">
        <v>136</v>
      </c>
      <c r="D465">
        <v>568</v>
      </c>
      <c r="G465" s="8">
        <v>359361.08</v>
      </c>
    </row>
    <row r="466" spans="1:7" x14ac:dyDescent="0.55000000000000004">
      <c r="A466">
        <v>2018</v>
      </c>
      <c r="B466" t="s">
        <v>546</v>
      </c>
      <c r="C466" t="s">
        <v>137</v>
      </c>
      <c r="D466">
        <v>333.7</v>
      </c>
      <c r="G466" s="8">
        <v>140916.85999999999</v>
      </c>
    </row>
    <row r="467" spans="1:7" x14ac:dyDescent="0.55000000000000004">
      <c r="A467">
        <v>2018</v>
      </c>
      <c r="B467" t="s">
        <v>545</v>
      </c>
      <c r="C467" t="s">
        <v>138</v>
      </c>
      <c r="D467">
        <v>221</v>
      </c>
      <c r="G467" s="8">
        <v>61436.88</v>
      </c>
    </row>
    <row r="468" spans="1:7" x14ac:dyDescent="0.55000000000000004">
      <c r="A468">
        <v>2018</v>
      </c>
      <c r="B468" t="s">
        <v>544</v>
      </c>
      <c r="C468" t="s">
        <v>139</v>
      </c>
      <c r="D468">
        <v>1200.2</v>
      </c>
      <c r="G468" s="8">
        <v>336915.81</v>
      </c>
    </row>
    <row r="469" spans="1:7" x14ac:dyDescent="0.55000000000000004">
      <c r="A469">
        <v>2018</v>
      </c>
      <c r="B469" t="s">
        <v>543</v>
      </c>
      <c r="C469" t="s">
        <v>140</v>
      </c>
      <c r="D469">
        <v>1429.7</v>
      </c>
      <c r="G469" s="8">
        <v>439161.17</v>
      </c>
    </row>
    <row r="470" spans="1:7" x14ac:dyDescent="0.55000000000000004">
      <c r="A470">
        <v>2018</v>
      </c>
      <c r="B470" t="s">
        <v>542</v>
      </c>
      <c r="C470" t="s">
        <v>141</v>
      </c>
      <c r="D470">
        <v>346.3</v>
      </c>
      <c r="G470" s="8">
        <v>207566.53</v>
      </c>
    </row>
    <row r="471" spans="1:7" x14ac:dyDescent="0.55000000000000004">
      <c r="A471">
        <v>2018</v>
      </c>
      <c r="B471" t="s">
        <v>541</v>
      </c>
      <c r="C471" t="s">
        <v>142</v>
      </c>
      <c r="D471">
        <v>306.89999999999998</v>
      </c>
      <c r="G471" s="8">
        <v>152214.47</v>
      </c>
    </row>
    <row r="472" spans="1:7" x14ac:dyDescent="0.55000000000000004">
      <c r="A472">
        <v>2018</v>
      </c>
      <c r="B472" t="s">
        <v>540</v>
      </c>
      <c r="C472" t="s">
        <v>143</v>
      </c>
      <c r="D472">
        <v>627.9</v>
      </c>
      <c r="G472" s="8">
        <v>128803.52</v>
      </c>
    </row>
    <row r="473" spans="1:7" x14ac:dyDescent="0.55000000000000004">
      <c r="A473">
        <v>2018</v>
      </c>
      <c r="B473" t="s">
        <v>539</v>
      </c>
      <c r="C473" t="s">
        <v>144</v>
      </c>
      <c r="D473">
        <v>617.20000000000005</v>
      </c>
      <c r="G473" s="8">
        <v>323431.07</v>
      </c>
    </row>
    <row r="474" spans="1:7" x14ac:dyDescent="0.55000000000000004">
      <c r="A474">
        <v>2018</v>
      </c>
      <c r="B474" t="s">
        <v>538</v>
      </c>
      <c r="C474" t="s">
        <v>145</v>
      </c>
      <c r="D474">
        <v>526.1</v>
      </c>
      <c r="G474" s="8">
        <v>316547.08999999997</v>
      </c>
    </row>
    <row r="475" spans="1:7" x14ac:dyDescent="0.55000000000000004">
      <c r="A475">
        <v>2018</v>
      </c>
      <c r="B475" t="s">
        <v>537</v>
      </c>
      <c r="C475" t="s">
        <v>146</v>
      </c>
      <c r="D475">
        <v>1158.8000000000002</v>
      </c>
      <c r="G475" s="8">
        <v>773160.21</v>
      </c>
    </row>
    <row r="476" spans="1:7" x14ac:dyDescent="0.55000000000000004">
      <c r="A476">
        <v>2018</v>
      </c>
      <c r="B476" t="s">
        <v>536</v>
      </c>
      <c r="C476" t="s">
        <v>147</v>
      </c>
      <c r="D476">
        <v>444.4</v>
      </c>
      <c r="G476" s="8">
        <v>211034.46000000002</v>
      </c>
    </row>
    <row r="477" spans="1:7" x14ac:dyDescent="0.55000000000000004">
      <c r="A477">
        <v>2018</v>
      </c>
      <c r="B477" t="s">
        <v>535</v>
      </c>
      <c r="C477" t="s">
        <v>148</v>
      </c>
      <c r="D477">
        <v>677</v>
      </c>
      <c r="G477" s="8">
        <v>197278.49</v>
      </c>
    </row>
    <row r="478" spans="1:7" x14ac:dyDescent="0.55000000000000004">
      <c r="A478">
        <v>2018</v>
      </c>
      <c r="B478" t="s">
        <v>534</v>
      </c>
      <c r="C478" t="s">
        <v>149</v>
      </c>
      <c r="D478">
        <v>1200.3</v>
      </c>
      <c r="G478" s="8">
        <v>306607.81</v>
      </c>
    </row>
    <row r="479" spans="1:7" x14ac:dyDescent="0.55000000000000004">
      <c r="A479">
        <v>2018</v>
      </c>
      <c r="B479" t="s">
        <v>533</v>
      </c>
      <c r="C479" t="s">
        <v>150</v>
      </c>
      <c r="D479">
        <v>1425.2</v>
      </c>
      <c r="G479" s="8">
        <v>411509.3</v>
      </c>
    </row>
    <row r="480" spans="1:7" x14ac:dyDescent="0.55000000000000004">
      <c r="A480">
        <v>2018</v>
      </c>
      <c r="B480" t="s">
        <v>532</v>
      </c>
      <c r="C480" t="s">
        <v>151</v>
      </c>
      <c r="D480">
        <v>3421.1</v>
      </c>
      <c r="G480" s="8">
        <v>906643.7</v>
      </c>
    </row>
    <row r="481" spans="1:7" x14ac:dyDescent="0.55000000000000004">
      <c r="A481">
        <v>2018</v>
      </c>
      <c r="B481" t="s">
        <v>531</v>
      </c>
      <c r="C481" t="s">
        <v>152</v>
      </c>
      <c r="D481">
        <v>857.3</v>
      </c>
      <c r="G481" s="8">
        <v>580810.89</v>
      </c>
    </row>
    <row r="482" spans="1:7" x14ac:dyDescent="0.55000000000000004">
      <c r="A482">
        <v>2018</v>
      </c>
      <c r="B482" t="s">
        <v>530</v>
      </c>
      <c r="C482" t="s">
        <v>153</v>
      </c>
      <c r="D482">
        <v>14194.7</v>
      </c>
      <c r="G482" s="8">
        <v>2183619.58</v>
      </c>
    </row>
    <row r="483" spans="1:7" x14ac:dyDescent="0.55000000000000004">
      <c r="A483">
        <v>2018</v>
      </c>
      <c r="B483" t="s">
        <v>529</v>
      </c>
      <c r="C483" t="s">
        <v>154</v>
      </c>
      <c r="D483">
        <v>1097.2</v>
      </c>
      <c r="G483" s="8">
        <v>316009.41000000003</v>
      </c>
    </row>
    <row r="484" spans="1:7" x14ac:dyDescent="0.55000000000000004">
      <c r="A484">
        <v>2018</v>
      </c>
      <c r="B484" t="s">
        <v>528</v>
      </c>
      <c r="C484" t="s">
        <v>155</v>
      </c>
      <c r="D484">
        <v>544.70000000000005</v>
      </c>
      <c r="G484" s="8">
        <v>164137.18</v>
      </c>
    </row>
    <row r="485" spans="1:7" x14ac:dyDescent="0.55000000000000004">
      <c r="A485">
        <v>2018</v>
      </c>
      <c r="B485" t="s">
        <v>527</v>
      </c>
      <c r="C485" t="s">
        <v>330</v>
      </c>
      <c r="D485">
        <v>679.5</v>
      </c>
      <c r="G485" s="8">
        <v>415819.93</v>
      </c>
    </row>
    <row r="486" spans="1:7" x14ac:dyDescent="0.55000000000000004">
      <c r="A486">
        <v>2018</v>
      </c>
      <c r="B486" t="s">
        <v>526</v>
      </c>
      <c r="C486" t="s">
        <v>156</v>
      </c>
      <c r="D486">
        <v>403</v>
      </c>
      <c r="G486" s="8">
        <v>161905.91</v>
      </c>
    </row>
    <row r="487" spans="1:7" x14ac:dyDescent="0.55000000000000004">
      <c r="A487">
        <v>2018</v>
      </c>
      <c r="B487" t="s">
        <v>525</v>
      </c>
      <c r="C487" t="s">
        <v>342</v>
      </c>
      <c r="D487">
        <v>1238.9000000000001</v>
      </c>
      <c r="G487" s="8">
        <v>720777.74</v>
      </c>
    </row>
    <row r="488" spans="1:7" x14ac:dyDescent="0.55000000000000004">
      <c r="A488">
        <v>2018</v>
      </c>
      <c r="B488" t="s">
        <v>524</v>
      </c>
      <c r="C488" t="s">
        <v>157</v>
      </c>
      <c r="D488">
        <v>908</v>
      </c>
      <c r="G488" s="8">
        <v>277205.5</v>
      </c>
    </row>
    <row r="489" spans="1:7" x14ac:dyDescent="0.55000000000000004">
      <c r="A489">
        <v>2018</v>
      </c>
      <c r="B489" t="s">
        <v>523</v>
      </c>
      <c r="C489" t="s">
        <v>158</v>
      </c>
      <c r="D489">
        <v>7074.1</v>
      </c>
      <c r="G489" s="8">
        <v>2649264.98</v>
      </c>
    </row>
    <row r="490" spans="1:7" x14ac:dyDescent="0.55000000000000004">
      <c r="A490">
        <v>2018</v>
      </c>
      <c r="B490" t="s">
        <v>522</v>
      </c>
      <c r="C490" t="s">
        <v>159</v>
      </c>
      <c r="D490">
        <v>1909.6000000000001</v>
      </c>
      <c r="G490" s="8">
        <v>226318.04</v>
      </c>
    </row>
    <row r="491" spans="1:7" x14ac:dyDescent="0.55000000000000004">
      <c r="A491">
        <v>2018</v>
      </c>
      <c r="B491" t="s">
        <v>521</v>
      </c>
      <c r="C491" t="s">
        <v>160</v>
      </c>
      <c r="D491">
        <v>341.3</v>
      </c>
      <c r="G491" s="8">
        <v>154722.21</v>
      </c>
    </row>
    <row r="492" spans="1:7" x14ac:dyDescent="0.55000000000000004">
      <c r="A492">
        <v>2018</v>
      </c>
      <c r="B492" t="s">
        <v>520</v>
      </c>
      <c r="C492" t="s">
        <v>161</v>
      </c>
      <c r="D492">
        <v>456.4</v>
      </c>
      <c r="G492" s="8">
        <v>121445.82</v>
      </c>
    </row>
    <row r="493" spans="1:7" x14ac:dyDescent="0.55000000000000004">
      <c r="A493">
        <v>2018</v>
      </c>
      <c r="B493" t="s">
        <v>519</v>
      </c>
      <c r="C493" t="s">
        <v>162</v>
      </c>
      <c r="D493">
        <v>1763.9</v>
      </c>
      <c r="G493" s="8">
        <v>453315.64</v>
      </c>
    </row>
    <row r="494" spans="1:7" x14ac:dyDescent="0.55000000000000004">
      <c r="A494">
        <v>2018</v>
      </c>
      <c r="B494" t="s">
        <v>518</v>
      </c>
      <c r="C494" t="s">
        <v>163</v>
      </c>
      <c r="D494">
        <v>614.6</v>
      </c>
      <c r="G494" s="8">
        <v>433787.78</v>
      </c>
    </row>
    <row r="495" spans="1:7" x14ac:dyDescent="0.55000000000000004">
      <c r="A495">
        <v>2018</v>
      </c>
      <c r="B495" t="s">
        <v>517</v>
      </c>
      <c r="C495" t="s">
        <v>164</v>
      </c>
      <c r="D495">
        <v>306.3</v>
      </c>
      <c r="G495" s="8">
        <v>142389.95000000001</v>
      </c>
    </row>
    <row r="496" spans="1:7" x14ac:dyDescent="0.55000000000000004">
      <c r="A496">
        <v>2018</v>
      </c>
      <c r="B496" t="s">
        <v>516</v>
      </c>
      <c r="C496" t="s">
        <v>165</v>
      </c>
      <c r="D496">
        <v>281</v>
      </c>
      <c r="G496" s="8">
        <v>116523.82</v>
      </c>
    </row>
    <row r="497" spans="1:7" x14ac:dyDescent="0.55000000000000004">
      <c r="A497">
        <v>2018</v>
      </c>
      <c r="B497" t="s">
        <v>515</v>
      </c>
      <c r="C497" t="s">
        <v>166</v>
      </c>
      <c r="D497">
        <v>575.20000000000005</v>
      </c>
      <c r="G497" s="8">
        <v>377128.64999999997</v>
      </c>
    </row>
    <row r="498" spans="1:7" x14ac:dyDescent="0.55000000000000004">
      <c r="A498">
        <v>2018</v>
      </c>
      <c r="B498" t="s">
        <v>514</v>
      </c>
      <c r="C498" t="s">
        <v>167</v>
      </c>
      <c r="D498">
        <v>2182.7000000000003</v>
      </c>
      <c r="G498" s="8">
        <v>579459.12</v>
      </c>
    </row>
    <row r="499" spans="1:7" x14ac:dyDescent="0.55000000000000004">
      <c r="A499">
        <v>2018</v>
      </c>
      <c r="B499" t="s">
        <v>513</v>
      </c>
      <c r="C499" t="s">
        <v>168</v>
      </c>
      <c r="D499">
        <v>460.5</v>
      </c>
      <c r="G499" s="8">
        <v>144660.22</v>
      </c>
    </row>
    <row r="500" spans="1:7" x14ac:dyDescent="0.55000000000000004">
      <c r="A500">
        <v>2018</v>
      </c>
      <c r="B500" t="s">
        <v>512</v>
      </c>
      <c r="C500" t="s">
        <v>169</v>
      </c>
      <c r="D500">
        <v>2475.6</v>
      </c>
      <c r="G500" s="8">
        <v>1066529.54</v>
      </c>
    </row>
    <row r="501" spans="1:7" x14ac:dyDescent="0.55000000000000004">
      <c r="A501">
        <v>2018</v>
      </c>
      <c r="B501" t="s">
        <v>511</v>
      </c>
      <c r="C501" t="s">
        <v>170</v>
      </c>
      <c r="D501">
        <v>815</v>
      </c>
      <c r="G501" s="8">
        <v>301789</v>
      </c>
    </row>
    <row r="502" spans="1:7" x14ac:dyDescent="0.55000000000000004">
      <c r="A502">
        <v>2018</v>
      </c>
      <c r="B502" t="s">
        <v>510</v>
      </c>
      <c r="C502" t="s">
        <v>171</v>
      </c>
      <c r="D502">
        <v>7436.2</v>
      </c>
      <c r="G502" s="8">
        <v>2005011.93</v>
      </c>
    </row>
    <row r="503" spans="1:7" x14ac:dyDescent="0.55000000000000004">
      <c r="A503">
        <v>2018</v>
      </c>
      <c r="B503" t="s">
        <v>509</v>
      </c>
      <c r="C503" t="s">
        <v>172</v>
      </c>
      <c r="D503">
        <v>645.5</v>
      </c>
      <c r="G503" s="8">
        <v>172995.81</v>
      </c>
    </row>
    <row r="504" spans="1:7" x14ac:dyDescent="0.55000000000000004">
      <c r="A504">
        <v>2018</v>
      </c>
      <c r="B504" t="s">
        <v>508</v>
      </c>
      <c r="C504" t="s">
        <v>173</v>
      </c>
      <c r="D504">
        <v>564</v>
      </c>
      <c r="G504" s="8">
        <v>246489.78</v>
      </c>
    </row>
    <row r="505" spans="1:7" x14ac:dyDescent="0.55000000000000004">
      <c r="A505">
        <v>2018</v>
      </c>
      <c r="B505" t="s">
        <v>507</v>
      </c>
      <c r="C505" t="s">
        <v>174</v>
      </c>
      <c r="D505">
        <v>366.1</v>
      </c>
      <c r="G505" s="8">
        <v>88058.64</v>
      </c>
    </row>
    <row r="506" spans="1:7" x14ac:dyDescent="0.55000000000000004">
      <c r="A506">
        <v>2018</v>
      </c>
      <c r="B506" t="s">
        <v>506</v>
      </c>
      <c r="C506" t="s">
        <v>175</v>
      </c>
      <c r="D506">
        <v>740</v>
      </c>
      <c r="G506" s="8">
        <v>463081.64</v>
      </c>
    </row>
    <row r="507" spans="1:7" x14ac:dyDescent="0.55000000000000004">
      <c r="A507">
        <v>2018</v>
      </c>
      <c r="B507" t="s">
        <v>505</v>
      </c>
      <c r="C507" t="s">
        <v>176</v>
      </c>
      <c r="D507">
        <v>165.2</v>
      </c>
      <c r="G507" s="8">
        <v>118353.53</v>
      </c>
    </row>
    <row r="508" spans="1:7" x14ac:dyDescent="0.55000000000000004">
      <c r="A508">
        <v>2018</v>
      </c>
      <c r="B508" t="s">
        <v>504</v>
      </c>
      <c r="C508" t="s">
        <v>177</v>
      </c>
      <c r="D508">
        <v>462.6</v>
      </c>
      <c r="G508" s="8">
        <v>195966.74</v>
      </c>
    </row>
    <row r="509" spans="1:7" x14ac:dyDescent="0.55000000000000004">
      <c r="A509">
        <v>2018</v>
      </c>
      <c r="B509" t="s">
        <v>503</v>
      </c>
      <c r="C509" t="s">
        <v>178</v>
      </c>
      <c r="D509">
        <v>683.7</v>
      </c>
      <c r="G509" s="8">
        <v>153018.74</v>
      </c>
    </row>
    <row r="510" spans="1:7" x14ac:dyDescent="0.55000000000000004">
      <c r="A510">
        <v>2018</v>
      </c>
      <c r="B510" t="s">
        <v>502</v>
      </c>
      <c r="C510" t="s">
        <v>331</v>
      </c>
      <c r="D510">
        <v>546.6</v>
      </c>
      <c r="G510" s="8">
        <v>383827.21</v>
      </c>
    </row>
    <row r="511" spans="1:7" x14ac:dyDescent="0.55000000000000004">
      <c r="A511">
        <v>2018</v>
      </c>
      <c r="B511" t="s">
        <v>501</v>
      </c>
      <c r="C511" t="s">
        <v>179</v>
      </c>
      <c r="D511">
        <v>658</v>
      </c>
      <c r="G511" s="8">
        <v>551478.47</v>
      </c>
    </row>
    <row r="512" spans="1:7" x14ac:dyDescent="0.55000000000000004">
      <c r="A512">
        <v>2018</v>
      </c>
      <c r="B512" t="s">
        <v>500</v>
      </c>
      <c r="C512" t="s">
        <v>337</v>
      </c>
      <c r="D512">
        <v>654.6</v>
      </c>
      <c r="G512" s="8">
        <v>369911.45</v>
      </c>
    </row>
    <row r="513" spans="1:7" x14ac:dyDescent="0.55000000000000004">
      <c r="A513">
        <v>2018</v>
      </c>
      <c r="B513" t="s">
        <v>499</v>
      </c>
      <c r="C513" t="s">
        <v>180</v>
      </c>
      <c r="D513">
        <v>1335.5</v>
      </c>
      <c r="G513" s="8">
        <v>477774.03</v>
      </c>
    </row>
    <row r="514" spans="1:7" x14ac:dyDescent="0.55000000000000004">
      <c r="A514">
        <v>2018</v>
      </c>
      <c r="B514" t="s">
        <v>498</v>
      </c>
      <c r="C514" t="s">
        <v>181</v>
      </c>
      <c r="D514">
        <v>672.4</v>
      </c>
      <c r="G514" s="8">
        <v>314637.7</v>
      </c>
    </row>
    <row r="515" spans="1:7" x14ac:dyDescent="0.55000000000000004">
      <c r="A515">
        <v>2018</v>
      </c>
      <c r="B515" t="s">
        <v>497</v>
      </c>
      <c r="C515" t="s">
        <v>182</v>
      </c>
      <c r="D515">
        <v>424.5</v>
      </c>
      <c r="G515" s="8">
        <v>185939.06</v>
      </c>
    </row>
    <row r="516" spans="1:7" x14ac:dyDescent="0.55000000000000004">
      <c r="A516">
        <v>2018</v>
      </c>
      <c r="B516" t="s">
        <v>496</v>
      </c>
      <c r="C516" t="s">
        <v>183</v>
      </c>
      <c r="D516">
        <v>1917.8</v>
      </c>
      <c r="G516" s="8">
        <v>265577.55</v>
      </c>
    </row>
    <row r="517" spans="1:7" x14ac:dyDescent="0.55000000000000004">
      <c r="A517">
        <v>2018</v>
      </c>
      <c r="B517" t="s">
        <v>495</v>
      </c>
      <c r="C517" t="s">
        <v>184</v>
      </c>
      <c r="D517">
        <v>5455.9</v>
      </c>
      <c r="G517" s="8">
        <v>1213004.3999999999</v>
      </c>
    </row>
    <row r="518" spans="1:7" x14ac:dyDescent="0.55000000000000004">
      <c r="A518">
        <v>2018</v>
      </c>
      <c r="B518" t="s">
        <v>494</v>
      </c>
      <c r="C518" t="s">
        <v>185</v>
      </c>
      <c r="D518">
        <v>512.20000000000005</v>
      </c>
      <c r="G518" s="8">
        <v>214533.31</v>
      </c>
    </row>
    <row r="519" spans="1:7" x14ac:dyDescent="0.55000000000000004">
      <c r="A519">
        <v>2018</v>
      </c>
      <c r="B519" t="s">
        <v>493</v>
      </c>
      <c r="C519" t="s">
        <v>186</v>
      </c>
      <c r="D519">
        <v>3633.5</v>
      </c>
      <c r="G519" s="8">
        <v>1073470.6299999999</v>
      </c>
    </row>
    <row r="520" spans="1:7" x14ac:dyDescent="0.55000000000000004">
      <c r="A520">
        <v>2018</v>
      </c>
      <c r="B520" t="s">
        <v>492</v>
      </c>
      <c r="C520" t="s">
        <v>187</v>
      </c>
      <c r="D520">
        <v>1427.7</v>
      </c>
      <c r="G520" s="8">
        <v>401744.38</v>
      </c>
    </row>
    <row r="521" spans="1:7" x14ac:dyDescent="0.55000000000000004">
      <c r="A521">
        <v>2018</v>
      </c>
      <c r="B521" t="s">
        <v>491</v>
      </c>
      <c r="C521" t="s">
        <v>188</v>
      </c>
      <c r="D521">
        <v>790.8</v>
      </c>
      <c r="G521" s="8">
        <v>490126.94</v>
      </c>
    </row>
    <row r="522" spans="1:7" x14ac:dyDescent="0.55000000000000004">
      <c r="A522">
        <v>2018</v>
      </c>
      <c r="B522" t="s">
        <v>490</v>
      </c>
      <c r="C522" t="s">
        <v>189</v>
      </c>
      <c r="D522">
        <v>332.1</v>
      </c>
      <c r="G522" s="8">
        <v>110833.60000000001</v>
      </c>
    </row>
    <row r="523" spans="1:7" x14ac:dyDescent="0.55000000000000004">
      <c r="A523">
        <v>2018</v>
      </c>
      <c r="B523" t="s">
        <v>489</v>
      </c>
      <c r="C523" t="s">
        <v>190</v>
      </c>
      <c r="D523">
        <v>535.1</v>
      </c>
      <c r="G523" s="8">
        <v>380480.63</v>
      </c>
    </row>
    <row r="524" spans="1:7" x14ac:dyDescent="0.55000000000000004">
      <c r="A524">
        <v>2018</v>
      </c>
      <c r="B524" t="s">
        <v>488</v>
      </c>
      <c r="C524" t="s">
        <v>191</v>
      </c>
      <c r="D524">
        <v>1248.5</v>
      </c>
      <c r="G524" s="8">
        <v>704266.54</v>
      </c>
    </row>
    <row r="525" spans="1:7" x14ac:dyDescent="0.55000000000000004">
      <c r="A525">
        <v>2018</v>
      </c>
      <c r="B525" t="s">
        <v>487</v>
      </c>
      <c r="C525" t="s">
        <v>192</v>
      </c>
      <c r="D525">
        <v>832.4</v>
      </c>
      <c r="G525" s="8">
        <v>189723.22</v>
      </c>
    </row>
    <row r="526" spans="1:7" x14ac:dyDescent="0.55000000000000004">
      <c r="A526">
        <v>2018</v>
      </c>
      <c r="B526" t="s">
        <v>486</v>
      </c>
      <c r="C526" t="s">
        <v>193</v>
      </c>
      <c r="D526">
        <v>757.5</v>
      </c>
      <c r="G526" s="8">
        <v>375706.78</v>
      </c>
    </row>
    <row r="527" spans="1:7" x14ac:dyDescent="0.55000000000000004">
      <c r="A527">
        <v>2018</v>
      </c>
      <c r="B527" t="s">
        <v>485</v>
      </c>
      <c r="C527" t="s">
        <v>194</v>
      </c>
      <c r="D527">
        <v>497.1</v>
      </c>
      <c r="G527" s="8">
        <v>96928.95</v>
      </c>
    </row>
    <row r="528" spans="1:7" x14ac:dyDescent="0.55000000000000004">
      <c r="A528">
        <v>2018</v>
      </c>
      <c r="B528" t="s">
        <v>484</v>
      </c>
      <c r="C528" t="s">
        <v>195</v>
      </c>
      <c r="D528">
        <v>990.6</v>
      </c>
      <c r="G528" s="8">
        <v>311571.40999999997</v>
      </c>
    </row>
    <row r="529" spans="1:7" x14ac:dyDescent="0.55000000000000004">
      <c r="A529">
        <v>2018</v>
      </c>
      <c r="B529" t="s">
        <v>483</v>
      </c>
      <c r="C529" t="s">
        <v>196</v>
      </c>
      <c r="D529">
        <v>344.4</v>
      </c>
      <c r="G529" s="8">
        <v>139053.47</v>
      </c>
    </row>
    <row r="530" spans="1:7" x14ac:dyDescent="0.55000000000000004">
      <c r="A530">
        <v>2018</v>
      </c>
      <c r="B530" t="s">
        <v>482</v>
      </c>
      <c r="C530" t="s">
        <v>197</v>
      </c>
      <c r="D530">
        <v>267.10000000000002</v>
      </c>
      <c r="G530" s="8">
        <v>134275.04999999999</v>
      </c>
    </row>
    <row r="531" spans="1:7" x14ac:dyDescent="0.55000000000000004">
      <c r="A531">
        <v>2018</v>
      </c>
      <c r="B531" t="s">
        <v>481</v>
      </c>
      <c r="C531" t="s">
        <v>198</v>
      </c>
      <c r="D531">
        <v>209.2</v>
      </c>
      <c r="G531" s="8">
        <v>42812.76</v>
      </c>
    </row>
    <row r="532" spans="1:7" x14ac:dyDescent="0.55000000000000004">
      <c r="A532">
        <v>2018</v>
      </c>
      <c r="B532" t="s">
        <v>480</v>
      </c>
      <c r="C532" t="s">
        <v>199</v>
      </c>
      <c r="D532">
        <v>209.9</v>
      </c>
      <c r="G532" s="8">
        <v>122171.46</v>
      </c>
    </row>
    <row r="533" spans="1:7" x14ac:dyDescent="0.55000000000000004">
      <c r="A533">
        <v>2018</v>
      </c>
      <c r="B533" t="s">
        <v>479</v>
      </c>
      <c r="C533" t="s">
        <v>200</v>
      </c>
      <c r="D533">
        <v>631.1</v>
      </c>
      <c r="G533" s="8">
        <v>362930.32</v>
      </c>
    </row>
    <row r="534" spans="1:7" x14ac:dyDescent="0.55000000000000004">
      <c r="A534">
        <v>2018</v>
      </c>
      <c r="B534" t="s">
        <v>478</v>
      </c>
      <c r="C534" t="s">
        <v>201</v>
      </c>
      <c r="D534">
        <v>1933.3</v>
      </c>
      <c r="G534" s="8">
        <v>609145.38</v>
      </c>
    </row>
    <row r="535" spans="1:7" x14ac:dyDescent="0.55000000000000004">
      <c r="A535">
        <v>2018</v>
      </c>
      <c r="B535" t="s">
        <v>477</v>
      </c>
      <c r="C535" t="s">
        <v>202</v>
      </c>
      <c r="D535">
        <v>1124</v>
      </c>
      <c r="G535" s="8">
        <v>186706.84</v>
      </c>
    </row>
    <row r="536" spans="1:7" x14ac:dyDescent="0.55000000000000004">
      <c r="A536">
        <v>2018</v>
      </c>
      <c r="B536" t="s">
        <v>476</v>
      </c>
      <c r="C536" t="s">
        <v>203</v>
      </c>
      <c r="D536">
        <v>252.2</v>
      </c>
      <c r="G536" s="8">
        <v>121997.21</v>
      </c>
    </row>
    <row r="537" spans="1:7" x14ac:dyDescent="0.55000000000000004">
      <c r="A537">
        <v>2018</v>
      </c>
      <c r="B537" t="s">
        <v>475</v>
      </c>
      <c r="C537" t="s">
        <v>204</v>
      </c>
      <c r="D537">
        <v>4935.8</v>
      </c>
      <c r="G537" s="8">
        <v>959695.4</v>
      </c>
    </row>
    <row r="538" spans="1:7" x14ac:dyDescent="0.55000000000000004">
      <c r="A538">
        <v>2018</v>
      </c>
      <c r="B538" t="s">
        <v>474</v>
      </c>
      <c r="C538" t="s">
        <v>205</v>
      </c>
      <c r="D538">
        <v>612.79999999999995</v>
      </c>
      <c r="G538" s="8">
        <v>248017.83</v>
      </c>
    </row>
    <row r="539" spans="1:7" x14ac:dyDescent="0.55000000000000004">
      <c r="A539">
        <v>2018</v>
      </c>
      <c r="B539" t="s">
        <v>473</v>
      </c>
      <c r="C539" t="s">
        <v>206</v>
      </c>
      <c r="D539">
        <v>1491</v>
      </c>
      <c r="G539" s="8">
        <v>289779.26</v>
      </c>
    </row>
    <row r="540" spans="1:7" x14ac:dyDescent="0.55000000000000004">
      <c r="A540">
        <v>2018</v>
      </c>
      <c r="B540" t="s">
        <v>472</v>
      </c>
      <c r="C540" t="s">
        <v>207</v>
      </c>
      <c r="D540">
        <v>442.4</v>
      </c>
      <c r="G540" s="8">
        <v>192131.63</v>
      </c>
    </row>
    <row r="541" spans="1:7" x14ac:dyDescent="0.55000000000000004">
      <c r="A541">
        <v>2018</v>
      </c>
      <c r="B541" t="s">
        <v>471</v>
      </c>
      <c r="C541" t="s">
        <v>208</v>
      </c>
      <c r="D541">
        <v>958</v>
      </c>
      <c r="G541" s="8">
        <v>396211.03</v>
      </c>
    </row>
    <row r="542" spans="1:7" x14ac:dyDescent="0.55000000000000004">
      <c r="A542">
        <v>2018</v>
      </c>
      <c r="B542" t="s">
        <v>470</v>
      </c>
      <c r="C542" t="s">
        <v>209</v>
      </c>
      <c r="D542">
        <v>501.6</v>
      </c>
      <c r="G542" s="8">
        <v>136788.54999999999</v>
      </c>
    </row>
    <row r="543" spans="1:7" x14ac:dyDescent="0.55000000000000004">
      <c r="A543">
        <v>2018</v>
      </c>
      <c r="B543" t="s">
        <v>469</v>
      </c>
      <c r="C543" t="s">
        <v>210</v>
      </c>
      <c r="D543">
        <v>3075.2999999999997</v>
      </c>
      <c r="G543" s="8">
        <v>722269.78</v>
      </c>
    </row>
    <row r="544" spans="1:7" x14ac:dyDescent="0.55000000000000004">
      <c r="A544">
        <v>2018</v>
      </c>
      <c r="B544" t="s">
        <v>468</v>
      </c>
      <c r="C544" t="s">
        <v>332</v>
      </c>
      <c r="D544">
        <v>815</v>
      </c>
      <c r="G544" s="8">
        <v>447291.06</v>
      </c>
    </row>
    <row r="545" spans="1:7" x14ac:dyDescent="0.55000000000000004">
      <c r="A545">
        <v>2018</v>
      </c>
      <c r="B545" t="s">
        <v>467</v>
      </c>
      <c r="C545" t="s">
        <v>211</v>
      </c>
      <c r="D545">
        <v>516.29999999999995</v>
      </c>
      <c r="G545" s="8">
        <v>345377.43</v>
      </c>
    </row>
    <row r="546" spans="1:7" x14ac:dyDescent="0.55000000000000004">
      <c r="A546">
        <v>2018</v>
      </c>
      <c r="B546" t="s">
        <v>466</v>
      </c>
      <c r="C546" t="s">
        <v>212</v>
      </c>
      <c r="D546">
        <v>767.2</v>
      </c>
      <c r="G546" s="8">
        <v>362200.36</v>
      </c>
    </row>
    <row r="547" spans="1:7" x14ac:dyDescent="0.55000000000000004">
      <c r="A547">
        <v>2018</v>
      </c>
      <c r="B547" t="s">
        <v>465</v>
      </c>
      <c r="C547" t="s">
        <v>213</v>
      </c>
      <c r="D547">
        <v>190.8</v>
      </c>
      <c r="G547" s="8">
        <v>228319.28</v>
      </c>
    </row>
    <row r="548" spans="1:7" x14ac:dyDescent="0.55000000000000004">
      <c r="A548">
        <v>2018</v>
      </c>
      <c r="B548" t="s">
        <v>464</v>
      </c>
      <c r="C548" t="s">
        <v>214</v>
      </c>
      <c r="D548">
        <v>468.3</v>
      </c>
      <c r="G548" s="8">
        <v>216219.68000000002</v>
      </c>
    </row>
    <row r="549" spans="1:7" x14ac:dyDescent="0.55000000000000004">
      <c r="A549">
        <v>2018</v>
      </c>
      <c r="B549" t="s">
        <v>463</v>
      </c>
      <c r="C549" t="s">
        <v>215</v>
      </c>
      <c r="D549">
        <v>609.20000000000005</v>
      </c>
      <c r="G549" s="8">
        <v>300273.44</v>
      </c>
    </row>
    <row r="550" spans="1:7" x14ac:dyDescent="0.55000000000000004">
      <c r="A550">
        <v>2018</v>
      </c>
      <c r="B550" t="s">
        <v>462</v>
      </c>
      <c r="C550" t="s">
        <v>216</v>
      </c>
      <c r="D550">
        <v>281.8</v>
      </c>
      <c r="G550" s="8">
        <v>151502.44</v>
      </c>
    </row>
    <row r="551" spans="1:7" x14ac:dyDescent="0.55000000000000004">
      <c r="A551">
        <v>2018</v>
      </c>
      <c r="B551" t="s">
        <v>461</v>
      </c>
      <c r="C551" t="s">
        <v>217</v>
      </c>
      <c r="D551">
        <v>1683.9</v>
      </c>
      <c r="G551" s="8">
        <v>734256.30999999994</v>
      </c>
    </row>
    <row r="552" spans="1:7" x14ac:dyDescent="0.55000000000000004">
      <c r="A552">
        <v>2018</v>
      </c>
      <c r="B552" t="s">
        <v>460</v>
      </c>
      <c r="C552" t="s">
        <v>218</v>
      </c>
      <c r="D552">
        <v>3035.1</v>
      </c>
      <c r="G552" s="8">
        <v>880445.46</v>
      </c>
    </row>
    <row r="553" spans="1:7" x14ac:dyDescent="0.55000000000000004">
      <c r="A553">
        <v>2018</v>
      </c>
      <c r="B553" t="s">
        <v>459</v>
      </c>
      <c r="C553" t="s">
        <v>219</v>
      </c>
      <c r="D553">
        <v>445</v>
      </c>
      <c r="G553" s="8">
        <v>198419.7</v>
      </c>
    </row>
    <row r="554" spans="1:7" x14ac:dyDescent="0.55000000000000004">
      <c r="A554">
        <v>2018</v>
      </c>
      <c r="B554" t="s">
        <v>458</v>
      </c>
      <c r="C554" t="s">
        <v>220</v>
      </c>
      <c r="D554">
        <v>276</v>
      </c>
      <c r="G554" s="8">
        <v>263526.98</v>
      </c>
    </row>
    <row r="555" spans="1:7" x14ac:dyDescent="0.55000000000000004">
      <c r="A555">
        <v>2018</v>
      </c>
      <c r="B555" t="s">
        <v>457</v>
      </c>
      <c r="C555" t="s">
        <v>221</v>
      </c>
      <c r="D555">
        <v>508.1</v>
      </c>
      <c r="G555" s="8">
        <v>230848.5</v>
      </c>
    </row>
    <row r="556" spans="1:7" x14ac:dyDescent="0.55000000000000004">
      <c r="A556">
        <v>2018</v>
      </c>
      <c r="B556" t="s">
        <v>456</v>
      </c>
      <c r="C556" t="s">
        <v>222</v>
      </c>
      <c r="D556">
        <v>2831.2</v>
      </c>
      <c r="G556" s="8">
        <v>532620.11</v>
      </c>
    </row>
    <row r="557" spans="1:7" x14ac:dyDescent="0.55000000000000004">
      <c r="A557">
        <v>2018</v>
      </c>
      <c r="B557" t="s">
        <v>455</v>
      </c>
      <c r="C557" t="s">
        <v>223</v>
      </c>
      <c r="D557">
        <v>330.5</v>
      </c>
      <c r="G557" s="8">
        <v>158035.79999999999</v>
      </c>
    </row>
    <row r="558" spans="1:7" x14ac:dyDescent="0.55000000000000004">
      <c r="A558">
        <v>2018</v>
      </c>
      <c r="B558" t="s">
        <v>454</v>
      </c>
      <c r="C558" t="s">
        <v>224</v>
      </c>
      <c r="D558">
        <v>1251.8000000000002</v>
      </c>
      <c r="G558" s="8">
        <v>294096.03000000003</v>
      </c>
    </row>
    <row r="559" spans="1:7" x14ac:dyDescent="0.55000000000000004">
      <c r="A559">
        <v>2018</v>
      </c>
      <c r="B559" t="s">
        <v>453</v>
      </c>
      <c r="C559" t="s">
        <v>225</v>
      </c>
      <c r="D559">
        <v>618</v>
      </c>
      <c r="G559" s="8">
        <v>244975.65000000002</v>
      </c>
    </row>
    <row r="560" spans="1:7" x14ac:dyDescent="0.55000000000000004">
      <c r="A560">
        <v>2018</v>
      </c>
      <c r="B560" t="s">
        <v>452</v>
      </c>
      <c r="C560" t="s">
        <v>226</v>
      </c>
      <c r="D560">
        <v>941.1</v>
      </c>
      <c r="G560" s="8">
        <v>372676.09</v>
      </c>
    </row>
    <row r="561" spans="1:7" x14ac:dyDescent="0.55000000000000004">
      <c r="A561">
        <v>2018</v>
      </c>
      <c r="B561" t="s">
        <v>451</v>
      </c>
      <c r="C561" t="s">
        <v>227</v>
      </c>
      <c r="D561">
        <v>206</v>
      </c>
      <c r="G561" s="8">
        <v>246112.96</v>
      </c>
    </row>
    <row r="562" spans="1:7" x14ac:dyDescent="0.55000000000000004">
      <c r="A562">
        <v>2018</v>
      </c>
      <c r="B562" t="s">
        <v>450</v>
      </c>
      <c r="C562" t="s">
        <v>228</v>
      </c>
      <c r="D562">
        <v>191.3</v>
      </c>
      <c r="G562" s="8">
        <v>71469.25</v>
      </c>
    </row>
    <row r="563" spans="1:7" x14ac:dyDescent="0.55000000000000004">
      <c r="A563">
        <v>2018</v>
      </c>
      <c r="B563" t="s">
        <v>449</v>
      </c>
      <c r="C563" t="s">
        <v>229</v>
      </c>
      <c r="D563">
        <v>899.4</v>
      </c>
      <c r="G563" s="8">
        <v>380440.31</v>
      </c>
    </row>
    <row r="564" spans="1:7" x14ac:dyDescent="0.55000000000000004">
      <c r="A564">
        <v>2018</v>
      </c>
      <c r="B564" t="s">
        <v>448</v>
      </c>
      <c r="C564" t="s">
        <v>230</v>
      </c>
      <c r="D564">
        <v>2361.3000000000002</v>
      </c>
      <c r="G564" s="8">
        <v>789025.83</v>
      </c>
    </row>
    <row r="565" spans="1:7" x14ac:dyDescent="0.55000000000000004">
      <c r="A565">
        <v>2018</v>
      </c>
      <c r="B565" t="s">
        <v>447</v>
      </c>
      <c r="C565" t="s">
        <v>231</v>
      </c>
      <c r="D565">
        <v>4610.5</v>
      </c>
      <c r="G565" s="8">
        <v>1263806.28</v>
      </c>
    </row>
    <row r="566" spans="1:7" x14ac:dyDescent="0.55000000000000004">
      <c r="A566">
        <v>2018</v>
      </c>
      <c r="B566" t="s">
        <v>446</v>
      </c>
      <c r="C566" t="s">
        <v>232</v>
      </c>
      <c r="D566">
        <v>705.9</v>
      </c>
      <c r="G566" s="8">
        <v>334521.38</v>
      </c>
    </row>
    <row r="567" spans="1:7" x14ac:dyDescent="0.55000000000000004">
      <c r="A567">
        <v>2018</v>
      </c>
      <c r="B567" t="s">
        <v>445</v>
      </c>
      <c r="C567" t="s">
        <v>233</v>
      </c>
      <c r="D567">
        <v>208.3</v>
      </c>
      <c r="G567" s="8">
        <v>173700.92</v>
      </c>
    </row>
    <row r="568" spans="1:7" x14ac:dyDescent="0.55000000000000004">
      <c r="A568">
        <v>2018</v>
      </c>
      <c r="B568" t="s">
        <v>444</v>
      </c>
      <c r="C568" t="s">
        <v>234</v>
      </c>
      <c r="D568">
        <v>1043.8</v>
      </c>
      <c r="G568" s="8">
        <v>364437.53</v>
      </c>
    </row>
    <row r="569" spans="1:7" x14ac:dyDescent="0.55000000000000004">
      <c r="A569">
        <v>2018</v>
      </c>
      <c r="B569" t="s">
        <v>443</v>
      </c>
      <c r="C569" t="s">
        <v>235</v>
      </c>
      <c r="D569">
        <v>600.1</v>
      </c>
      <c r="G569" s="8">
        <v>424315.88</v>
      </c>
    </row>
    <row r="570" spans="1:7" x14ac:dyDescent="0.55000000000000004">
      <c r="A570">
        <v>2018</v>
      </c>
      <c r="B570" t="s">
        <v>442</v>
      </c>
      <c r="C570" t="s">
        <v>236</v>
      </c>
      <c r="D570">
        <v>2138.3999999999996</v>
      </c>
      <c r="G570" s="8">
        <v>665654.43000000005</v>
      </c>
    </row>
    <row r="571" spans="1:7" x14ac:dyDescent="0.55000000000000004">
      <c r="A571">
        <v>2018</v>
      </c>
      <c r="B571" t="s">
        <v>441</v>
      </c>
      <c r="C571" t="s">
        <v>237</v>
      </c>
      <c r="D571">
        <v>1763</v>
      </c>
      <c r="G571" s="8">
        <v>448088</v>
      </c>
    </row>
    <row r="572" spans="1:7" x14ac:dyDescent="0.55000000000000004">
      <c r="A572">
        <v>2018</v>
      </c>
      <c r="B572" t="s">
        <v>440</v>
      </c>
      <c r="C572" t="s">
        <v>238</v>
      </c>
      <c r="D572">
        <v>4922.3999999999996</v>
      </c>
      <c r="G572" s="8">
        <v>1301387.6500000001</v>
      </c>
    </row>
    <row r="573" spans="1:7" x14ac:dyDescent="0.55000000000000004">
      <c r="A573">
        <v>2018</v>
      </c>
      <c r="B573" t="s">
        <v>439</v>
      </c>
      <c r="C573" t="s">
        <v>239</v>
      </c>
      <c r="D573">
        <v>697.8</v>
      </c>
      <c r="G573" s="8">
        <v>197584.31</v>
      </c>
    </row>
    <row r="574" spans="1:7" x14ac:dyDescent="0.55000000000000004">
      <c r="A574">
        <v>2018</v>
      </c>
      <c r="B574" t="s">
        <v>438</v>
      </c>
      <c r="C574" t="s">
        <v>240</v>
      </c>
      <c r="D574">
        <v>674.5</v>
      </c>
      <c r="G574" s="8">
        <v>341969.73</v>
      </c>
    </row>
    <row r="575" spans="1:7" x14ac:dyDescent="0.55000000000000004">
      <c r="A575">
        <v>2018</v>
      </c>
      <c r="B575" t="s">
        <v>437</v>
      </c>
      <c r="C575" t="s">
        <v>241</v>
      </c>
      <c r="D575">
        <v>730.9</v>
      </c>
      <c r="G575" s="8">
        <v>167564.28</v>
      </c>
    </row>
    <row r="576" spans="1:7" x14ac:dyDescent="0.55000000000000004">
      <c r="A576">
        <v>2018</v>
      </c>
      <c r="B576" t="s">
        <v>436</v>
      </c>
      <c r="C576" t="s">
        <v>242</v>
      </c>
      <c r="D576">
        <v>578</v>
      </c>
      <c r="G576" s="8">
        <v>399331.85</v>
      </c>
    </row>
    <row r="577" spans="1:7" x14ac:dyDescent="0.55000000000000004">
      <c r="A577">
        <v>2018</v>
      </c>
      <c r="B577" t="s">
        <v>435</v>
      </c>
      <c r="C577" t="s">
        <v>243</v>
      </c>
      <c r="D577">
        <v>1057.0999999999999</v>
      </c>
      <c r="G577" s="8">
        <v>299035.67</v>
      </c>
    </row>
    <row r="578" spans="1:7" x14ac:dyDescent="0.55000000000000004">
      <c r="A578">
        <v>2018</v>
      </c>
      <c r="B578" t="s">
        <v>434</v>
      </c>
      <c r="C578" t="s">
        <v>244</v>
      </c>
      <c r="D578">
        <v>340.09999999999997</v>
      </c>
      <c r="G578" s="8">
        <v>111978.88</v>
      </c>
    </row>
    <row r="579" spans="1:7" x14ac:dyDescent="0.55000000000000004">
      <c r="A579">
        <v>2018</v>
      </c>
      <c r="B579" t="s">
        <v>433</v>
      </c>
      <c r="C579" t="s">
        <v>245</v>
      </c>
      <c r="D579">
        <v>328.3</v>
      </c>
      <c r="G579" s="8">
        <v>169007.51</v>
      </c>
    </row>
    <row r="580" spans="1:7" x14ac:dyDescent="0.55000000000000004">
      <c r="A580">
        <v>2018</v>
      </c>
      <c r="B580" t="s">
        <v>432</v>
      </c>
      <c r="C580" t="s">
        <v>246</v>
      </c>
      <c r="D580">
        <v>691</v>
      </c>
      <c r="G580" s="8">
        <v>390403.01</v>
      </c>
    </row>
    <row r="581" spans="1:7" x14ac:dyDescent="0.55000000000000004">
      <c r="A581">
        <v>2018</v>
      </c>
      <c r="B581" t="s">
        <v>431</v>
      </c>
      <c r="C581" t="s">
        <v>247</v>
      </c>
      <c r="D581">
        <v>804.1</v>
      </c>
      <c r="G581" s="8">
        <v>86157.119999999995</v>
      </c>
    </row>
    <row r="582" spans="1:7" x14ac:dyDescent="0.55000000000000004">
      <c r="A582">
        <v>2018</v>
      </c>
      <c r="B582" t="s">
        <v>430</v>
      </c>
      <c r="C582" t="s">
        <v>248</v>
      </c>
      <c r="D582">
        <v>1011.3</v>
      </c>
      <c r="G582" s="8">
        <v>286302.16000000003</v>
      </c>
    </row>
    <row r="583" spans="1:7" x14ac:dyDescent="0.55000000000000004">
      <c r="A583">
        <v>2018</v>
      </c>
      <c r="B583" t="s">
        <v>429</v>
      </c>
      <c r="C583" t="s">
        <v>1195</v>
      </c>
      <c r="D583">
        <v>418</v>
      </c>
      <c r="G583" s="8">
        <v>242546.41</v>
      </c>
    </row>
    <row r="584" spans="1:7" x14ac:dyDescent="0.55000000000000004">
      <c r="A584">
        <v>2018</v>
      </c>
      <c r="B584" t="s">
        <v>428</v>
      </c>
      <c r="C584" t="s">
        <v>249</v>
      </c>
      <c r="D584">
        <v>222</v>
      </c>
      <c r="G584" s="8">
        <v>157074.15</v>
      </c>
    </row>
    <row r="585" spans="1:7" x14ac:dyDescent="0.55000000000000004">
      <c r="A585">
        <v>2018</v>
      </c>
      <c r="B585" t="s">
        <v>427</v>
      </c>
      <c r="C585" t="s">
        <v>250</v>
      </c>
      <c r="D585">
        <v>594.4</v>
      </c>
      <c r="G585" s="8">
        <v>392382.32</v>
      </c>
    </row>
    <row r="586" spans="1:7" x14ac:dyDescent="0.55000000000000004">
      <c r="A586">
        <v>2018</v>
      </c>
      <c r="B586" t="s">
        <v>426</v>
      </c>
      <c r="C586" t="s">
        <v>251</v>
      </c>
      <c r="D586">
        <v>1119.3000000000002</v>
      </c>
      <c r="G586" s="8">
        <v>609963.66999999993</v>
      </c>
    </row>
    <row r="587" spans="1:7" x14ac:dyDescent="0.55000000000000004">
      <c r="A587">
        <v>2018</v>
      </c>
      <c r="B587" t="s">
        <v>425</v>
      </c>
      <c r="C587" t="s">
        <v>252</v>
      </c>
      <c r="D587">
        <v>349.1</v>
      </c>
      <c r="G587" s="8">
        <v>210999.16</v>
      </c>
    </row>
    <row r="588" spans="1:7" x14ac:dyDescent="0.55000000000000004">
      <c r="A588">
        <v>2018</v>
      </c>
      <c r="B588" t="s">
        <v>424</v>
      </c>
      <c r="C588" t="s">
        <v>253</v>
      </c>
      <c r="D588">
        <v>266</v>
      </c>
      <c r="G588" s="8">
        <v>193570.31</v>
      </c>
    </row>
    <row r="589" spans="1:7" x14ac:dyDescent="0.55000000000000004">
      <c r="A589">
        <v>2018</v>
      </c>
      <c r="B589" t="s">
        <v>423</v>
      </c>
      <c r="C589" t="s">
        <v>254</v>
      </c>
      <c r="D589">
        <v>1435.3</v>
      </c>
      <c r="G589" s="8">
        <v>387421.74</v>
      </c>
    </row>
    <row r="590" spans="1:7" x14ac:dyDescent="0.55000000000000004">
      <c r="A590">
        <v>2018</v>
      </c>
      <c r="B590" t="s">
        <v>422</v>
      </c>
      <c r="C590" t="s">
        <v>255</v>
      </c>
      <c r="D590">
        <v>280.10000000000002</v>
      </c>
      <c r="G590" s="8">
        <v>130324.4</v>
      </c>
    </row>
    <row r="591" spans="1:7" x14ac:dyDescent="0.55000000000000004">
      <c r="A591">
        <v>2018</v>
      </c>
      <c r="B591" t="s">
        <v>421</v>
      </c>
      <c r="C591" t="s">
        <v>1196</v>
      </c>
      <c r="D591">
        <v>700.9</v>
      </c>
      <c r="G591" s="8">
        <v>475541.57</v>
      </c>
    </row>
    <row r="592" spans="1:7" x14ac:dyDescent="0.55000000000000004">
      <c r="A592">
        <v>2018</v>
      </c>
      <c r="B592" t="s">
        <v>420</v>
      </c>
      <c r="C592" t="s">
        <v>256</v>
      </c>
      <c r="D592">
        <v>1066.5999999999999</v>
      </c>
      <c r="G592" s="8">
        <v>327899.46999999997</v>
      </c>
    </row>
    <row r="593" spans="1:7" x14ac:dyDescent="0.55000000000000004">
      <c r="A593">
        <v>2018</v>
      </c>
      <c r="B593" t="s">
        <v>419</v>
      </c>
      <c r="C593" t="s">
        <v>257</v>
      </c>
      <c r="D593">
        <v>1082.9000000000001</v>
      </c>
      <c r="G593" s="8">
        <v>443404.04</v>
      </c>
    </row>
    <row r="594" spans="1:7" x14ac:dyDescent="0.55000000000000004">
      <c r="A594">
        <v>2018</v>
      </c>
      <c r="B594" t="s">
        <v>418</v>
      </c>
      <c r="C594" t="s">
        <v>258</v>
      </c>
      <c r="D594">
        <v>772.6</v>
      </c>
      <c r="G594" s="8">
        <v>357129.04</v>
      </c>
    </row>
    <row r="595" spans="1:7" x14ac:dyDescent="0.55000000000000004">
      <c r="A595">
        <v>2018</v>
      </c>
      <c r="B595" t="s">
        <v>417</v>
      </c>
      <c r="C595" t="s">
        <v>259</v>
      </c>
      <c r="D595">
        <v>393.7</v>
      </c>
      <c r="G595" s="8">
        <v>257420.24</v>
      </c>
    </row>
    <row r="596" spans="1:7" x14ac:dyDescent="0.55000000000000004">
      <c r="A596">
        <v>2018</v>
      </c>
      <c r="B596" t="s">
        <v>416</v>
      </c>
      <c r="C596" t="s">
        <v>260</v>
      </c>
      <c r="D596">
        <v>548.6</v>
      </c>
      <c r="G596" s="8">
        <v>175627.04</v>
      </c>
    </row>
    <row r="597" spans="1:7" x14ac:dyDescent="0.55000000000000004">
      <c r="A597">
        <v>2018</v>
      </c>
      <c r="B597" t="s">
        <v>415</v>
      </c>
      <c r="C597" t="s">
        <v>261</v>
      </c>
      <c r="D597">
        <v>1302.5999999999999</v>
      </c>
      <c r="G597" s="8">
        <v>349260.97</v>
      </c>
    </row>
    <row r="598" spans="1:7" x14ac:dyDescent="0.55000000000000004">
      <c r="A598">
        <v>2018</v>
      </c>
      <c r="B598" t="s">
        <v>414</v>
      </c>
      <c r="C598" t="s">
        <v>262</v>
      </c>
      <c r="D598">
        <v>491</v>
      </c>
      <c r="G598" s="8">
        <v>349151.72</v>
      </c>
    </row>
    <row r="599" spans="1:7" x14ac:dyDescent="0.55000000000000004">
      <c r="A599">
        <v>2018</v>
      </c>
      <c r="B599" t="s">
        <v>413</v>
      </c>
      <c r="C599" t="s">
        <v>263</v>
      </c>
      <c r="D599">
        <v>14509.5</v>
      </c>
      <c r="G599" s="8">
        <v>2192405.34</v>
      </c>
    </row>
    <row r="600" spans="1:7" x14ac:dyDescent="0.55000000000000004">
      <c r="A600">
        <v>2018</v>
      </c>
      <c r="B600" t="s">
        <v>412</v>
      </c>
      <c r="C600" t="s">
        <v>340</v>
      </c>
      <c r="D600">
        <v>898.1</v>
      </c>
      <c r="G600" s="8">
        <v>475251.14</v>
      </c>
    </row>
    <row r="601" spans="1:7" x14ac:dyDescent="0.55000000000000004">
      <c r="A601">
        <v>2018</v>
      </c>
      <c r="B601" t="s">
        <v>411</v>
      </c>
      <c r="C601" t="s">
        <v>264</v>
      </c>
      <c r="D601">
        <v>1351.8</v>
      </c>
      <c r="G601" s="8">
        <v>319080.33999999997</v>
      </c>
    </row>
    <row r="602" spans="1:7" x14ac:dyDescent="0.55000000000000004">
      <c r="A602">
        <v>2018</v>
      </c>
      <c r="B602" t="s">
        <v>410</v>
      </c>
      <c r="C602" t="s">
        <v>265</v>
      </c>
      <c r="D602">
        <v>552.70000000000005</v>
      </c>
      <c r="G602" s="8">
        <v>314048.34000000003</v>
      </c>
    </row>
    <row r="603" spans="1:7" x14ac:dyDescent="0.55000000000000004">
      <c r="A603">
        <v>2018</v>
      </c>
      <c r="B603" t="s">
        <v>409</v>
      </c>
      <c r="C603" t="s">
        <v>266</v>
      </c>
      <c r="D603">
        <v>637.1</v>
      </c>
      <c r="G603" s="8">
        <v>301573.25</v>
      </c>
    </row>
    <row r="604" spans="1:7" x14ac:dyDescent="0.55000000000000004">
      <c r="A604">
        <v>2018</v>
      </c>
      <c r="B604" t="s">
        <v>408</v>
      </c>
      <c r="C604" t="s">
        <v>267</v>
      </c>
      <c r="D604">
        <v>550</v>
      </c>
      <c r="G604" s="8">
        <v>459337.8</v>
      </c>
    </row>
    <row r="605" spans="1:7" x14ac:dyDescent="0.55000000000000004">
      <c r="A605">
        <v>2018</v>
      </c>
      <c r="B605" t="s">
        <v>407</v>
      </c>
      <c r="C605" t="s">
        <v>268</v>
      </c>
      <c r="D605">
        <v>207.1</v>
      </c>
      <c r="G605" s="8">
        <v>97893.39</v>
      </c>
    </row>
    <row r="606" spans="1:7" x14ac:dyDescent="0.55000000000000004">
      <c r="A606">
        <v>2018</v>
      </c>
      <c r="B606" t="s">
        <v>406</v>
      </c>
      <c r="C606" t="s">
        <v>269</v>
      </c>
      <c r="D606">
        <v>1541</v>
      </c>
      <c r="G606" s="8">
        <v>634475.56999999995</v>
      </c>
    </row>
    <row r="607" spans="1:7" x14ac:dyDescent="0.55000000000000004">
      <c r="A607">
        <v>2018</v>
      </c>
      <c r="B607" t="s">
        <v>405</v>
      </c>
      <c r="C607" t="s">
        <v>270</v>
      </c>
      <c r="D607">
        <v>586.5</v>
      </c>
      <c r="G607" s="8">
        <v>268017.88</v>
      </c>
    </row>
    <row r="608" spans="1:7" x14ac:dyDescent="0.55000000000000004">
      <c r="A608">
        <v>2018</v>
      </c>
      <c r="B608" t="s">
        <v>404</v>
      </c>
      <c r="C608" t="s">
        <v>271</v>
      </c>
      <c r="D608">
        <v>494</v>
      </c>
      <c r="G608" s="8">
        <v>232026.93</v>
      </c>
    </row>
    <row r="609" spans="1:7" x14ac:dyDescent="0.55000000000000004">
      <c r="A609">
        <v>2018</v>
      </c>
      <c r="B609" t="s">
        <v>403</v>
      </c>
      <c r="C609" t="s">
        <v>272</v>
      </c>
      <c r="D609">
        <v>6843.1</v>
      </c>
      <c r="G609" s="8">
        <v>2099749.92</v>
      </c>
    </row>
    <row r="610" spans="1:7" x14ac:dyDescent="0.55000000000000004">
      <c r="A610">
        <v>2018</v>
      </c>
      <c r="B610" t="s">
        <v>402</v>
      </c>
      <c r="C610" t="s">
        <v>273</v>
      </c>
      <c r="D610">
        <v>1896.6</v>
      </c>
      <c r="G610" s="8">
        <v>338725.59</v>
      </c>
    </row>
    <row r="611" spans="1:7" x14ac:dyDescent="0.55000000000000004">
      <c r="A611">
        <v>2018</v>
      </c>
      <c r="B611" t="s">
        <v>401</v>
      </c>
      <c r="C611" t="s">
        <v>274</v>
      </c>
      <c r="D611">
        <v>1161</v>
      </c>
      <c r="G611" s="8">
        <v>318720.23</v>
      </c>
    </row>
    <row r="612" spans="1:7" x14ac:dyDescent="0.55000000000000004">
      <c r="A612">
        <v>2018</v>
      </c>
      <c r="B612" t="s">
        <v>400</v>
      </c>
      <c r="C612" t="s">
        <v>275</v>
      </c>
      <c r="D612">
        <v>390.1</v>
      </c>
      <c r="G612" s="8">
        <v>106372.67</v>
      </c>
    </row>
    <row r="613" spans="1:7" x14ac:dyDescent="0.55000000000000004">
      <c r="A613">
        <v>2018</v>
      </c>
      <c r="B613" t="s">
        <v>399</v>
      </c>
      <c r="C613" t="s">
        <v>276</v>
      </c>
      <c r="D613">
        <v>190.1</v>
      </c>
      <c r="G613" s="8">
        <v>83233.070000000007</v>
      </c>
    </row>
    <row r="614" spans="1:7" x14ac:dyDescent="0.55000000000000004">
      <c r="A614">
        <v>2018</v>
      </c>
      <c r="B614" t="s">
        <v>398</v>
      </c>
      <c r="C614" t="s">
        <v>277</v>
      </c>
      <c r="D614">
        <v>619.4</v>
      </c>
      <c r="G614" s="8">
        <v>228270.88</v>
      </c>
    </row>
    <row r="615" spans="1:7" x14ac:dyDescent="0.55000000000000004">
      <c r="A615">
        <v>2018</v>
      </c>
      <c r="B615" t="s">
        <v>397</v>
      </c>
      <c r="C615" t="s">
        <v>278</v>
      </c>
      <c r="D615">
        <v>2348.1999999999998</v>
      </c>
      <c r="G615" s="8">
        <v>385075.09</v>
      </c>
    </row>
    <row r="616" spans="1:7" x14ac:dyDescent="0.55000000000000004">
      <c r="A616">
        <v>2018</v>
      </c>
      <c r="B616" t="s">
        <v>396</v>
      </c>
      <c r="C616" t="s">
        <v>279</v>
      </c>
      <c r="D616">
        <v>150.80000000000001</v>
      </c>
      <c r="G616" s="8">
        <v>72404.789999999994</v>
      </c>
    </row>
    <row r="617" spans="1:7" x14ac:dyDescent="0.55000000000000004">
      <c r="A617">
        <v>2018</v>
      </c>
      <c r="B617" t="s">
        <v>395</v>
      </c>
      <c r="C617" t="s">
        <v>280</v>
      </c>
      <c r="D617">
        <v>912.4</v>
      </c>
      <c r="G617" s="8">
        <v>368960.87000000005</v>
      </c>
    </row>
    <row r="618" spans="1:7" x14ac:dyDescent="0.55000000000000004">
      <c r="A618">
        <v>2018</v>
      </c>
      <c r="B618" t="s">
        <v>394</v>
      </c>
      <c r="C618" t="s">
        <v>341</v>
      </c>
      <c r="D618">
        <v>809.4</v>
      </c>
      <c r="G618" s="8">
        <v>380250.34</v>
      </c>
    </row>
    <row r="619" spans="1:7" x14ac:dyDescent="0.55000000000000004">
      <c r="A619">
        <v>2018</v>
      </c>
      <c r="B619" t="s">
        <v>393</v>
      </c>
      <c r="C619" t="s">
        <v>281</v>
      </c>
      <c r="D619">
        <v>883.2</v>
      </c>
      <c r="G619" s="8">
        <v>299194.38</v>
      </c>
    </row>
    <row r="620" spans="1:7" x14ac:dyDescent="0.55000000000000004">
      <c r="A620">
        <v>2018</v>
      </c>
      <c r="B620" t="s">
        <v>392</v>
      </c>
      <c r="C620" t="s">
        <v>282</v>
      </c>
      <c r="D620">
        <v>608.29999999999995</v>
      </c>
      <c r="G620" s="8">
        <v>305514.68</v>
      </c>
    </row>
    <row r="621" spans="1:7" x14ac:dyDescent="0.55000000000000004">
      <c r="A621">
        <v>2018</v>
      </c>
      <c r="B621" t="s">
        <v>391</v>
      </c>
      <c r="C621" t="s">
        <v>283</v>
      </c>
      <c r="D621">
        <v>645.1</v>
      </c>
      <c r="G621" s="8">
        <v>318134.92000000004</v>
      </c>
    </row>
    <row r="622" spans="1:7" x14ac:dyDescent="0.55000000000000004">
      <c r="A622">
        <v>2018</v>
      </c>
      <c r="B622" t="s">
        <v>390</v>
      </c>
      <c r="C622" t="s">
        <v>284</v>
      </c>
      <c r="D622">
        <v>275.39999999999998</v>
      </c>
      <c r="G622" s="8">
        <v>174258.99</v>
      </c>
    </row>
    <row r="623" spans="1:7" x14ac:dyDescent="0.55000000000000004">
      <c r="A623">
        <v>2018</v>
      </c>
      <c r="B623" t="s">
        <v>389</v>
      </c>
      <c r="C623" t="s">
        <v>285</v>
      </c>
      <c r="D623">
        <v>422</v>
      </c>
      <c r="G623" s="8">
        <v>106994.1</v>
      </c>
    </row>
    <row r="624" spans="1:7" x14ac:dyDescent="0.55000000000000004">
      <c r="A624">
        <v>2018</v>
      </c>
      <c r="B624" t="s">
        <v>388</v>
      </c>
      <c r="C624" t="s">
        <v>286</v>
      </c>
      <c r="D624">
        <v>360.7</v>
      </c>
      <c r="G624" s="8">
        <v>203419.88</v>
      </c>
    </row>
    <row r="625" spans="1:7" x14ac:dyDescent="0.55000000000000004">
      <c r="A625">
        <v>2018</v>
      </c>
      <c r="B625" t="s">
        <v>387</v>
      </c>
      <c r="C625" t="s">
        <v>287</v>
      </c>
      <c r="D625">
        <v>339.5</v>
      </c>
      <c r="G625" s="8">
        <v>164844.31</v>
      </c>
    </row>
    <row r="626" spans="1:7" x14ac:dyDescent="0.55000000000000004">
      <c r="A626">
        <v>2018</v>
      </c>
      <c r="B626" t="s">
        <v>386</v>
      </c>
      <c r="C626" t="s">
        <v>288</v>
      </c>
      <c r="D626">
        <v>143</v>
      </c>
      <c r="G626" s="8">
        <v>74731.429999999993</v>
      </c>
    </row>
    <row r="627" spans="1:7" x14ac:dyDescent="0.55000000000000004">
      <c r="A627">
        <v>2018</v>
      </c>
      <c r="B627" t="s">
        <v>385</v>
      </c>
      <c r="C627" t="s">
        <v>289</v>
      </c>
      <c r="D627">
        <v>701</v>
      </c>
      <c r="G627" s="8">
        <v>298194.17</v>
      </c>
    </row>
    <row r="628" spans="1:7" x14ac:dyDescent="0.55000000000000004">
      <c r="A628">
        <v>2018</v>
      </c>
      <c r="B628" t="s">
        <v>384</v>
      </c>
      <c r="C628" t="s">
        <v>290</v>
      </c>
      <c r="D628">
        <v>1053.5999999999999</v>
      </c>
      <c r="G628" s="8">
        <v>472970.2</v>
      </c>
    </row>
    <row r="629" spans="1:7" x14ac:dyDescent="0.55000000000000004">
      <c r="A629">
        <v>2018</v>
      </c>
      <c r="B629" t="s">
        <v>383</v>
      </c>
      <c r="C629" t="s">
        <v>291</v>
      </c>
      <c r="D629">
        <v>373.1</v>
      </c>
      <c r="G629" s="8">
        <v>249110.06999999998</v>
      </c>
    </row>
    <row r="630" spans="1:7" x14ac:dyDescent="0.55000000000000004">
      <c r="A630">
        <v>2018</v>
      </c>
      <c r="B630" t="s">
        <v>382</v>
      </c>
      <c r="C630" t="s">
        <v>292</v>
      </c>
      <c r="D630">
        <v>3404.2000000000003</v>
      </c>
      <c r="G630" s="8">
        <v>877057.79999999993</v>
      </c>
    </row>
    <row r="631" spans="1:7" x14ac:dyDescent="0.55000000000000004">
      <c r="A631">
        <v>2018</v>
      </c>
      <c r="B631" t="s">
        <v>381</v>
      </c>
      <c r="C631" t="s">
        <v>293</v>
      </c>
      <c r="D631">
        <v>366.9</v>
      </c>
      <c r="G631" s="8">
        <v>221508.59</v>
      </c>
    </row>
    <row r="632" spans="1:7" x14ac:dyDescent="0.55000000000000004">
      <c r="A632">
        <v>2018</v>
      </c>
      <c r="B632" t="s">
        <v>380</v>
      </c>
      <c r="C632" t="s">
        <v>294</v>
      </c>
      <c r="D632">
        <v>637.5</v>
      </c>
      <c r="G632" s="8">
        <v>494289.46</v>
      </c>
    </row>
    <row r="633" spans="1:7" x14ac:dyDescent="0.55000000000000004">
      <c r="A633">
        <v>2018</v>
      </c>
      <c r="B633" t="s">
        <v>379</v>
      </c>
      <c r="C633" t="s">
        <v>295</v>
      </c>
      <c r="D633">
        <v>692.3</v>
      </c>
      <c r="G633" s="8">
        <v>168941.23</v>
      </c>
    </row>
    <row r="634" spans="1:7" x14ac:dyDescent="0.55000000000000004">
      <c r="A634">
        <v>2018</v>
      </c>
      <c r="B634" t="s">
        <v>378</v>
      </c>
      <c r="C634" t="s">
        <v>296</v>
      </c>
      <c r="D634">
        <v>298</v>
      </c>
      <c r="G634" s="8">
        <v>249508.62</v>
      </c>
    </row>
    <row r="635" spans="1:7" x14ac:dyDescent="0.55000000000000004">
      <c r="A635">
        <v>2018</v>
      </c>
      <c r="B635" t="s">
        <v>377</v>
      </c>
      <c r="C635" t="s">
        <v>297</v>
      </c>
      <c r="D635">
        <v>1544</v>
      </c>
      <c r="G635" s="8">
        <v>451523.85000000003</v>
      </c>
    </row>
    <row r="636" spans="1:7" x14ac:dyDescent="0.55000000000000004">
      <c r="A636">
        <v>2018</v>
      </c>
      <c r="B636" t="s">
        <v>376</v>
      </c>
      <c r="C636" t="s">
        <v>298</v>
      </c>
      <c r="D636">
        <v>479.9</v>
      </c>
      <c r="G636" s="8">
        <v>150514.61000000002</v>
      </c>
    </row>
    <row r="637" spans="1:7" x14ac:dyDescent="0.55000000000000004">
      <c r="A637">
        <v>2018</v>
      </c>
      <c r="B637" t="s">
        <v>375</v>
      </c>
      <c r="C637" t="s">
        <v>333</v>
      </c>
      <c r="D637">
        <v>845.9</v>
      </c>
      <c r="G637" s="8">
        <v>444647.35</v>
      </c>
    </row>
    <row r="638" spans="1:7" x14ac:dyDescent="0.55000000000000004">
      <c r="A638">
        <v>2018</v>
      </c>
      <c r="B638" t="s">
        <v>374</v>
      </c>
      <c r="C638" t="s">
        <v>299</v>
      </c>
      <c r="D638">
        <v>618.20000000000005</v>
      </c>
      <c r="G638" s="8">
        <v>164025.44</v>
      </c>
    </row>
    <row r="639" spans="1:7" x14ac:dyDescent="0.55000000000000004">
      <c r="A639">
        <v>2018</v>
      </c>
      <c r="B639" t="s">
        <v>373</v>
      </c>
      <c r="C639" t="s">
        <v>300</v>
      </c>
      <c r="D639">
        <v>680.2</v>
      </c>
      <c r="G639" s="8">
        <v>241064.02</v>
      </c>
    </row>
    <row r="640" spans="1:7" x14ac:dyDescent="0.55000000000000004">
      <c r="A640">
        <v>2018</v>
      </c>
      <c r="B640" t="s">
        <v>372</v>
      </c>
      <c r="C640" t="s">
        <v>301</v>
      </c>
      <c r="D640">
        <v>1777.5</v>
      </c>
      <c r="G640" s="8">
        <v>493723.98</v>
      </c>
    </row>
    <row r="641" spans="1:7" x14ac:dyDescent="0.55000000000000004">
      <c r="A641">
        <v>2018</v>
      </c>
      <c r="B641" t="s">
        <v>371</v>
      </c>
      <c r="C641" t="s">
        <v>302</v>
      </c>
      <c r="D641">
        <v>10872.4</v>
      </c>
      <c r="G641" s="8">
        <v>4420156.46</v>
      </c>
    </row>
    <row r="642" spans="1:7" x14ac:dyDescent="0.55000000000000004">
      <c r="A642">
        <v>2018</v>
      </c>
      <c r="B642" t="s">
        <v>370</v>
      </c>
      <c r="C642" t="s">
        <v>303</v>
      </c>
      <c r="D642">
        <v>10599.6</v>
      </c>
      <c r="G642" s="8">
        <v>2471960.5700000003</v>
      </c>
    </row>
    <row r="643" spans="1:7" x14ac:dyDescent="0.55000000000000004">
      <c r="A643">
        <v>2018</v>
      </c>
      <c r="B643" t="s">
        <v>369</v>
      </c>
      <c r="C643" t="s">
        <v>304</v>
      </c>
      <c r="D643">
        <v>2077.8000000000002</v>
      </c>
      <c r="G643" s="8">
        <v>473678.79</v>
      </c>
    </row>
    <row r="644" spans="1:7" x14ac:dyDescent="0.55000000000000004">
      <c r="A644">
        <v>2018</v>
      </c>
      <c r="B644" t="s">
        <v>368</v>
      </c>
      <c r="C644" t="s">
        <v>305</v>
      </c>
      <c r="D644">
        <v>575.6</v>
      </c>
      <c r="G644" s="8">
        <v>351007.59</v>
      </c>
    </row>
    <row r="645" spans="1:7" x14ac:dyDescent="0.55000000000000004">
      <c r="A645">
        <v>2018</v>
      </c>
      <c r="B645" t="s">
        <v>367</v>
      </c>
      <c r="C645" t="s">
        <v>306</v>
      </c>
      <c r="D645">
        <v>1506.6000000000001</v>
      </c>
      <c r="G645" s="8">
        <v>507342.63</v>
      </c>
    </row>
    <row r="646" spans="1:7" x14ac:dyDescent="0.55000000000000004">
      <c r="A646">
        <v>2018</v>
      </c>
      <c r="B646" t="s">
        <v>366</v>
      </c>
      <c r="C646" t="s">
        <v>307</v>
      </c>
      <c r="D646">
        <v>286.2</v>
      </c>
      <c r="G646" s="8">
        <v>155478.06</v>
      </c>
    </row>
    <row r="647" spans="1:7" x14ac:dyDescent="0.55000000000000004">
      <c r="A647">
        <v>2018</v>
      </c>
      <c r="B647" t="s">
        <v>365</v>
      </c>
      <c r="C647" t="s">
        <v>308</v>
      </c>
      <c r="D647">
        <v>774.3</v>
      </c>
      <c r="G647" s="8">
        <v>303473.33</v>
      </c>
    </row>
    <row r="648" spans="1:7" x14ac:dyDescent="0.55000000000000004">
      <c r="A648">
        <v>2018</v>
      </c>
      <c r="B648" t="s">
        <v>364</v>
      </c>
      <c r="C648" t="s">
        <v>309</v>
      </c>
      <c r="D648">
        <v>465.2</v>
      </c>
      <c r="G648" s="8">
        <v>8764.99</v>
      </c>
    </row>
    <row r="649" spans="1:7" x14ac:dyDescent="0.55000000000000004">
      <c r="A649">
        <v>2018</v>
      </c>
      <c r="B649" t="s">
        <v>363</v>
      </c>
      <c r="C649" t="s">
        <v>310</v>
      </c>
      <c r="D649">
        <v>260.10000000000002</v>
      </c>
      <c r="G649" s="8">
        <v>97697.42</v>
      </c>
    </row>
    <row r="650" spans="1:7" x14ac:dyDescent="0.55000000000000004">
      <c r="A650">
        <v>2018</v>
      </c>
      <c r="B650" t="s">
        <v>362</v>
      </c>
      <c r="C650" t="s">
        <v>311</v>
      </c>
      <c r="D650">
        <v>1442.2</v>
      </c>
      <c r="G650" s="8">
        <v>635576.49</v>
      </c>
    </row>
    <row r="651" spans="1:7" x14ac:dyDescent="0.55000000000000004">
      <c r="A651">
        <v>2018</v>
      </c>
      <c r="B651" t="s">
        <v>361</v>
      </c>
      <c r="C651" t="s">
        <v>312</v>
      </c>
      <c r="D651">
        <v>8917.1</v>
      </c>
      <c r="G651" s="8">
        <v>2434660.9300000002</v>
      </c>
    </row>
    <row r="652" spans="1:7" x14ac:dyDescent="0.55000000000000004">
      <c r="A652">
        <v>2018</v>
      </c>
      <c r="B652" t="s">
        <v>360</v>
      </c>
      <c r="C652" t="s">
        <v>313</v>
      </c>
      <c r="D652">
        <v>3095</v>
      </c>
      <c r="G652" s="8">
        <v>1626438.27</v>
      </c>
    </row>
    <row r="653" spans="1:7" x14ac:dyDescent="0.55000000000000004">
      <c r="A653">
        <v>2018</v>
      </c>
      <c r="B653" t="s">
        <v>359</v>
      </c>
      <c r="C653" t="s">
        <v>314</v>
      </c>
      <c r="D653">
        <v>346</v>
      </c>
      <c r="G653" s="8">
        <v>187203</v>
      </c>
    </row>
    <row r="654" spans="1:7" x14ac:dyDescent="0.55000000000000004">
      <c r="A654">
        <v>2018</v>
      </c>
      <c r="B654" t="s">
        <v>358</v>
      </c>
      <c r="C654" t="s">
        <v>315</v>
      </c>
      <c r="D654">
        <v>1377.1</v>
      </c>
      <c r="G654" s="8">
        <v>229206.01</v>
      </c>
    </row>
    <row r="655" spans="1:7" x14ac:dyDescent="0.55000000000000004">
      <c r="A655">
        <v>2018</v>
      </c>
      <c r="B655" t="s">
        <v>357</v>
      </c>
      <c r="C655" t="s">
        <v>316</v>
      </c>
      <c r="D655">
        <v>923</v>
      </c>
      <c r="G655" s="8">
        <v>495412.87</v>
      </c>
    </row>
    <row r="656" spans="1:7" x14ac:dyDescent="0.55000000000000004">
      <c r="A656">
        <v>2018</v>
      </c>
      <c r="B656" t="s">
        <v>356</v>
      </c>
      <c r="C656" t="s">
        <v>317</v>
      </c>
      <c r="D656">
        <v>896.1</v>
      </c>
      <c r="G656" s="8">
        <v>415739.76</v>
      </c>
    </row>
    <row r="657" spans="1:8" x14ac:dyDescent="0.55000000000000004">
      <c r="A657">
        <v>2018</v>
      </c>
      <c r="B657" t="s">
        <v>355</v>
      </c>
      <c r="C657" t="s">
        <v>318</v>
      </c>
      <c r="D657">
        <v>606</v>
      </c>
      <c r="G657" s="8">
        <v>225593.47999999998</v>
      </c>
    </row>
    <row r="658" spans="1:8" x14ac:dyDescent="0.55000000000000004">
      <c r="A658">
        <v>2018</v>
      </c>
      <c r="B658" t="s">
        <v>354</v>
      </c>
      <c r="C658" t="s">
        <v>319</v>
      </c>
      <c r="D658">
        <v>833.59999999999991</v>
      </c>
      <c r="G658" s="8">
        <v>342578.74</v>
      </c>
    </row>
    <row r="659" spans="1:8" x14ac:dyDescent="0.55000000000000004">
      <c r="A659">
        <v>2018</v>
      </c>
      <c r="B659" t="s">
        <v>353</v>
      </c>
      <c r="C659" t="s">
        <v>320</v>
      </c>
      <c r="D659">
        <v>532</v>
      </c>
      <c r="G659" s="8">
        <v>394729.48</v>
      </c>
    </row>
    <row r="660" spans="1:8" x14ac:dyDescent="0.55000000000000004">
      <c r="A660">
        <v>2018</v>
      </c>
      <c r="B660" t="s">
        <v>352</v>
      </c>
      <c r="C660" t="s">
        <v>321</v>
      </c>
      <c r="D660">
        <v>205.2</v>
      </c>
      <c r="G660" s="8">
        <v>59362.16</v>
      </c>
    </row>
    <row r="661" spans="1:8" x14ac:dyDescent="0.55000000000000004">
      <c r="A661">
        <v>2018</v>
      </c>
      <c r="B661" t="s">
        <v>351</v>
      </c>
      <c r="C661" t="s">
        <v>322</v>
      </c>
      <c r="D661">
        <v>1122.3999999999999</v>
      </c>
      <c r="G661" s="8">
        <v>379635.08</v>
      </c>
    </row>
    <row r="662" spans="1:8" x14ac:dyDescent="0.55000000000000004">
      <c r="A662">
        <v>2018</v>
      </c>
      <c r="B662" t="s">
        <v>350</v>
      </c>
      <c r="C662" t="s">
        <v>323</v>
      </c>
      <c r="D662">
        <v>828.6</v>
      </c>
      <c r="G662" s="8">
        <v>161126.06</v>
      </c>
    </row>
    <row r="663" spans="1:8" x14ac:dyDescent="0.55000000000000004">
      <c r="A663">
        <v>2018</v>
      </c>
      <c r="B663" t="s">
        <v>349</v>
      </c>
      <c r="C663" t="s">
        <v>324</v>
      </c>
      <c r="D663">
        <v>339.3</v>
      </c>
      <c r="G663" s="8">
        <v>87924.39</v>
      </c>
    </row>
    <row r="664" spans="1:8" x14ac:dyDescent="0.55000000000000004">
      <c r="A664">
        <v>2018</v>
      </c>
      <c r="B664" t="s">
        <v>348</v>
      </c>
      <c r="C664" t="s">
        <v>325</v>
      </c>
      <c r="D664">
        <v>1710.4</v>
      </c>
      <c r="G664" s="8">
        <v>676572.83</v>
      </c>
    </row>
    <row r="665" spans="1:8" x14ac:dyDescent="0.55000000000000004">
      <c r="A665">
        <v>2018</v>
      </c>
      <c r="B665" t="s">
        <v>347</v>
      </c>
      <c r="C665" t="s">
        <v>326</v>
      </c>
      <c r="D665">
        <v>470</v>
      </c>
      <c r="G665" s="8">
        <v>161033.31</v>
      </c>
    </row>
    <row r="666" spans="1:8" x14ac:dyDescent="0.55000000000000004">
      <c r="A666">
        <v>2018</v>
      </c>
      <c r="B666" t="s">
        <v>346</v>
      </c>
      <c r="C666" t="s">
        <v>327</v>
      </c>
      <c r="D666">
        <v>549.9</v>
      </c>
      <c r="G666" s="8">
        <v>289430.37</v>
      </c>
    </row>
    <row r="667" spans="1:8" x14ac:dyDescent="0.55000000000000004">
      <c r="A667">
        <v>2018</v>
      </c>
      <c r="B667" t="s">
        <v>345</v>
      </c>
      <c r="C667" t="s">
        <v>328</v>
      </c>
      <c r="D667">
        <v>960.2</v>
      </c>
      <c r="G667" s="8">
        <v>366418.45999999996</v>
      </c>
    </row>
    <row r="668" spans="1:8" x14ac:dyDescent="0.55000000000000004">
      <c r="A668">
        <v>2019</v>
      </c>
      <c r="B668" t="s">
        <v>682</v>
      </c>
      <c r="C668" t="s">
        <v>687</v>
      </c>
      <c r="D668" s="6">
        <v>309</v>
      </c>
      <c r="G668" s="8">
        <v>296657.07</v>
      </c>
      <c r="H668" s="5">
        <v>120324</v>
      </c>
    </row>
    <row r="669" spans="1:8" x14ac:dyDescent="0.55000000000000004">
      <c r="A669">
        <v>2019</v>
      </c>
      <c r="B669" t="s">
        <v>681</v>
      </c>
      <c r="C669" t="s">
        <v>688</v>
      </c>
      <c r="D669" s="6">
        <v>1797.8</v>
      </c>
      <c r="G669" s="8">
        <v>702002.47000000009</v>
      </c>
      <c r="H669" s="5">
        <v>0</v>
      </c>
    </row>
    <row r="670" spans="1:8" x14ac:dyDescent="0.55000000000000004">
      <c r="A670">
        <v>2019</v>
      </c>
      <c r="B670" t="s">
        <v>683</v>
      </c>
      <c r="C670" t="s">
        <v>17</v>
      </c>
      <c r="D670" s="6">
        <v>646.40000000000009</v>
      </c>
      <c r="G670" s="8">
        <v>406587.94</v>
      </c>
      <c r="H670" s="5">
        <v>90688</v>
      </c>
    </row>
    <row r="671" spans="1:8" x14ac:dyDescent="0.55000000000000004">
      <c r="A671">
        <v>2019</v>
      </c>
      <c r="B671" t="s">
        <v>661</v>
      </c>
      <c r="C671" t="s">
        <v>691</v>
      </c>
      <c r="D671" s="6">
        <v>784.6</v>
      </c>
      <c r="G671" s="8">
        <v>367115.26</v>
      </c>
      <c r="H671" s="5">
        <v>14481</v>
      </c>
    </row>
    <row r="672" spans="1:8" x14ac:dyDescent="0.55000000000000004">
      <c r="A672">
        <v>2019</v>
      </c>
      <c r="B672" t="s">
        <v>680</v>
      </c>
      <c r="C672" t="s">
        <v>693</v>
      </c>
      <c r="D672" s="6">
        <v>563.29999999999995</v>
      </c>
      <c r="G672" s="8">
        <v>349305.36000000004</v>
      </c>
      <c r="H672" s="5">
        <v>115702</v>
      </c>
    </row>
    <row r="673" spans="1:8" x14ac:dyDescent="0.55000000000000004">
      <c r="A673">
        <v>2019</v>
      </c>
      <c r="B673" t="s">
        <v>679</v>
      </c>
      <c r="C673" t="s">
        <v>695</v>
      </c>
      <c r="D673" s="6">
        <v>202.2</v>
      </c>
      <c r="G673" s="8">
        <v>184165.47</v>
      </c>
      <c r="H673" s="5">
        <v>78844</v>
      </c>
    </row>
    <row r="674" spans="1:8" x14ac:dyDescent="0.55000000000000004">
      <c r="A674">
        <v>2019</v>
      </c>
      <c r="B674" t="s">
        <v>678</v>
      </c>
      <c r="C674" t="s">
        <v>697</v>
      </c>
      <c r="D674" s="6">
        <v>1163.4000000000001</v>
      </c>
      <c r="G674" s="8">
        <v>433834.76</v>
      </c>
      <c r="H674" s="5">
        <v>0</v>
      </c>
    </row>
    <row r="675" spans="1:8" x14ac:dyDescent="0.55000000000000004">
      <c r="A675">
        <v>2019</v>
      </c>
      <c r="B675" t="s">
        <v>677</v>
      </c>
      <c r="C675" t="s">
        <v>699</v>
      </c>
      <c r="D675" s="6">
        <v>514.20000000000005</v>
      </c>
      <c r="G675" s="8">
        <v>324479.28000000003</v>
      </c>
      <c r="H675" s="5">
        <v>53887</v>
      </c>
    </row>
    <row r="676" spans="1:8" x14ac:dyDescent="0.55000000000000004">
      <c r="A676">
        <v>2019</v>
      </c>
      <c r="B676" t="s">
        <v>676</v>
      </c>
      <c r="C676" t="s">
        <v>700</v>
      </c>
      <c r="D676" s="6">
        <v>274.2</v>
      </c>
      <c r="G676" s="8">
        <v>139211.82999999999</v>
      </c>
      <c r="H676" s="5">
        <v>31957</v>
      </c>
    </row>
    <row r="677" spans="1:8" x14ac:dyDescent="0.55000000000000004">
      <c r="A677">
        <v>2019</v>
      </c>
      <c r="B677" t="s">
        <v>675</v>
      </c>
      <c r="C677" t="s">
        <v>702</v>
      </c>
      <c r="D677" s="6">
        <v>1279.8</v>
      </c>
      <c r="G677" s="8">
        <v>582849.97</v>
      </c>
      <c r="H677" s="5">
        <v>0</v>
      </c>
    </row>
    <row r="678" spans="1:8" x14ac:dyDescent="0.55000000000000004">
      <c r="A678">
        <v>2019</v>
      </c>
      <c r="B678" t="s">
        <v>674</v>
      </c>
      <c r="C678" t="s">
        <v>704</v>
      </c>
      <c r="D678" s="6">
        <v>1092.3000000000002</v>
      </c>
      <c r="G678" s="8">
        <v>716625</v>
      </c>
      <c r="H678" s="5">
        <v>223036</v>
      </c>
    </row>
    <row r="679" spans="1:8" x14ac:dyDescent="0.55000000000000004">
      <c r="A679">
        <v>2019</v>
      </c>
      <c r="B679" t="s">
        <v>672</v>
      </c>
      <c r="C679" t="s">
        <v>1307</v>
      </c>
      <c r="D679" s="6">
        <v>812.9</v>
      </c>
      <c r="G679" s="8">
        <v>335358.53999999998</v>
      </c>
      <c r="H679" s="5">
        <v>69262</v>
      </c>
    </row>
    <row r="680" spans="1:8" x14ac:dyDescent="0.55000000000000004">
      <c r="A680">
        <v>2019</v>
      </c>
      <c r="B680" t="s">
        <v>671</v>
      </c>
      <c r="C680" t="s">
        <v>705</v>
      </c>
      <c r="D680" s="6">
        <v>4387.3999999999996</v>
      </c>
      <c r="G680" s="8">
        <v>2377347.4500000002</v>
      </c>
      <c r="H680" s="5">
        <v>171429</v>
      </c>
    </row>
    <row r="681" spans="1:8" x14ac:dyDescent="0.55000000000000004">
      <c r="A681">
        <v>2019</v>
      </c>
      <c r="B681" t="s">
        <v>670</v>
      </c>
      <c r="C681" t="s">
        <v>706</v>
      </c>
      <c r="D681" s="6">
        <v>1266.8</v>
      </c>
      <c r="G681" s="8">
        <v>419976.46</v>
      </c>
      <c r="H681" s="5">
        <v>0</v>
      </c>
    </row>
    <row r="682" spans="1:8" x14ac:dyDescent="0.55000000000000004">
      <c r="A682">
        <v>2019</v>
      </c>
      <c r="B682" t="s">
        <v>669</v>
      </c>
      <c r="C682" t="s">
        <v>708</v>
      </c>
      <c r="D682" s="6">
        <v>240.3</v>
      </c>
      <c r="G682" s="8">
        <v>153977.78</v>
      </c>
      <c r="H682" s="5">
        <v>93250</v>
      </c>
    </row>
    <row r="683" spans="1:8" x14ac:dyDescent="0.55000000000000004">
      <c r="A683">
        <v>2019</v>
      </c>
      <c r="B683" t="s">
        <v>668</v>
      </c>
      <c r="C683" t="s">
        <v>709</v>
      </c>
      <c r="D683" s="6">
        <v>11976.6</v>
      </c>
      <c r="G683" s="8">
        <v>3235079.21</v>
      </c>
      <c r="H683" s="5">
        <v>0</v>
      </c>
    </row>
    <row r="684" spans="1:8" x14ac:dyDescent="0.55000000000000004">
      <c r="A684">
        <v>2019</v>
      </c>
      <c r="B684" t="s">
        <v>667</v>
      </c>
      <c r="C684" t="s">
        <v>710</v>
      </c>
      <c r="D684" s="6">
        <v>803.3</v>
      </c>
      <c r="G684" s="8">
        <v>317788.23</v>
      </c>
      <c r="H684" s="5">
        <v>0</v>
      </c>
    </row>
    <row r="685" spans="1:8" x14ac:dyDescent="0.55000000000000004">
      <c r="A685">
        <v>2019</v>
      </c>
      <c r="B685" t="s">
        <v>665</v>
      </c>
      <c r="C685" t="s">
        <v>711</v>
      </c>
      <c r="D685" s="6">
        <v>278</v>
      </c>
      <c r="G685" s="8">
        <v>187721.67</v>
      </c>
      <c r="H685" s="5">
        <v>29659</v>
      </c>
    </row>
    <row r="686" spans="1:8" x14ac:dyDescent="0.55000000000000004">
      <c r="A686">
        <v>2019</v>
      </c>
      <c r="B686" t="s">
        <v>664</v>
      </c>
      <c r="C686" t="s">
        <v>712</v>
      </c>
      <c r="D686" s="6">
        <v>1328.8</v>
      </c>
      <c r="G686" s="8">
        <v>284789.26</v>
      </c>
      <c r="H686" s="5">
        <v>0</v>
      </c>
    </row>
    <row r="687" spans="1:8" x14ac:dyDescent="0.55000000000000004">
      <c r="A687">
        <v>2019</v>
      </c>
      <c r="B687" t="s">
        <v>663</v>
      </c>
      <c r="C687" t="s">
        <v>713</v>
      </c>
      <c r="D687" s="6">
        <v>498.9</v>
      </c>
      <c r="G687" s="8">
        <v>197519.41</v>
      </c>
      <c r="H687" s="5">
        <v>0</v>
      </c>
    </row>
    <row r="688" spans="1:8" x14ac:dyDescent="0.55000000000000004">
      <c r="A688">
        <v>2019</v>
      </c>
      <c r="B688" t="s">
        <v>660</v>
      </c>
      <c r="C688" t="s">
        <v>714</v>
      </c>
      <c r="D688" s="6">
        <v>1622.3</v>
      </c>
      <c r="G688" s="8">
        <v>621027.94000000006</v>
      </c>
      <c r="H688" s="5">
        <v>0</v>
      </c>
    </row>
    <row r="689" spans="1:8" x14ac:dyDescent="0.55000000000000004">
      <c r="A689">
        <v>2019</v>
      </c>
      <c r="B689" t="s">
        <v>658</v>
      </c>
      <c r="C689" t="s">
        <v>715</v>
      </c>
      <c r="D689" s="6">
        <v>309.10000000000002</v>
      </c>
      <c r="G689" s="8">
        <v>143200.99</v>
      </c>
      <c r="H689" s="5">
        <v>0</v>
      </c>
    </row>
    <row r="690" spans="1:8" x14ac:dyDescent="0.55000000000000004">
      <c r="A690">
        <v>2019</v>
      </c>
      <c r="B690" t="s">
        <v>657</v>
      </c>
      <c r="C690" t="s">
        <v>40</v>
      </c>
      <c r="D690" s="6">
        <v>520.20000000000005</v>
      </c>
      <c r="G690" s="8">
        <v>314851.98</v>
      </c>
      <c r="H690" s="5">
        <v>101968</v>
      </c>
    </row>
    <row r="691" spans="1:8" x14ac:dyDescent="0.55000000000000004">
      <c r="A691">
        <v>2019</v>
      </c>
      <c r="B691" t="s">
        <v>656</v>
      </c>
      <c r="C691" t="s">
        <v>716</v>
      </c>
      <c r="D691" s="6">
        <v>473.6</v>
      </c>
      <c r="G691" s="8">
        <v>200097.15</v>
      </c>
      <c r="H691" s="5">
        <v>0</v>
      </c>
    </row>
    <row r="692" spans="1:8" x14ac:dyDescent="0.55000000000000004">
      <c r="A692">
        <v>2019</v>
      </c>
      <c r="B692" t="s">
        <v>655</v>
      </c>
      <c r="C692" t="s">
        <v>717</v>
      </c>
      <c r="D692" s="6">
        <v>488.4</v>
      </c>
      <c r="G692" s="8">
        <v>223363.17</v>
      </c>
      <c r="H692" s="5">
        <v>152216</v>
      </c>
    </row>
    <row r="693" spans="1:8" x14ac:dyDescent="0.55000000000000004">
      <c r="A693">
        <v>2019</v>
      </c>
      <c r="B693" t="s">
        <v>654</v>
      </c>
      <c r="C693" t="s">
        <v>718</v>
      </c>
      <c r="D693" s="6">
        <v>591</v>
      </c>
      <c r="G693" s="8">
        <v>246842</v>
      </c>
      <c r="H693" s="5">
        <v>0</v>
      </c>
    </row>
    <row r="694" spans="1:8" x14ac:dyDescent="0.55000000000000004">
      <c r="A694">
        <v>2019</v>
      </c>
      <c r="B694" t="s">
        <v>653</v>
      </c>
      <c r="C694" t="s">
        <v>719</v>
      </c>
      <c r="D694" s="6">
        <v>791.5</v>
      </c>
      <c r="G694" s="8">
        <v>210511.55</v>
      </c>
      <c r="H694" s="5">
        <v>0</v>
      </c>
    </row>
    <row r="695" spans="1:8" x14ac:dyDescent="0.55000000000000004">
      <c r="A695">
        <v>2019</v>
      </c>
      <c r="B695" t="s">
        <v>652</v>
      </c>
      <c r="C695" t="s">
        <v>720</v>
      </c>
      <c r="D695" s="6">
        <v>207.3</v>
      </c>
      <c r="G695" s="8">
        <v>127977.59</v>
      </c>
      <c r="H695" s="5">
        <v>47485</v>
      </c>
    </row>
    <row r="696" spans="1:8" x14ac:dyDescent="0.55000000000000004">
      <c r="A696">
        <v>2019</v>
      </c>
      <c r="B696" t="s">
        <v>651</v>
      </c>
      <c r="C696" t="s">
        <v>721</v>
      </c>
      <c r="D696" s="6">
        <v>1502.1</v>
      </c>
      <c r="G696" s="8">
        <v>866517.71000000008</v>
      </c>
      <c r="H696" s="5">
        <v>136292</v>
      </c>
    </row>
    <row r="697" spans="1:8" x14ac:dyDescent="0.55000000000000004">
      <c r="A697">
        <v>2019</v>
      </c>
      <c r="B697" t="s">
        <v>650</v>
      </c>
      <c r="C697" t="s">
        <v>722</v>
      </c>
      <c r="D697" s="6">
        <v>4185.3</v>
      </c>
      <c r="G697" s="8">
        <v>441548.47</v>
      </c>
      <c r="H697" s="5">
        <v>0</v>
      </c>
    </row>
    <row r="698" spans="1:8" x14ac:dyDescent="0.55000000000000004">
      <c r="A698">
        <v>2019</v>
      </c>
      <c r="B698" t="s">
        <v>647</v>
      </c>
      <c r="C698" t="s">
        <v>723</v>
      </c>
      <c r="D698" s="6">
        <v>2142.1999999999998</v>
      </c>
      <c r="G698" s="8">
        <v>544174.05000000005</v>
      </c>
      <c r="H698" s="5">
        <v>0</v>
      </c>
    </row>
    <row r="699" spans="1:8" x14ac:dyDescent="0.55000000000000004">
      <c r="A699">
        <v>2019</v>
      </c>
      <c r="B699" t="s">
        <v>646</v>
      </c>
      <c r="C699" t="s">
        <v>724</v>
      </c>
      <c r="D699" s="6">
        <v>2056.5</v>
      </c>
      <c r="G699" s="8">
        <v>322526.06</v>
      </c>
      <c r="H699" s="5">
        <v>0</v>
      </c>
    </row>
    <row r="700" spans="1:8" x14ac:dyDescent="0.55000000000000004">
      <c r="A700">
        <v>2019</v>
      </c>
      <c r="B700" t="s">
        <v>645</v>
      </c>
      <c r="C700" t="s">
        <v>725</v>
      </c>
      <c r="D700" s="6">
        <v>583.09999999999991</v>
      </c>
      <c r="G700" s="8">
        <v>223128.24</v>
      </c>
      <c r="H700" s="5">
        <v>0</v>
      </c>
    </row>
    <row r="701" spans="1:8" x14ac:dyDescent="0.55000000000000004">
      <c r="A701">
        <v>2019</v>
      </c>
      <c r="B701" t="s">
        <v>586</v>
      </c>
      <c r="C701" t="s">
        <v>726</v>
      </c>
      <c r="D701" s="6">
        <v>393.7</v>
      </c>
      <c r="G701" s="8">
        <v>225667.24</v>
      </c>
      <c r="H701" s="5">
        <v>30942</v>
      </c>
    </row>
    <row r="702" spans="1:8" x14ac:dyDescent="0.55000000000000004">
      <c r="A702">
        <v>2019</v>
      </c>
      <c r="B702" t="s">
        <v>643</v>
      </c>
      <c r="C702" t="s">
        <v>727</v>
      </c>
      <c r="D702" s="6">
        <v>551.6</v>
      </c>
      <c r="G702" s="8">
        <v>192909.72</v>
      </c>
      <c r="H702" s="5">
        <v>0</v>
      </c>
    </row>
    <row r="703" spans="1:8" x14ac:dyDescent="0.55000000000000004">
      <c r="A703">
        <v>2019</v>
      </c>
      <c r="B703" t="s">
        <v>641</v>
      </c>
      <c r="C703" t="s">
        <v>728</v>
      </c>
      <c r="D703" s="6">
        <v>4133.5999999999995</v>
      </c>
      <c r="G703" s="8">
        <v>838027.42</v>
      </c>
      <c r="H703" s="5">
        <v>0</v>
      </c>
    </row>
    <row r="704" spans="1:8" x14ac:dyDescent="0.55000000000000004">
      <c r="A704">
        <v>2019</v>
      </c>
      <c r="B704" t="s">
        <v>638</v>
      </c>
      <c r="C704" t="s">
        <v>55</v>
      </c>
      <c r="D704" s="6">
        <v>239.9</v>
      </c>
      <c r="G704" s="8">
        <v>129103.45</v>
      </c>
      <c r="H704" s="5">
        <v>0</v>
      </c>
    </row>
    <row r="705" spans="1:8" x14ac:dyDescent="0.55000000000000004">
      <c r="A705">
        <v>2019</v>
      </c>
      <c r="B705" t="s">
        <v>637</v>
      </c>
      <c r="C705" t="s">
        <v>1308</v>
      </c>
      <c r="D705" s="6">
        <v>424.9</v>
      </c>
      <c r="G705" s="8">
        <v>233503.39</v>
      </c>
      <c r="H705" s="5">
        <v>27377</v>
      </c>
    </row>
    <row r="706" spans="1:8" x14ac:dyDescent="0.55000000000000004">
      <c r="A706">
        <v>2019</v>
      </c>
      <c r="B706" t="s">
        <v>640</v>
      </c>
      <c r="C706" t="s">
        <v>639</v>
      </c>
      <c r="D706" s="6">
        <v>491.6</v>
      </c>
      <c r="G706" s="8">
        <v>310642.55</v>
      </c>
      <c r="H706" s="5">
        <v>105945</v>
      </c>
    </row>
    <row r="707" spans="1:8" x14ac:dyDescent="0.55000000000000004">
      <c r="A707">
        <v>2019</v>
      </c>
      <c r="B707" t="s">
        <v>636</v>
      </c>
      <c r="C707" t="s">
        <v>729</v>
      </c>
      <c r="D707" s="6">
        <v>821</v>
      </c>
      <c r="G707" s="8">
        <v>166661.4</v>
      </c>
      <c r="H707" s="5">
        <v>0</v>
      </c>
    </row>
    <row r="708" spans="1:8" x14ac:dyDescent="0.55000000000000004">
      <c r="A708">
        <v>2019</v>
      </c>
      <c r="B708" t="s">
        <v>635</v>
      </c>
      <c r="C708" t="s">
        <v>730</v>
      </c>
      <c r="D708" s="6">
        <v>570.9</v>
      </c>
      <c r="G708" s="8">
        <v>474580.55</v>
      </c>
      <c r="H708" s="5">
        <v>119715</v>
      </c>
    </row>
    <row r="709" spans="1:8" x14ac:dyDescent="0.55000000000000004">
      <c r="A709">
        <v>2019</v>
      </c>
      <c r="B709" t="s">
        <v>634</v>
      </c>
      <c r="C709" t="s">
        <v>731</v>
      </c>
      <c r="D709" s="6">
        <v>1981.5</v>
      </c>
      <c r="G709" s="8">
        <v>757540.94</v>
      </c>
      <c r="H709" s="5">
        <v>0</v>
      </c>
    </row>
    <row r="710" spans="1:8" x14ac:dyDescent="0.55000000000000004">
      <c r="A710">
        <v>2019</v>
      </c>
      <c r="B710" t="s">
        <v>633</v>
      </c>
      <c r="C710" t="s">
        <v>732</v>
      </c>
      <c r="D710" s="6">
        <v>1698.7</v>
      </c>
      <c r="G710" s="8">
        <v>724780.16</v>
      </c>
      <c r="H710" s="5">
        <v>0</v>
      </c>
    </row>
    <row r="711" spans="1:8" x14ac:dyDescent="0.55000000000000004">
      <c r="A711">
        <v>2019</v>
      </c>
      <c r="B711" t="s">
        <v>632</v>
      </c>
      <c r="C711" t="s">
        <v>733</v>
      </c>
      <c r="D711" s="6">
        <v>5236.4000000000005</v>
      </c>
      <c r="G711" s="8">
        <v>1470094.92</v>
      </c>
      <c r="H711" s="5">
        <v>0</v>
      </c>
    </row>
    <row r="712" spans="1:8" x14ac:dyDescent="0.55000000000000004">
      <c r="A712">
        <v>2019</v>
      </c>
      <c r="B712" t="s">
        <v>631</v>
      </c>
      <c r="C712" t="s">
        <v>734</v>
      </c>
      <c r="D712" s="6">
        <v>16943.900000000001</v>
      </c>
      <c r="G712" s="8">
        <v>6172856.4099999992</v>
      </c>
      <c r="H712" s="5">
        <v>0</v>
      </c>
    </row>
    <row r="713" spans="1:8" x14ac:dyDescent="0.55000000000000004">
      <c r="A713">
        <v>2019</v>
      </c>
      <c r="B713" t="s">
        <v>630</v>
      </c>
      <c r="C713" t="s">
        <v>735</v>
      </c>
      <c r="D713" s="6">
        <v>1331.4</v>
      </c>
      <c r="G713" s="8">
        <v>357489.45</v>
      </c>
      <c r="H713" s="5">
        <v>0</v>
      </c>
    </row>
    <row r="714" spans="1:8" x14ac:dyDescent="0.55000000000000004">
      <c r="A714">
        <v>2019</v>
      </c>
      <c r="B714" t="s">
        <v>629</v>
      </c>
      <c r="C714" t="s">
        <v>736</v>
      </c>
      <c r="D714" s="6">
        <v>1374.8</v>
      </c>
      <c r="G714" s="8">
        <v>344504.3</v>
      </c>
      <c r="H714" s="5">
        <v>0</v>
      </c>
    </row>
    <row r="715" spans="1:8" x14ac:dyDescent="0.55000000000000004">
      <c r="A715">
        <v>2019</v>
      </c>
      <c r="B715" t="s">
        <v>624</v>
      </c>
      <c r="C715" t="s">
        <v>737</v>
      </c>
      <c r="D715" s="6">
        <v>458.9</v>
      </c>
      <c r="G715" s="8">
        <v>140707.45000000001</v>
      </c>
      <c r="H715" s="5">
        <v>0</v>
      </c>
    </row>
    <row r="716" spans="1:8" x14ac:dyDescent="0.55000000000000004">
      <c r="A716">
        <v>2019</v>
      </c>
      <c r="B716" t="s">
        <v>627</v>
      </c>
      <c r="C716" t="s">
        <v>738</v>
      </c>
      <c r="D716" s="6">
        <v>424.1</v>
      </c>
      <c r="G716" s="8">
        <v>289763.18</v>
      </c>
      <c r="H716" s="5">
        <v>76752</v>
      </c>
    </row>
    <row r="717" spans="1:8" x14ac:dyDescent="0.55000000000000004">
      <c r="A717">
        <v>2019</v>
      </c>
      <c r="B717" t="s">
        <v>626</v>
      </c>
      <c r="C717" t="s">
        <v>739</v>
      </c>
      <c r="D717" s="6">
        <v>1472.6</v>
      </c>
      <c r="G717" s="8">
        <v>498817.02</v>
      </c>
      <c r="H717" s="5">
        <v>0</v>
      </c>
    </row>
    <row r="718" spans="1:8" x14ac:dyDescent="0.55000000000000004">
      <c r="A718">
        <v>2019</v>
      </c>
      <c r="B718" t="s">
        <v>623</v>
      </c>
      <c r="C718" t="s">
        <v>740</v>
      </c>
      <c r="D718" s="6">
        <v>615.4</v>
      </c>
      <c r="G718" s="8">
        <v>674595.55</v>
      </c>
      <c r="H718" s="5">
        <v>272186</v>
      </c>
    </row>
    <row r="719" spans="1:8" x14ac:dyDescent="0.55000000000000004">
      <c r="A719">
        <v>2019</v>
      </c>
      <c r="B719" t="s">
        <v>628</v>
      </c>
      <c r="C719" t="s">
        <v>741</v>
      </c>
      <c r="D719" s="6">
        <v>764</v>
      </c>
      <c r="G719" s="8">
        <v>517915.06</v>
      </c>
      <c r="H719" s="5">
        <v>134640</v>
      </c>
    </row>
    <row r="720" spans="1:8" x14ac:dyDescent="0.55000000000000004">
      <c r="A720">
        <v>2019</v>
      </c>
      <c r="B720" t="s">
        <v>622</v>
      </c>
      <c r="C720" t="s">
        <v>742</v>
      </c>
      <c r="D720" s="6">
        <v>774.4</v>
      </c>
      <c r="G720" s="8">
        <v>204208.71</v>
      </c>
      <c r="H720" s="5">
        <v>0</v>
      </c>
    </row>
    <row r="721" spans="1:8" x14ac:dyDescent="0.55000000000000004">
      <c r="A721">
        <v>2019</v>
      </c>
      <c r="B721" t="s">
        <v>468</v>
      </c>
      <c r="C721" t="s">
        <v>743</v>
      </c>
      <c r="D721" s="6">
        <v>797</v>
      </c>
      <c r="G721" s="8">
        <v>412471.33999999997</v>
      </c>
      <c r="H721" s="5">
        <v>103100</v>
      </c>
    </row>
    <row r="722" spans="1:8" x14ac:dyDescent="0.55000000000000004">
      <c r="A722">
        <v>2019</v>
      </c>
      <c r="B722" t="s">
        <v>621</v>
      </c>
      <c r="C722" t="s">
        <v>744</v>
      </c>
      <c r="D722" s="6">
        <v>1275.8</v>
      </c>
      <c r="G722" s="8">
        <v>545932.31999999995</v>
      </c>
      <c r="H722" s="5">
        <v>0</v>
      </c>
    </row>
    <row r="723" spans="1:8" x14ac:dyDescent="0.55000000000000004">
      <c r="A723">
        <v>2019</v>
      </c>
      <c r="B723" t="s">
        <v>620</v>
      </c>
      <c r="C723" t="s">
        <v>745</v>
      </c>
      <c r="D723" s="6">
        <v>1538.3999999999999</v>
      </c>
      <c r="G723" s="8">
        <v>331592.53000000003</v>
      </c>
      <c r="H723" s="5">
        <v>0</v>
      </c>
    </row>
    <row r="724" spans="1:8" x14ac:dyDescent="0.55000000000000004">
      <c r="A724">
        <v>2019</v>
      </c>
      <c r="B724" t="s">
        <v>619</v>
      </c>
      <c r="C724" t="s">
        <v>746</v>
      </c>
      <c r="D724" s="6">
        <v>268.8</v>
      </c>
      <c r="G724" s="8">
        <v>252934</v>
      </c>
      <c r="H724" s="5">
        <v>61041</v>
      </c>
    </row>
    <row r="725" spans="1:8" x14ac:dyDescent="0.55000000000000004">
      <c r="A725">
        <v>2019</v>
      </c>
      <c r="B725" t="s">
        <v>618</v>
      </c>
      <c r="C725" t="s">
        <v>747</v>
      </c>
      <c r="D725" s="6">
        <v>1014.1</v>
      </c>
      <c r="G725" s="8">
        <v>219412.86</v>
      </c>
      <c r="H725" s="5">
        <v>0</v>
      </c>
    </row>
    <row r="726" spans="1:8" x14ac:dyDescent="0.55000000000000004">
      <c r="A726">
        <v>2019</v>
      </c>
      <c r="B726" t="s">
        <v>617</v>
      </c>
      <c r="C726" t="s">
        <v>748</v>
      </c>
      <c r="D726" s="6">
        <v>988.90000000000009</v>
      </c>
      <c r="G726" s="8">
        <v>226859.82</v>
      </c>
      <c r="H726" s="5">
        <v>0</v>
      </c>
    </row>
    <row r="727" spans="1:8" x14ac:dyDescent="0.55000000000000004">
      <c r="A727">
        <v>2019</v>
      </c>
      <c r="B727" t="s">
        <v>616</v>
      </c>
      <c r="C727" t="s">
        <v>750</v>
      </c>
      <c r="D727" s="6">
        <v>942.5</v>
      </c>
      <c r="G727" s="8">
        <v>661298.45000000007</v>
      </c>
      <c r="H727" s="5">
        <v>267180</v>
      </c>
    </row>
    <row r="728" spans="1:8" x14ac:dyDescent="0.55000000000000004">
      <c r="A728">
        <v>2019</v>
      </c>
      <c r="B728" t="s">
        <v>615</v>
      </c>
      <c r="C728" t="s">
        <v>751</v>
      </c>
      <c r="D728" s="6">
        <v>1450.1</v>
      </c>
      <c r="G728" s="8">
        <v>602428.87</v>
      </c>
      <c r="H728" s="5">
        <v>115045</v>
      </c>
    </row>
    <row r="729" spans="1:8" x14ac:dyDescent="0.55000000000000004">
      <c r="A729">
        <v>2019</v>
      </c>
      <c r="B729" t="s">
        <v>614</v>
      </c>
      <c r="C729" t="s">
        <v>752</v>
      </c>
      <c r="D729" s="6">
        <v>310</v>
      </c>
      <c r="G729" s="8">
        <v>51620.99</v>
      </c>
      <c r="H729" s="5">
        <v>0</v>
      </c>
    </row>
    <row r="730" spans="1:8" x14ac:dyDescent="0.55000000000000004">
      <c r="A730">
        <v>2019</v>
      </c>
      <c r="B730" t="s">
        <v>613</v>
      </c>
      <c r="C730" t="s">
        <v>753</v>
      </c>
      <c r="D730" s="6">
        <v>312</v>
      </c>
      <c r="G730" s="8">
        <v>169219.65999999997</v>
      </c>
      <c r="H730" s="5">
        <v>17533</v>
      </c>
    </row>
    <row r="731" spans="1:8" x14ac:dyDescent="0.55000000000000004">
      <c r="A731">
        <v>2019</v>
      </c>
      <c r="B731" t="s">
        <v>547</v>
      </c>
      <c r="C731" t="s">
        <v>754</v>
      </c>
      <c r="D731" s="6">
        <v>585</v>
      </c>
      <c r="G731" s="8">
        <v>342622.53</v>
      </c>
      <c r="H731" s="5">
        <v>69002</v>
      </c>
    </row>
    <row r="732" spans="1:8" x14ac:dyDescent="0.55000000000000004">
      <c r="A732">
        <v>2019</v>
      </c>
      <c r="B732" t="s">
        <v>612</v>
      </c>
      <c r="C732" t="s">
        <v>1309</v>
      </c>
      <c r="D732" s="6">
        <v>2381.6999999999998</v>
      </c>
      <c r="G732" s="8">
        <v>880125.34</v>
      </c>
      <c r="H732" s="5">
        <v>0</v>
      </c>
    </row>
    <row r="733" spans="1:8" x14ac:dyDescent="0.55000000000000004">
      <c r="A733">
        <v>2019</v>
      </c>
      <c r="B733" t="s">
        <v>611</v>
      </c>
      <c r="C733" t="s">
        <v>756</v>
      </c>
      <c r="D733" s="6">
        <v>1219.5999999999999</v>
      </c>
      <c r="G733" s="8">
        <v>317592.21999999997</v>
      </c>
      <c r="H733" s="5">
        <v>0</v>
      </c>
    </row>
    <row r="734" spans="1:8" x14ac:dyDescent="0.55000000000000004">
      <c r="A734">
        <v>2019</v>
      </c>
      <c r="B734" t="s">
        <v>610</v>
      </c>
      <c r="C734" t="s">
        <v>757</v>
      </c>
      <c r="D734" s="6">
        <v>3732.4</v>
      </c>
      <c r="G734" s="8">
        <v>891426.3</v>
      </c>
      <c r="H734" s="5">
        <v>0</v>
      </c>
    </row>
    <row r="735" spans="1:8" x14ac:dyDescent="0.55000000000000004">
      <c r="A735">
        <v>2019</v>
      </c>
      <c r="B735" t="s">
        <v>609</v>
      </c>
      <c r="C735" t="s">
        <v>758</v>
      </c>
      <c r="D735" s="6">
        <v>759.8</v>
      </c>
      <c r="G735" s="8">
        <v>245611.47</v>
      </c>
      <c r="H735" s="5">
        <v>0</v>
      </c>
    </row>
    <row r="736" spans="1:8" x14ac:dyDescent="0.55000000000000004">
      <c r="A736">
        <v>2019</v>
      </c>
      <c r="B736" t="s">
        <v>608</v>
      </c>
      <c r="C736" t="s">
        <v>1310</v>
      </c>
      <c r="D736" s="6">
        <v>5139.6000000000004</v>
      </c>
      <c r="G736" s="8">
        <v>2248409.0099999998</v>
      </c>
      <c r="H736" s="5">
        <v>0</v>
      </c>
    </row>
    <row r="737" spans="1:8" x14ac:dyDescent="0.55000000000000004">
      <c r="A737">
        <v>2019</v>
      </c>
      <c r="B737" t="s">
        <v>607</v>
      </c>
      <c r="C737" t="s">
        <v>759</v>
      </c>
      <c r="D737" s="6">
        <v>459.2</v>
      </c>
      <c r="G737" s="8">
        <v>126901.65000000001</v>
      </c>
      <c r="H737" s="5">
        <v>0</v>
      </c>
    </row>
    <row r="738" spans="1:8" x14ac:dyDescent="0.55000000000000004">
      <c r="A738">
        <v>2019</v>
      </c>
      <c r="B738" t="s">
        <v>606</v>
      </c>
      <c r="C738" t="s">
        <v>760</v>
      </c>
      <c r="D738" s="6">
        <v>489.9</v>
      </c>
      <c r="G738" s="8">
        <v>199276.02000000002</v>
      </c>
      <c r="H738" s="5">
        <v>0</v>
      </c>
    </row>
    <row r="739" spans="1:8" x14ac:dyDescent="0.55000000000000004">
      <c r="A739">
        <v>2019</v>
      </c>
      <c r="B739" t="s">
        <v>604</v>
      </c>
      <c r="C739" t="s">
        <v>761</v>
      </c>
      <c r="D739" s="6">
        <v>752.9</v>
      </c>
      <c r="G739" s="8">
        <v>283564.44</v>
      </c>
      <c r="H739" s="5">
        <v>0</v>
      </c>
    </row>
    <row r="740" spans="1:8" x14ac:dyDescent="0.55000000000000004">
      <c r="A740">
        <v>2019</v>
      </c>
      <c r="B740" t="s">
        <v>603</v>
      </c>
      <c r="C740" t="s">
        <v>762</v>
      </c>
      <c r="D740" s="6">
        <v>423</v>
      </c>
      <c r="G740" s="8">
        <v>214050.21</v>
      </c>
      <c r="H740" s="5">
        <v>6210</v>
      </c>
    </row>
    <row r="741" spans="1:8" x14ac:dyDescent="0.55000000000000004">
      <c r="A741">
        <v>2019</v>
      </c>
      <c r="B741" t="s">
        <v>602</v>
      </c>
      <c r="C741" t="s">
        <v>763</v>
      </c>
      <c r="D741" s="6">
        <v>413.8</v>
      </c>
      <c r="G741" s="8">
        <v>387139.56</v>
      </c>
      <c r="H741" s="5">
        <v>186739</v>
      </c>
    </row>
    <row r="742" spans="1:8" x14ac:dyDescent="0.55000000000000004">
      <c r="A742">
        <v>2019</v>
      </c>
      <c r="B742" t="s">
        <v>601</v>
      </c>
      <c r="C742" t="s">
        <v>764</v>
      </c>
      <c r="D742" s="6">
        <v>9053.1</v>
      </c>
      <c r="G742" s="8">
        <v>3132026.07</v>
      </c>
      <c r="H742" s="5">
        <v>0</v>
      </c>
    </row>
    <row r="743" spans="1:8" x14ac:dyDescent="0.55000000000000004">
      <c r="A743">
        <v>2019</v>
      </c>
      <c r="B743" t="s">
        <v>600</v>
      </c>
      <c r="C743" t="s">
        <v>766</v>
      </c>
      <c r="D743" s="6">
        <v>1446.6</v>
      </c>
      <c r="G743" s="8">
        <v>356398.34</v>
      </c>
      <c r="H743" s="5">
        <v>0</v>
      </c>
    </row>
    <row r="744" spans="1:8" x14ac:dyDescent="0.55000000000000004">
      <c r="A744">
        <v>2019</v>
      </c>
      <c r="B744" t="s">
        <v>599</v>
      </c>
      <c r="C744" t="s">
        <v>767</v>
      </c>
      <c r="D744" s="6">
        <v>2933.1</v>
      </c>
      <c r="G744" s="8">
        <v>855826.42999999993</v>
      </c>
      <c r="H744" s="5">
        <v>0</v>
      </c>
    </row>
    <row r="745" spans="1:8" x14ac:dyDescent="0.55000000000000004">
      <c r="A745">
        <v>2019</v>
      </c>
      <c r="B745" t="s">
        <v>598</v>
      </c>
      <c r="C745" t="s">
        <v>768</v>
      </c>
      <c r="D745" s="6">
        <v>508.4</v>
      </c>
      <c r="G745" s="8">
        <v>249239.86</v>
      </c>
      <c r="H745" s="5">
        <v>23033</v>
      </c>
    </row>
    <row r="746" spans="1:8" x14ac:dyDescent="0.55000000000000004">
      <c r="A746">
        <v>2019</v>
      </c>
      <c r="B746" t="s">
        <v>597</v>
      </c>
      <c r="C746" t="s">
        <v>769</v>
      </c>
      <c r="D746" s="6">
        <v>15051.2</v>
      </c>
      <c r="G746" s="8">
        <v>5204586.1100000003</v>
      </c>
      <c r="H746" s="5">
        <v>0</v>
      </c>
    </row>
    <row r="747" spans="1:8" x14ac:dyDescent="0.55000000000000004">
      <c r="A747">
        <v>2019</v>
      </c>
      <c r="B747" t="s">
        <v>596</v>
      </c>
      <c r="C747" t="s">
        <v>770</v>
      </c>
      <c r="D747" s="6">
        <v>1153.8</v>
      </c>
      <c r="G747" s="8">
        <v>898313.79</v>
      </c>
      <c r="H747" s="5">
        <v>326078</v>
      </c>
    </row>
    <row r="748" spans="1:8" x14ac:dyDescent="0.55000000000000004">
      <c r="A748">
        <v>2019</v>
      </c>
      <c r="B748" t="s">
        <v>595</v>
      </c>
      <c r="C748" t="s">
        <v>771</v>
      </c>
      <c r="D748" s="6">
        <v>1360.3</v>
      </c>
      <c r="G748" s="8">
        <v>679809.84</v>
      </c>
      <c r="H748" s="5">
        <v>176604</v>
      </c>
    </row>
    <row r="749" spans="1:8" x14ac:dyDescent="0.55000000000000004">
      <c r="A749">
        <v>2019</v>
      </c>
      <c r="B749" t="s">
        <v>594</v>
      </c>
      <c r="C749" t="s">
        <v>772</v>
      </c>
      <c r="D749" s="6">
        <v>205.5</v>
      </c>
      <c r="G749" s="8">
        <v>190084.05</v>
      </c>
      <c r="H749" s="5">
        <v>92256</v>
      </c>
    </row>
    <row r="750" spans="1:8" x14ac:dyDescent="0.55000000000000004">
      <c r="A750">
        <v>2019</v>
      </c>
      <c r="B750" t="s">
        <v>593</v>
      </c>
      <c r="C750" t="s">
        <v>773</v>
      </c>
      <c r="D750" s="6">
        <v>2169.8999999999996</v>
      </c>
      <c r="G750" s="8">
        <v>857306.90999999992</v>
      </c>
      <c r="H750" s="5">
        <v>0</v>
      </c>
    </row>
    <row r="751" spans="1:8" x14ac:dyDescent="0.55000000000000004">
      <c r="A751">
        <v>2019</v>
      </c>
      <c r="B751" t="s">
        <v>592</v>
      </c>
      <c r="C751" t="s">
        <v>774</v>
      </c>
      <c r="D751" s="6">
        <v>778.5</v>
      </c>
      <c r="G751" s="8">
        <v>113083.12</v>
      </c>
      <c r="H751" s="5">
        <v>0</v>
      </c>
    </row>
    <row r="752" spans="1:8" x14ac:dyDescent="0.55000000000000004">
      <c r="A752">
        <v>2019</v>
      </c>
      <c r="B752" t="s">
        <v>591</v>
      </c>
      <c r="C752" t="s">
        <v>775</v>
      </c>
      <c r="D752" s="6">
        <v>32784.9</v>
      </c>
      <c r="G752" s="8">
        <v>8075772.6299999999</v>
      </c>
      <c r="H752" s="5">
        <v>0</v>
      </c>
    </row>
    <row r="753" spans="1:8" x14ac:dyDescent="0.55000000000000004">
      <c r="A753">
        <v>2019</v>
      </c>
      <c r="B753" t="s">
        <v>590</v>
      </c>
      <c r="C753" t="s">
        <v>776</v>
      </c>
      <c r="D753" s="6">
        <v>103</v>
      </c>
      <c r="G753" s="8">
        <v>64981.57</v>
      </c>
      <c r="H753" s="5">
        <v>11251</v>
      </c>
    </row>
    <row r="754" spans="1:8" x14ac:dyDescent="0.55000000000000004">
      <c r="A754">
        <v>2019</v>
      </c>
      <c r="B754" t="s">
        <v>589</v>
      </c>
      <c r="C754" t="s">
        <v>1311</v>
      </c>
      <c r="D754" s="6">
        <v>867.7</v>
      </c>
      <c r="G754" s="8">
        <v>263840.57</v>
      </c>
      <c r="H754" s="5">
        <v>0</v>
      </c>
    </row>
    <row r="755" spans="1:8" x14ac:dyDescent="0.55000000000000004">
      <c r="A755">
        <v>2019</v>
      </c>
      <c r="B755" t="s">
        <v>588</v>
      </c>
      <c r="C755" t="s">
        <v>777</v>
      </c>
      <c r="D755" s="6">
        <v>10427.699999999999</v>
      </c>
      <c r="G755" s="8">
        <v>3064302.48</v>
      </c>
      <c r="H755" s="5">
        <v>0</v>
      </c>
    </row>
    <row r="756" spans="1:8" x14ac:dyDescent="0.55000000000000004">
      <c r="A756">
        <v>2019</v>
      </c>
      <c r="B756" t="s">
        <v>587</v>
      </c>
      <c r="C756" t="s">
        <v>778</v>
      </c>
      <c r="D756" s="6">
        <v>407</v>
      </c>
      <c r="G756" s="8">
        <v>127631.05</v>
      </c>
      <c r="H756" s="5">
        <v>0</v>
      </c>
    </row>
    <row r="757" spans="1:8" x14ac:dyDescent="0.55000000000000004">
      <c r="A757">
        <v>2019</v>
      </c>
      <c r="B757" t="s">
        <v>585</v>
      </c>
      <c r="C757" t="s">
        <v>779</v>
      </c>
      <c r="D757" s="6">
        <v>555.29999999999995</v>
      </c>
      <c r="G757" s="8">
        <v>210357.38</v>
      </c>
      <c r="H757" s="5">
        <v>0</v>
      </c>
    </row>
    <row r="758" spans="1:8" x14ac:dyDescent="0.55000000000000004">
      <c r="A758">
        <v>2019</v>
      </c>
      <c r="B758" t="s">
        <v>584</v>
      </c>
      <c r="C758" t="s">
        <v>780</v>
      </c>
      <c r="D758" s="6">
        <v>894.7</v>
      </c>
      <c r="G758" s="8">
        <v>297786.83</v>
      </c>
      <c r="H758" s="5">
        <v>0</v>
      </c>
    </row>
    <row r="759" spans="1:8" x14ac:dyDescent="0.55000000000000004">
      <c r="A759">
        <v>2019</v>
      </c>
      <c r="B759" t="s">
        <v>583</v>
      </c>
      <c r="C759" t="s">
        <v>781</v>
      </c>
      <c r="D759" s="6">
        <v>575.4</v>
      </c>
      <c r="G759" s="8">
        <v>138254.84</v>
      </c>
      <c r="H759" s="5">
        <v>0</v>
      </c>
    </row>
    <row r="760" spans="1:8" x14ac:dyDescent="0.55000000000000004">
      <c r="A760">
        <v>2019</v>
      </c>
      <c r="B760" t="s">
        <v>582</v>
      </c>
      <c r="C760" t="s">
        <v>782</v>
      </c>
      <c r="D760" s="6">
        <v>558.29999999999995</v>
      </c>
      <c r="G760" s="8">
        <v>261537.35</v>
      </c>
      <c r="H760" s="5">
        <v>0</v>
      </c>
    </row>
    <row r="761" spans="1:8" x14ac:dyDescent="0.55000000000000004">
      <c r="A761">
        <v>2019</v>
      </c>
      <c r="B761" t="s">
        <v>580</v>
      </c>
      <c r="C761" t="s">
        <v>784</v>
      </c>
      <c r="D761" s="6">
        <v>557.5</v>
      </c>
      <c r="G761" s="8">
        <v>418907.47000000003</v>
      </c>
      <c r="H761" s="5">
        <v>182849</v>
      </c>
    </row>
    <row r="762" spans="1:8" x14ac:dyDescent="0.55000000000000004">
      <c r="A762">
        <v>2019</v>
      </c>
      <c r="B762" t="s">
        <v>502</v>
      </c>
      <c r="C762" t="s">
        <v>786</v>
      </c>
      <c r="D762" s="6">
        <v>552</v>
      </c>
      <c r="G762" s="8">
        <v>389956.57</v>
      </c>
      <c r="H762" s="5">
        <v>116367</v>
      </c>
    </row>
    <row r="763" spans="1:8" x14ac:dyDescent="0.55000000000000004">
      <c r="A763">
        <v>2019</v>
      </c>
      <c r="B763" t="s">
        <v>375</v>
      </c>
      <c r="C763" t="s">
        <v>787</v>
      </c>
      <c r="D763" s="6">
        <v>834.5</v>
      </c>
      <c r="G763" s="8">
        <v>425980.64999999997</v>
      </c>
      <c r="H763" s="5">
        <v>77887</v>
      </c>
    </row>
    <row r="764" spans="1:8" x14ac:dyDescent="0.55000000000000004">
      <c r="A764">
        <v>2019</v>
      </c>
      <c r="B764" t="s">
        <v>579</v>
      </c>
      <c r="C764" t="s">
        <v>788</v>
      </c>
      <c r="D764" s="6">
        <v>491.5</v>
      </c>
      <c r="G764" s="8">
        <v>323347.05</v>
      </c>
      <c r="H764" s="5">
        <v>107669</v>
      </c>
    </row>
    <row r="765" spans="1:8" x14ac:dyDescent="0.55000000000000004">
      <c r="A765">
        <v>2019</v>
      </c>
      <c r="B765" t="s">
        <v>578</v>
      </c>
      <c r="C765" t="s">
        <v>789</v>
      </c>
      <c r="D765" s="6">
        <v>327.10000000000002</v>
      </c>
      <c r="G765" s="8">
        <v>240366.78</v>
      </c>
      <c r="H765" s="5">
        <v>84322</v>
      </c>
    </row>
    <row r="766" spans="1:8" x14ac:dyDescent="0.55000000000000004">
      <c r="A766">
        <v>2019</v>
      </c>
      <c r="B766" t="s">
        <v>581</v>
      </c>
      <c r="C766" t="s">
        <v>790</v>
      </c>
      <c r="D766" s="6">
        <v>592.9</v>
      </c>
      <c r="G766" s="8">
        <v>346585.88999999996</v>
      </c>
      <c r="H766" s="5">
        <v>37603</v>
      </c>
    </row>
    <row r="767" spans="1:8" x14ac:dyDescent="0.55000000000000004">
      <c r="A767">
        <v>2019</v>
      </c>
      <c r="B767" t="s">
        <v>649</v>
      </c>
      <c r="C767" t="s">
        <v>791</v>
      </c>
      <c r="D767" s="6">
        <v>891.2</v>
      </c>
      <c r="G767" s="8">
        <v>698575.67</v>
      </c>
      <c r="H767" s="5">
        <v>197338</v>
      </c>
    </row>
    <row r="768" spans="1:8" x14ac:dyDescent="0.55000000000000004">
      <c r="A768">
        <v>2019</v>
      </c>
      <c r="B768" t="s">
        <v>576</v>
      </c>
      <c r="C768" t="s">
        <v>792</v>
      </c>
      <c r="D768" s="6">
        <v>419</v>
      </c>
      <c r="G768" s="8">
        <v>297015.03999999998</v>
      </c>
      <c r="H768" s="5">
        <v>129369</v>
      </c>
    </row>
    <row r="769" spans="1:8" x14ac:dyDescent="0.55000000000000004">
      <c r="A769">
        <v>2019</v>
      </c>
      <c r="B769" t="s">
        <v>575</v>
      </c>
      <c r="C769" t="s">
        <v>793</v>
      </c>
      <c r="D769" s="6">
        <v>631.1</v>
      </c>
      <c r="G769" s="8">
        <v>252377.26</v>
      </c>
      <c r="H769" s="5">
        <v>0</v>
      </c>
    </row>
    <row r="770" spans="1:8" x14ac:dyDescent="0.55000000000000004">
      <c r="A770">
        <v>2019</v>
      </c>
      <c r="B770" t="s">
        <v>574</v>
      </c>
      <c r="C770" t="s">
        <v>794</v>
      </c>
      <c r="D770" s="6">
        <v>700.19999999999993</v>
      </c>
      <c r="G770" s="8">
        <v>272810.78000000003</v>
      </c>
      <c r="H770" s="5">
        <v>178666</v>
      </c>
    </row>
    <row r="771" spans="1:8" x14ac:dyDescent="0.55000000000000004">
      <c r="A771">
        <v>2019</v>
      </c>
      <c r="B771" t="s">
        <v>573</v>
      </c>
      <c r="C771" t="s">
        <v>1312</v>
      </c>
      <c r="D771" s="6">
        <v>467.7</v>
      </c>
      <c r="G771" s="8">
        <v>221291.09</v>
      </c>
      <c r="H771" s="5">
        <v>71926</v>
      </c>
    </row>
    <row r="772" spans="1:8" x14ac:dyDescent="0.55000000000000004">
      <c r="A772">
        <v>2019</v>
      </c>
      <c r="B772" t="s">
        <v>572</v>
      </c>
      <c r="C772" t="s">
        <v>795</v>
      </c>
      <c r="D772" s="6">
        <v>190.5</v>
      </c>
      <c r="G772" s="8">
        <v>57706.33</v>
      </c>
      <c r="H772" s="5">
        <v>0</v>
      </c>
    </row>
    <row r="773" spans="1:8" x14ac:dyDescent="0.55000000000000004">
      <c r="A773">
        <v>2019</v>
      </c>
      <c r="B773" t="s">
        <v>571</v>
      </c>
      <c r="C773" t="s">
        <v>796</v>
      </c>
      <c r="D773" s="6">
        <v>1269.5999999999999</v>
      </c>
      <c r="G773" s="8">
        <v>180526.73</v>
      </c>
      <c r="H773" s="5">
        <v>0</v>
      </c>
    </row>
    <row r="774" spans="1:8" x14ac:dyDescent="0.55000000000000004">
      <c r="A774">
        <v>2019</v>
      </c>
      <c r="B774" t="s">
        <v>570</v>
      </c>
      <c r="C774" t="s">
        <v>797</v>
      </c>
      <c r="D774" s="6">
        <v>427.2</v>
      </c>
      <c r="G774" s="8">
        <v>250845.1</v>
      </c>
      <c r="H774" s="5">
        <v>58442</v>
      </c>
    </row>
    <row r="775" spans="1:8" x14ac:dyDescent="0.55000000000000004">
      <c r="A775">
        <v>2019</v>
      </c>
      <c r="B775" t="s">
        <v>568</v>
      </c>
      <c r="C775" t="s">
        <v>798</v>
      </c>
      <c r="D775" s="6">
        <v>1621.7</v>
      </c>
      <c r="G775" s="8">
        <v>604719.64</v>
      </c>
      <c r="H775" s="5">
        <v>0</v>
      </c>
    </row>
    <row r="776" spans="1:8" x14ac:dyDescent="0.55000000000000004">
      <c r="A776">
        <v>2019</v>
      </c>
      <c r="B776" t="s">
        <v>567</v>
      </c>
      <c r="C776" t="s">
        <v>799</v>
      </c>
      <c r="D776" s="6">
        <v>1073.5</v>
      </c>
      <c r="G776" s="8">
        <v>412210.44</v>
      </c>
      <c r="H776" s="5">
        <v>0</v>
      </c>
    </row>
    <row r="777" spans="1:8" x14ac:dyDescent="0.55000000000000004">
      <c r="A777">
        <v>2019</v>
      </c>
      <c r="B777" t="s">
        <v>566</v>
      </c>
      <c r="C777" t="s">
        <v>800</v>
      </c>
      <c r="D777" s="6">
        <v>3659.5</v>
      </c>
      <c r="G777" s="8">
        <v>837560.01</v>
      </c>
      <c r="H777" s="5">
        <v>0</v>
      </c>
    </row>
    <row r="778" spans="1:8" x14ac:dyDescent="0.55000000000000004">
      <c r="A778">
        <v>2019</v>
      </c>
      <c r="B778" t="s">
        <v>565</v>
      </c>
      <c r="C778" t="s">
        <v>801</v>
      </c>
      <c r="D778" s="6">
        <v>2104.6000000000004</v>
      </c>
      <c r="G778" s="8">
        <v>572542.96</v>
      </c>
      <c r="H778" s="5">
        <v>0</v>
      </c>
    </row>
    <row r="779" spans="1:8" x14ac:dyDescent="0.55000000000000004">
      <c r="A779">
        <v>2019</v>
      </c>
      <c r="B779" t="s">
        <v>564</v>
      </c>
      <c r="C779" t="s">
        <v>802</v>
      </c>
      <c r="D779" s="6">
        <v>471.3</v>
      </c>
      <c r="G779" s="8">
        <v>188695.27</v>
      </c>
      <c r="H779" s="5">
        <v>0</v>
      </c>
    </row>
    <row r="780" spans="1:8" x14ac:dyDescent="0.55000000000000004">
      <c r="A780">
        <v>2019</v>
      </c>
      <c r="B780" t="s">
        <v>563</v>
      </c>
      <c r="C780" t="s">
        <v>803</v>
      </c>
      <c r="D780" s="6">
        <v>459</v>
      </c>
      <c r="G780" s="8">
        <v>279449.11</v>
      </c>
      <c r="H780" s="5">
        <v>68223</v>
      </c>
    </row>
    <row r="781" spans="1:8" x14ac:dyDescent="0.55000000000000004">
      <c r="A781">
        <v>2019</v>
      </c>
      <c r="B781" t="s">
        <v>562</v>
      </c>
      <c r="C781" t="s">
        <v>804</v>
      </c>
      <c r="D781" s="6">
        <v>899.6</v>
      </c>
      <c r="G781" s="8">
        <v>431334.73000000004</v>
      </c>
      <c r="H781" s="5">
        <v>29904</v>
      </c>
    </row>
    <row r="782" spans="1:8" x14ac:dyDescent="0.55000000000000004">
      <c r="A782">
        <v>2019</v>
      </c>
      <c r="B782" t="s">
        <v>560</v>
      </c>
      <c r="C782" t="s">
        <v>805</v>
      </c>
      <c r="D782" s="6">
        <v>432.1</v>
      </c>
      <c r="G782" s="8">
        <v>256513.44</v>
      </c>
      <c r="H782" s="5">
        <v>38163</v>
      </c>
    </row>
    <row r="783" spans="1:8" x14ac:dyDescent="0.55000000000000004">
      <c r="A783">
        <v>2019</v>
      </c>
      <c r="B783" t="s">
        <v>559</v>
      </c>
      <c r="C783" t="s">
        <v>806</v>
      </c>
      <c r="D783" s="6">
        <v>1532.3</v>
      </c>
      <c r="G783" s="8">
        <v>430420.91000000003</v>
      </c>
      <c r="H783" s="5">
        <v>0</v>
      </c>
    </row>
    <row r="784" spans="1:8" x14ac:dyDescent="0.55000000000000004">
      <c r="A784">
        <v>2019</v>
      </c>
      <c r="B784" t="s">
        <v>558</v>
      </c>
      <c r="C784" t="s">
        <v>807</v>
      </c>
      <c r="D784" s="6">
        <v>161</v>
      </c>
      <c r="G784" s="8">
        <v>78902.45</v>
      </c>
      <c r="H784" s="5">
        <v>43829</v>
      </c>
    </row>
    <row r="785" spans="1:8" x14ac:dyDescent="0.55000000000000004">
      <c r="A785">
        <v>2019</v>
      </c>
      <c r="B785" t="s">
        <v>557</v>
      </c>
      <c r="C785" t="s">
        <v>808</v>
      </c>
      <c r="D785" s="6">
        <v>590.4</v>
      </c>
      <c r="G785" s="8">
        <v>247203.31</v>
      </c>
      <c r="H785" s="5">
        <v>16053</v>
      </c>
    </row>
    <row r="786" spans="1:8" x14ac:dyDescent="0.55000000000000004">
      <c r="A786">
        <v>2019</v>
      </c>
      <c r="B786" t="s">
        <v>556</v>
      </c>
      <c r="C786" t="s">
        <v>809</v>
      </c>
      <c r="D786" s="6">
        <v>2007.5</v>
      </c>
      <c r="G786" s="8">
        <v>686522.28</v>
      </c>
      <c r="H786" s="5">
        <v>0</v>
      </c>
    </row>
    <row r="787" spans="1:8" x14ac:dyDescent="0.55000000000000004">
      <c r="A787">
        <v>2019</v>
      </c>
      <c r="B787" t="s">
        <v>555</v>
      </c>
      <c r="C787" t="s">
        <v>810</v>
      </c>
      <c r="D787" s="6">
        <v>275</v>
      </c>
      <c r="G787" s="8">
        <v>93883.91</v>
      </c>
      <c r="H787" s="5">
        <v>0</v>
      </c>
    </row>
    <row r="788" spans="1:8" x14ac:dyDescent="0.55000000000000004">
      <c r="A788">
        <v>2019</v>
      </c>
      <c r="B788" t="s">
        <v>552</v>
      </c>
      <c r="C788" t="s">
        <v>131</v>
      </c>
      <c r="D788" s="6">
        <v>275.60000000000002</v>
      </c>
      <c r="G788" s="8">
        <v>208931.11</v>
      </c>
      <c r="H788" s="5">
        <v>8870</v>
      </c>
    </row>
    <row r="789" spans="1:8" x14ac:dyDescent="0.55000000000000004">
      <c r="A789">
        <v>2019</v>
      </c>
      <c r="B789" t="s">
        <v>554</v>
      </c>
      <c r="C789" t="s">
        <v>811</v>
      </c>
      <c r="D789" s="6">
        <v>382</v>
      </c>
      <c r="G789" s="8">
        <v>187635.82</v>
      </c>
      <c r="H789" s="5">
        <v>4370</v>
      </c>
    </row>
    <row r="790" spans="1:8" x14ac:dyDescent="0.55000000000000004">
      <c r="A790">
        <v>2019</v>
      </c>
      <c r="B790" t="s">
        <v>525</v>
      </c>
      <c r="C790" t="s">
        <v>812</v>
      </c>
      <c r="D790" s="6">
        <v>1210.4000000000001</v>
      </c>
      <c r="G790" s="8">
        <v>682030.71</v>
      </c>
      <c r="H790" s="5">
        <v>178051</v>
      </c>
    </row>
    <row r="791" spans="1:8" x14ac:dyDescent="0.55000000000000004">
      <c r="A791">
        <v>2019</v>
      </c>
      <c r="B791" t="s">
        <v>551</v>
      </c>
      <c r="C791" t="s">
        <v>813</v>
      </c>
      <c r="D791" s="6">
        <v>1612.5</v>
      </c>
      <c r="G791" s="8">
        <v>524264.48</v>
      </c>
      <c r="H791" s="5">
        <v>0</v>
      </c>
    </row>
    <row r="792" spans="1:8" x14ac:dyDescent="0.55000000000000004">
      <c r="A792">
        <v>2019</v>
      </c>
      <c r="B792" t="s">
        <v>550</v>
      </c>
      <c r="C792" t="s">
        <v>814</v>
      </c>
      <c r="D792" s="6">
        <v>475.8</v>
      </c>
      <c r="G792" s="8">
        <v>409091.49</v>
      </c>
      <c r="H792" s="5">
        <v>119372</v>
      </c>
    </row>
    <row r="793" spans="1:8" x14ac:dyDescent="0.55000000000000004">
      <c r="A793">
        <v>2019</v>
      </c>
      <c r="B793" t="s">
        <v>549</v>
      </c>
      <c r="C793" t="s">
        <v>815</v>
      </c>
      <c r="D793" s="6">
        <v>653.1</v>
      </c>
      <c r="G793" s="8">
        <v>200930.46</v>
      </c>
      <c r="H793" s="5">
        <v>0</v>
      </c>
    </row>
    <row r="794" spans="1:8" x14ac:dyDescent="0.55000000000000004">
      <c r="A794">
        <v>2019</v>
      </c>
      <c r="B794" t="s">
        <v>548</v>
      </c>
      <c r="C794" t="s">
        <v>816</v>
      </c>
      <c r="D794" s="6">
        <v>431.8</v>
      </c>
      <c r="G794" s="8">
        <v>236400.34</v>
      </c>
      <c r="H794" s="5">
        <v>63673</v>
      </c>
    </row>
    <row r="795" spans="1:8" x14ac:dyDescent="0.55000000000000004">
      <c r="A795">
        <v>2019</v>
      </c>
      <c r="B795" t="s">
        <v>545</v>
      </c>
      <c r="C795" t="s">
        <v>817</v>
      </c>
      <c r="D795" s="6">
        <v>227</v>
      </c>
      <c r="G795" s="8">
        <v>51284.24</v>
      </c>
      <c r="H795" s="5">
        <v>0</v>
      </c>
    </row>
    <row r="796" spans="1:8" x14ac:dyDescent="0.55000000000000004">
      <c r="A796">
        <v>2019</v>
      </c>
      <c r="B796" t="s">
        <v>544</v>
      </c>
      <c r="C796" t="s">
        <v>818</v>
      </c>
      <c r="D796" s="6">
        <v>1190.9000000000001</v>
      </c>
      <c r="G796" s="8">
        <v>389959.54</v>
      </c>
      <c r="H796" s="5">
        <v>0</v>
      </c>
    </row>
    <row r="797" spans="1:8" x14ac:dyDescent="0.55000000000000004">
      <c r="A797">
        <v>2019</v>
      </c>
      <c r="B797" t="s">
        <v>543</v>
      </c>
      <c r="C797" t="s">
        <v>819</v>
      </c>
      <c r="D797" s="6">
        <v>1419.1000000000001</v>
      </c>
      <c r="G797" s="8">
        <v>493288.03</v>
      </c>
      <c r="H797" s="5">
        <v>0</v>
      </c>
    </row>
    <row r="798" spans="1:8" x14ac:dyDescent="0.55000000000000004">
      <c r="A798">
        <v>2019</v>
      </c>
      <c r="B798" t="s">
        <v>542</v>
      </c>
      <c r="C798" t="s">
        <v>820</v>
      </c>
      <c r="D798" s="6">
        <v>356.2</v>
      </c>
      <c r="G798" s="8">
        <v>370000.11</v>
      </c>
      <c r="H798" s="5">
        <v>89328</v>
      </c>
    </row>
    <row r="799" spans="1:8" x14ac:dyDescent="0.55000000000000004">
      <c r="A799">
        <v>2019</v>
      </c>
      <c r="B799" t="s">
        <v>541</v>
      </c>
      <c r="C799" t="s">
        <v>821</v>
      </c>
      <c r="D799" s="6">
        <v>298.39999999999998</v>
      </c>
      <c r="G799" s="8">
        <v>149180.4</v>
      </c>
      <c r="H799" s="5">
        <v>34068</v>
      </c>
    </row>
    <row r="800" spans="1:8" x14ac:dyDescent="0.55000000000000004">
      <c r="A800">
        <v>2019</v>
      </c>
      <c r="B800" t="s">
        <v>540</v>
      </c>
      <c r="C800" t="s">
        <v>822</v>
      </c>
      <c r="D800" s="6">
        <v>625.29999999999995</v>
      </c>
      <c r="G800" s="8">
        <v>149402.08000000002</v>
      </c>
      <c r="H800" s="5">
        <v>0</v>
      </c>
    </row>
    <row r="801" spans="1:8" x14ac:dyDescent="0.55000000000000004">
      <c r="A801">
        <v>2019</v>
      </c>
      <c r="B801" t="s">
        <v>539</v>
      </c>
      <c r="C801" t="s">
        <v>823</v>
      </c>
      <c r="D801" s="6">
        <v>631.79999999999995</v>
      </c>
      <c r="G801" s="8">
        <v>280847.61</v>
      </c>
      <c r="H801" s="5">
        <v>18296</v>
      </c>
    </row>
    <row r="802" spans="1:8" x14ac:dyDescent="0.55000000000000004">
      <c r="A802">
        <v>2019</v>
      </c>
      <c r="B802" t="s">
        <v>538</v>
      </c>
      <c r="C802" t="s">
        <v>824</v>
      </c>
      <c r="D802" s="6">
        <v>521.1</v>
      </c>
      <c r="G802" s="8">
        <v>352602.36</v>
      </c>
      <c r="H802" s="5">
        <v>54937</v>
      </c>
    </row>
    <row r="803" spans="1:8" x14ac:dyDescent="0.55000000000000004">
      <c r="A803">
        <v>2019</v>
      </c>
      <c r="B803" t="s">
        <v>546</v>
      </c>
      <c r="C803" t="s">
        <v>825</v>
      </c>
      <c r="D803" s="6">
        <v>351.8</v>
      </c>
      <c r="G803" s="8">
        <v>113392.97</v>
      </c>
      <c r="H803" s="5">
        <v>68363</v>
      </c>
    </row>
    <row r="804" spans="1:8" x14ac:dyDescent="0.55000000000000004">
      <c r="A804">
        <v>2019</v>
      </c>
      <c r="B804" t="s">
        <v>537</v>
      </c>
      <c r="C804" t="s">
        <v>826</v>
      </c>
      <c r="D804" s="6">
        <v>1169.8</v>
      </c>
      <c r="G804" s="8">
        <v>693252.58000000007</v>
      </c>
      <c r="H804" s="5">
        <v>156829</v>
      </c>
    </row>
    <row r="805" spans="1:8" x14ac:dyDescent="0.55000000000000004">
      <c r="A805">
        <v>2019</v>
      </c>
      <c r="B805" t="s">
        <v>536</v>
      </c>
      <c r="C805" t="s">
        <v>827</v>
      </c>
      <c r="D805" s="6">
        <v>438.4</v>
      </c>
      <c r="G805" s="8">
        <v>216503.08</v>
      </c>
      <c r="H805" s="5">
        <v>52662</v>
      </c>
    </row>
    <row r="806" spans="1:8" x14ac:dyDescent="0.55000000000000004">
      <c r="A806">
        <v>2019</v>
      </c>
      <c r="B806" t="s">
        <v>535</v>
      </c>
      <c r="C806" t="s">
        <v>828</v>
      </c>
      <c r="D806" s="6">
        <v>690.4</v>
      </c>
      <c r="G806" s="8">
        <v>239085.72</v>
      </c>
      <c r="H806" s="5">
        <v>0</v>
      </c>
    </row>
    <row r="807" spans="1:8" x14ac:dyDescent="0.55000000000000004">
      <c r="A807">
        <v>2019</v>
      </c>
      <c r="B807" t="s">
        <v>534</v>
      </c>
      <c r="C807" t="s">
        <v>829</v>
      </c>
      <c r="D807" s="6">
        <v>1212.3</v>
      </c>
      <c r="G807" s="8">
        <v>360246.96</v>
      </c>
      <c r="H807" s="5">
        <v>0</v>
      </c>
    </row>
    <row r="808" spans="1:8" x14ac:dyDescent="0.55000000000000004">
      <c r="A808">
        <v>2019</v>
      </c>
      <c r="B808" t="s">
        <v>527</v>
      </c>
      <c r="C808" t="s">
        <v>830</v>
      </c>
      <c r="D808" s="6">
        <v>683.2</v>
      </c>
      <c r="G808" s="8">
        <v>418932.29000000004</v>
      </c>
      <c r="H808" s="5">
        <v>193492</v>
      </c>
    </row>
    <row r="809" spans="1:8" x14ac:dyDescent="0.55000000000000004">
      <c r="A809">
        <v>2019</v>
      </c>
      <c r="B809" t="s">
        <v>533</v>
      </c>
      <c r="C809" t="s">
        <v>831</v>
      </c>
      <c r="D809" s="6">
        <v>1433.6</v>
      </c>
      <c r="G809" s="8">
        <v>467096</v>
      </c>
      <c r="H809" s="5">
        <v>0</v>
      </c>
    </row>
    <row r="810" spans="1:8" x14ac:dyDescent="0.55000000000000004">
      <c r="A810">
        <v>2019</v>
      </c>
      <c r="B810" t="s">
        <v>532</v>
      </c>
      <c r="C810" t="s">
        <v>832</v>
      </c>
      <c r="D810" s="6">
        <v>3496.6</v>
      </c>
      <c r="G810" s="8">
        <v>971391.09000000008</v>
      </c>
      <c r="H810" s="5">
        <v>0</v>
      </c>
    </row>
    <row r="811" spans="1:8" x14ac:dyDescent="0.55000000000000004">
      <c r="A811">
        <v>2019</v>
      </c>
      <c r="B811" t="s">
        <v>531</v>
      </c>
      <c r="C811" t="s">
        <v>833</v>
      </c>
      <c r="D811" s="6">
        <v>860.8</v>
      </c>
      <c r="G811" s="8">
        <v>563140.78</v>
      </c>
      <c r="H811" s="5">
        <v>110831</v>
      </c>
    </row>
    <row r="812" spans="1:8" x14ac:dyDescent="0.55000000000000004">
      <c r="A812">
        <v>2019</v>
      </c>
      <c r="B812" t="s">
        <v>530</v>
      </c>
      <c r="C812" t="s">
        <v>834</v>
      </c>
      <c r="D812" s="6">
        <v>14279.9</v>
      </c>
      <c r="G812" s="8">
        <v>2544407.66</v>
      </c>
      <c r="H812" s="5">
        <v>0</v>
      </c>
    </row>
    <row r="813" spans="1:8" x14ac:dyDescent="0.55000000000000004">
      <c r="A813">
        <v>2019</v>
      </c>
      <c r="B813" t="s">
        <v>529</v>
      </c>
      <c r="C813" t="s">
        <v>835</v>
      </c>
      <c r="D813" s="6">
        <v>1052.7</v>
      </c>
      <c r="G813" s="8">
        <v>313419.24</v>
      </c>
      <c r="H813" s="5">
        <v>0</v>
      </c>
    </row>
    <row r="814" spans="1:8" x14ac:dyDescent="0.55000000000000004">
      <c r="A814">
        <v>2019</v>
      </c>
      <c r="B814" t="s">
        <v>528</v>
      </c>
      <c r="C814" t="s">
        <v>836</v>
      </c>
      <c r="D814" s="6">
        <v>550.1</v>
      </c>
      <c r="G814" s="8">
        <v>175398.08</v>
      </c>
      <c r="H814" s="5">
        <v>0</v>
      </c>
    </row>
    <row r="815" spans="1:8" x14ac:dyDescent="0.55000000000000004">
      <c r="A815">
        <v>2019</v>
      </c>
      <c r="B815" t="s">
        <v>526</v>
      </c>
      <c r="C815" t="s">
        <v>837</v>
      </c>
      <c r="D815" s="6">
        <v>432.1</v>
      </c>
      <c r="G815" s="8">
        <v>126611.85</v>
      </c>
      <c r="H815" s="5">
        <v>0</v>
      </c>
    </row>
    <row r="816" spans="1:8" x14ac:dyDescent="0.55000000000000004">
      <c r="A816">
        <v>2019</v>
      </c>
      <c r="B816" t="s">
        <v>524</v>
      </c>
      <c r="C816" t="s">
        <v>838</v>
      </c>
      <c r="D816" s="6">
        <v>919.2</v>
      </c>
      <c r="G816" s="8">
        <v>266411.53000000003</v>
      </c>
      <c r="H816" s="5">
        <v>0</v>
      </c>
    </row>
    <row r="817" spans="1:8" x14ac:dyDescent="0.55000000000000004">
      <c r="A817">
        <v>2019</v>
      </c>
      <c r="B817" t="s">
        <v>523</v>
      </c>
      <c r="C817" t="s">
        <v>839</v>
      </c>
      <c r="D817" s="6">
        <v>7057.6</v>
      </c>
      <c r="G817" s="8">
        <v>2817388.52</v>
      </c>
      <c r="H817" s="5">
        <v>0</v>
      </c>
    </row>
    <row r="818" spans="1:8" x14ac:dyDescent="0.55000000000000004">
      <c r="A818">
        <v>2019</v>
      </c>
      <c r="B818" t="s">
        <v>522</v>
      </c>
      <c r="C818" t="s">
        <v>840</v>
      </c>
      <c r="D818" s="6">
        <v>1874.4</v>
      </c>
      <c r="G818" s="8">
        <v>273515</v>
      </c>
      <c r="H818" s="5">
        <v>0</v>
      </c>
    </row>
    <row r="819" spans="1:8" x14ac:dyDescent="0.55000000000000004">
      <c r="A819">
        <v>2019</v>
      </c>
      <c r="B819" t="s">
        <v>521</v>
      </c>
      <c r="C819" t="s">
        <v>841</v>
      </c>
      <c r="D819" s="6">
        <v>332.6</v>
      </c>
      <c r="G819" s="8">
        <v>196133.69</v>
      </c>
      <c r="H819" s="5">
        <v>1380</v>
      </c>
    </row>
    <row r="820" spans="1:8" x14ac:dyDescent="0.55000000000000004">
      <c r="A820">
        <v>2019</v>
      </c>
      <c r="B820" t="s">
        <v>520</v>
      </c>
      <c r="C820" t="s">
        <v>842</v>
      </c>
      <c r="D820" s="6">
        <v>440.3</v>
      </c>
      <c r="G820" s="8">
        <v>132204.29</v>
      </c>
      <c r="H820" s="5">
        <v>0</v>
      </c>
    </row>
    <row r="821" spans="1:8" x14ac:dyDescent="0.55000000000000004">
      <c r="A821">
        <v>2019</v>
      </c>
      <c r="B821" t="s">
        <v>519</v>
      </c>
      <c r="C821" t="s">
        <v>843</v>
      </c>
      <c r="D821" s="6">
        <v>1757.7</v>
      </c>
      <c r="G821" s="8">
        <v>461251.4</v>
      </c>
      <c r="H821" s="5">
        <v>0</v>
      </c>
    </row>
    <row r="822" spans="1:8" x14ac:dyDescent="0.55000000000000004">
      <c r="A822">
        <v>2019</v>
      </c>
      <c r="B822" t="s">
        <v>518</v>
      </c>
      <c r="C822" t="s">
        <v>844</v>
      </c>
      <c r="D822" s="6">
        <v>595.70000000000005</v>
      </c>
      <c r="G822" s="8">
        <v>343854.26</v>
      </c>
      <c r="H822" s="5">
        <v>115105</v>
      </c>
    </row>
    <row r="823" spans="1:8" x14ac:dyDescent="0.55000000000000004">
      <c r="A823">
        <v>2019</v>
      </c>
      <c r="B823" t="s">
        <v>517</v>
      </c>
      <c r="C823" t="s">
        <v>845</v>
      </c>
      <c r="D823" s="6">
        <v>314.2</v>
      </c>
      <c r="G823" s="8">
        <v>157164.88</v>
      </c>
      <c r="H823" s="5">
        <v>10183</v>
      </c>
    </row>
    <row r="824" spans="1:8" x14ac:dyDescent="0.55000000000000004">
      <c r="A824">
        <v>2019</v>
      </c>
      <c r="B824" t="s">
        <v>516</v>
      </c>
      <c r="C824" t="s">
        <v>846</v>
      </c>
      <c r="D824" s="6">
        <v>255</v>
      </c>
      <c r="G824" s="8">
        <v>86594.209999999992</v>
      </c>
      <c r="H824" s="5">
        <v>0</v>
      </c>
    </row>
    <row r="825" spans="1:8" x14ac:dyDescent="0.55000000000000004">
      <c r="A825">
        <v>2019</v>
      </c>
      <c r="B825" t="s">
        <v>515</v>
      </c>
      <c r="C825" t="s">
        <v>847</v>
      </c>
      <c r="D825" s="6">
        <v>615.29999999999995</v>
      </c>
      <c r="G825" s="8">
        <v>390997</v>
      </c>
      <c r="H825" s="5">
        <v>90278</v>
      </c>
    </row>
    <row r="826" spans="1:8" x14ac:dyDescent="0.55000000000000004">
      <c r="A826">
        <v>2019</v>
      </c>
      <c r="B826" t="s">
        <v>514</v>
      </c>
      <c r="C826" t="s">
        <v>848</v>
      </c>
      <c r="D826" s="6">
        <v>2254.3000000000002</v>
      </c>
      <c r="G826" s="8">
        <v>687406.75</v>
      </c>
      <c r="H826" s="5">
        <v>0</v>
      </c>
    </row>
    <row r="827" spans="1:8" x14ac:dyDescent="0.55000000000000004">
      <c r="A827">
        <v>2019</v>
      </c>
      <c r="B827" t="s">
        <v>513</v>
      </c>
      <c r="C827" t="s">
        <v>849</v>
      </c>
      <c r="D827" s="6">
        <v>447.7</v>
      </c>
      <c r="G827" s="8">
        <v>122846.23</v>
      </c>
      <c r="H827" s="5">
        <v>0</v>
      </c>
    </row>
    <row r="828" spans="1:8" x14ac:dyDescent="0.55000000000000004">
      <c r="A828">
        <v>2019</v>
      </c>
      <c r="B828" t="s">
        <v>512</v>
      </c>
      <c r="C828" t="s">
        <v>850</v>
      </c>
      <c r="D828" s="6">
        <v>2542.8000000000002</v>
      </c>
      <c r="G828" s="8">
        <v>1033060.54</v>
      </c>
      <c r="H828" s="5">
        <v>0</v>
      </c>
    </row>
    <row r="829" spans="1:8" x14ac:dyDescent="0.55000000000000004">
      <c r="A829">
        <v>2019</v>
      </c>
      <c r="B829" t="s">
        <v>510</v>
      </c>
      <c r="C829" t="s">
        <v>851</v>
      </c>
      <c r="D829" s="6">
        <v>7556.7</v>
      </c>
      <c r="G829" s="8">
        <v>2088190.81</v>
      </c>
      <c r="H829" s="5">
        <v>0</v>
      </c>
    </row>
    <row r="830" spans="1:8" x14ac:dyDescent="0.55000000000000004">
      <c r="A830">
        <v>2019</v>
      </c>
      <c r="B830" t="s">
        <v>509</v>
      </c>
      <c r="C830" t="s">
        <v>852</v>
      </c>
      <c r="D830" s="6">
        <v>636.79999999999995</v>
      </c>
      <c r="G830" s="8">
        <v>187803.50999999998</v>
      </c>
      <c r="H830" s="5">
        <v>0</v>
      </c>
    </row>
    <row r="831" spans="1:8" x14ac:dyDescent="0.55000000000000004">
      <c r="A831">
        <v>2019</v>
      </c>
      <c r="B831" t="s">
        <v>508</v>
      </c>
      <c r="C831" t="s">
        <v>853</v>
      </c>
      <c r="D831" s="6">
        <v>565.1</v>
      </c>
      <c r="G831" s="8">
        <v>233456.16</v>
      </c>
      <c r="H831" s="5">
        <v>5848</v>
      </c>
    </row>
    <row r="832" spans="1:8" x14ac:dyDescent="0.55000000000000004">
      <c r="A832">
        <v>2019</v>
      </c>
      <c r="B832" t="s">
        <v>507</v>
      </c>
      <c r="C832" t="s">
        <v>854</v>
      </c>
      <c r="D832" s="6">
        <v>363.7</v>
      </c>
      <c r="G832" s="8">
        <v>116908.79000000001</v>
      </c>
      <c r="H832" s="5">
        <v>0</v>
      </c>
    </row>
    <row r="833" spans="1:8" x14ac:dyDescent="0.55000000000000004">
      <c r="A833">
        <v>2019</v>
      </c>
      <c r="B833" t="s">
        <v>506</v>
      </c>
      <c r="C833" t="s">
        <v>855</v>
      </c>
      <c r="D833" s="6">
        <v>711.7</v>
      </c>
      <c r="G833" s="8">
        <v>440882.94</v>
      </c>
      <c r="H833" s="5">
        <v>127744</v>
      </c>
    </row>
    <row r="834" spans="1:8" x14ac:dyDescent="0.55000000000000004">
      <c r="A834">
        <v>2019</v>
      </c>
      <c r="B834" t="s">
        <v>505</v>
      </c>
      <c r="C834" t="s">
        <v>856</v>
      </c>
      <c r="D834" s="6">
        <v>164.1</v>
      </c>
      <c r="G834" s="8">
        <v>121555.29000000001</v>
      </c>
      <c r="H834" s="5">
        <v>45025</v>
      </c>
    </row>
    <row r="835" spans="1:8" x14ac:dyDescent="0.55000000000000004">
      <c r="A835">
        <v>2019</v>
      </c>
      <c r="B835" t="s">
        <v>504</v>
      </c>
      <c r="C835" t="s">
        <v>857</v>
      </c>
      <c r="D835" s="6">
        <v>463.3</v>
      </c>
      <c r="G835" s="8">
        <v>218407.21000000002</v>
      </c>
      <c r="H835" s="5">
        <v>0</v>
      </c>
    </row>
    <row r="836" spans="1:8" x14ac:dyDescent="0.55000000000000004">
      <c r="A836">
        <v>2019</v>
      </c>
      <c r="B836" t="s">
        <v>503</v>
      </c>
      <c r="C836" t="s">
        <v>858</v>
      </c>
      <c r="D836" s="6">
        <v>662.3</v>
      </c>
      <c r="G836" s="8">
        <v>153550.81</v>
      </c>
      <c r="H836" s="5">
        <v>0</v>
      </c>
    </row>
    <row r="837" spans="1:8" x14ac:dyDescent="0.55000000000000004">
      <c r="A837">
        <v>2019</v>
      </c>
      <c r="B837" t="s">
        <v>501</v>
      </c>
      <c r="C837" t="s">
        <v>859</v>
      </c>
      <c r="D837" s="6">
        <v>655.20000000000005</v>
      </c>
      <c r="G837" s="8">
        <v>576778.54999999993</v>
      </c>
      <c r="H837" s="5">
        <v>304799</v>
      </c>
    </row>
    <row r="838" spans="1:8" x14ac:dyDescent="0.55000000000000004">
      <c r="A838">
        <v>2019</v>
      </c>
      <c r="B838" t="s">
        <v>500</v>
      </c>
      <c r="C838" t="s">
        <v>861</v>
      </c>
      <c r="D838" s="6">
        <v>613.79999999999995</v>
      </c>
      <c r="G838" s="8">
        <v>477815.89</v>
      </c>
      <c r="H838" s="5">
        <v>62894</v>
      </c>
    </row>
    <row r="839" spans="1:8" x14ac:dyDescent="0.55000000000000004">
      <c r="A839">
        <v>2019</v>
      </c>
      <c r="B839" t="s">
        <v>499</v>
      </c>
      <c r="C839" t="s">
        <v>862</v>
      </c>
      <c r="D839" s="6">
        <v>1305.3</v>
      </c>
      <c r="G839" s="8">
        <v>460248.97000000003</v>
      </c>
      <c r="H839" s="5">
        <v>0</v>
      </c>
    </row>
    <row r="840" spans="1:8" x14ac:dyDescent="0.55000000000000004">
      <c r="A840">
        <v>2019</v>
      </c>
      <c r="B840" t="s">
        <v>498</v>
      </c>
      <c r="C840" t="s">
        <v>863</v>
      </c>
      <c r="D840" s="6">
        <v>699.4</v>
      </c>
      <c r="G840" s="8">
        <v>358784.87</v>
      </c>
      <c r="H840" s="5">
        <v>0</v>
      </c>
    </row>
    <row r="841" spans="1:8" x14ac:dyDescent="0.55000000000000004">
      <c r="A841">
        <v>2019</v>
      </c>
      <c r="B841" t="s">
        <v>497</v>
      </c>
      <c r="C841" t="s">
        <v>864</v>
      </c>
      <c r="D841" s="6">
        <v>421.3</v>
      </c>
      <c r="G841" s="8">
        <v>200525.9</v>
      </c>
      <c r="H841" s="5">
        <v>24249</v>
      </c>
    </row>
    <row r="842" spans="1:8" x14ac:dyDescent="0.55000000000000004">
      <c r="A842">
        <v>2019</v>
      </c>
      <c r="B842" t="s">
        <v>496</v>
      </c>
      <c r="C842" t="s">
        <v>865</v>
      </c>
      <c r="D842" s="6">
        <v>1931.9</v>
      </c>
      <c r="G842" s="8">
        <v>300140.40000000002</v>
      </c>
      <c r="H842" s="5">
        <v>0</v>
      </c>
    </row>
    <row r="843" spans="1:8" x14ac:dyDescent="0.55000000000000004">
      <c r="A843">
        <v>2019</v>
      </c>
      <c r="B843" t="s">
        <v>495</v>
      </c>
      <c r="C843" t="s">
        <v>866</v>
      </c>
      <c r="D843" s="6">
        <v>5360.9000000000005</v>
      </c>
      <c r="G843" s="8">
        <v>1376368.9400000002</v>
      </c>
      <c r="H843" s="5">
        <v>0</v>
      </c>
    </row>
    <row r="844" spans="1:8" x14ac:dyDescent="0.55000000000000004">
      <c r="A844">
        <v>2019</v>
      </c>
      <c r="B844" t="s">
        <v>494</v>
      </c>
      <c r="C844" t="s">
        <v>867</v>
      </c>
      <c r="D844" s="6">
        <v>516.70000000000005</v>
      </c>
      <c r="G844" s="8">
        <v>234923.65</v>
      </c>
      <c r="H844" s="5">
        <v>160</v>
      </c>
    </row>
    <row r="845" spans="1:8" x14ac:dyDescent="0.55000000000000004">
      <c r="A845">
        <v>2019</v>
      </c>
      <c r="B845" t="s">
        <v>493</v>
      </c>
      <c r="C845" t="s">
        <v>868</v>
      </c>
      <c r="D845" s="6">
        <v>3587.5</v>
      </c>
      <c r="G845" s="8">
        <v>1212378.1300000001</v>
      </c>
      <c r="H845" s="5">
        <v>0</v>
      </c>
    </row>
    <row r="846" spans="1:8" x14ac:dyDescent="0.55000000000000004">
      <c r="A846">
        <v>2019</v>
      </c>
      <c r="B846" t="s">
        <v>491</v>
      </c>
      <c r="C846" t="s">
        <v>869</v>
      </c>
      <c r="D846" s="6">
        <v>807.6</v>
      </c>
      <c r="G846" s="8">
        <v>527671.17999999993</v>
      </c>
      <c r="H846" s="5">
        <v>179758</v>
      </c>
    </row>
    <row r="847" spans="1:8" x14ac:dyDescent="0.55000000000000004">
      <c r="A847">
        <v>2019</v>
      </c>
      <c r="B847" t="s">
        <v>490</v>
      </c>
      <c r="C847" t="s">
        <v>870</v>
      </c>
      <c r="D847" s="6">
        <v>345.1</v>
      </c>
      <c r="G847" s="8">
        <v>97185.9</v>
      </c>
      <c r="H847" s="5">
        <v>0</v>
      </c>
    </row>
    <row r="848" spans="1:8" x14ac:dyDescent="0.55000000000000004">
      <c r="A848">
        <v>2019</v>
      </c>
      <c r="B848" t="s">
        <v>486</v>
      </c>
      <c r="C848" t="s">
        <v>871</v>
      </c>
      <c r="D848" s="6">
        <v>772.1</v>
      </c>
      <c r="G848" s="8">
        <v>461777.91999999998</v>
      </c>
      <c r="H848" s="5">
        <v>44742</v>
      </c>
    </row>
    <row r="849" spans="1:8" x14ac:dyDescent="0.55000000000000004">
      <c r="A849">
        <v>2019</v>
      </c>
      <c r="B849" t="s">
        <v>489</v>
      </c>
      <c r="C849" t="s">
        <v>872</v>
      </c>
      <c r="D849" s="6">
        <v>535.5</v>
      </c>
      <c r="G849" s="8">
        <v>426212.53</v>
      </c>
      <c r="H849" s="5">
        <v>118649</v>
      </c>
    </row>
    <row r="850" spans="1:8" x14ac:dyDescent="0.55000000000000004">
      <c r="A850">
        <v>2019</v>
      </c>
      <c r="B850" t="s">
        <v>488</v>
      </c>
      <c r="C850" t="s">
        <v>873</v>
      </c>
      <c r="D850" s="6">
        <v>1259</v>
      </c>
      <c r="G850" s="8">
        <v>676832.9</v>
      </c>
      <c r="H850" s="5">
        <v>62761</v>
      </c>
    </row>
    <row r="851" spans="1:8" x14ac:dyDescent="0.55000000000000004">
      <c r="A851">
        <v>2019</v>
      </c>
      <c r="B851" t="s">
        <v>487</v>
      </c>
      <c r="C851" t="s">
        <v>874</v>
      </c>
      <c r="D851" s="6">
        <v>809.3</v>
      </c>
      <c r="G851" s="8">
        <v>304741.09000000003</v>
      </c>
      <c r="H851" s="5">
        <v>0</v>
      </c>
    </row>
    <row r="852" spans="1:8" x14ac:dyDescent="0.55000000000000004">
      <c r="A852">
        <v>2019</v>
      </c>
      <c r="B852" t="s">
        <v>492</v>
      </c>
      <c r="C852" t="s">
        <v>875</v>
      </c>
      <c r="D852" s="6">
        <v>1447.1</v>
      </c>
      <c r="G852" s="8">
        <v>415411.13</v>
      </c>
      <c r="H852" s="5">
        <v>0</v>
      </c>
    </row>
    <row r="853" spans="1:8" x14ac:dyDescent="0.55000000000000004">
      <c r="A853">
        <v>2019</v>
      </c>
      <c r="B853" t="s">
        <v>485</v>
      </c>
      <c r="C853" t="s">
        <v>876</v>
      </c>
      <c r="D853" s="6">
        <v>487.4</v>
      </c>
      <c r="G853" s="8">
        <v>159070.30000000002</v>
      </c>
      <c r="H853" s="5">
        <v>0</v>
      </c>
    </row>
    <row r="854" spans="1:8" x14ac:dyDescent="0.55000000000000004">
      <c r="A854">
        <v>2019</v>
      </c>
      <c r="B854" t="s">
        <v>484</v>
      </c>
      <c r="C854" t="s">
        <v>877</v>
      </c>
      <c r="D854" s="6">
        <v>959</v>
      </c>
      <c r="G854" s="8">
        <v>357579.77</v>
      </c>
      <c r="H854" s="5">
        <v>0</v>
      </c>
    </row>
    <row r="855" spans="1:8" x14ac:dyDescent="0.55000000000000004">
      <c r="A855">
        <v>2019</v>
      </c>
      <c r="B855" t="s">
        <v>483</v>
      </c>
      <c r="C855" t="s">
        <v>878</v>
      </c>
      <c r="D855" s="6">
        <v>351</v>
      </c>
      <c r="G855" s="8">
        <v>148117.85</v>
      </c>
      <c r="H855" s="5">
        <v>8661</v>
      </c>
    </row>
    <row r="856" spans="1:8" x14ac:dyDescent="0.55000000000000004">
      <c r="A856">
        <v>2019</v>
      </c>
      <c r="B856" t="s">
        <v>482</v>
      </c>
      <c r="C856" t="s">
        <v>879</v>
      </c>
      <c r="D856" s="6">
        <v>249.1</v>
      </c>
      <c r="G856" s="8">
        <v>127495.72</v>
      </c>
      <c r="H856" s="5">
        <v>41543</v>
      </c>
    </row>
    <row r="857" spans="1:8" x14ac:dyDescent="0.55000000000000004">
      <c r="A857">
        <v>2019</v>
      </c>
      <c r="B857" t="s">
        <v>481</v>
      </c>
      <c r="C857" t="s">
        <v>880</v>
      </c>
      <c r="D857" s="6">
        <v>205.6</v>
      </c>
      <c r="G857" s="8">
        <v>46058.18</v>
      </c>
      <c r="H857" s="5">
        <v>0</v>
      </c>
    </row>
    <row r="858" spans="1:8" x14ac:dyDescent="0.55000000000000004">
      <c r="A858">
        <v>2019</v>
      </c>
      <c r="B858" t="s">
        <v>480</v>
      </c>
      <c r="C858" t="s">
        <v>881</v>
      </c>
      <c r="D858" s="6">
        <v>219.3</v>
      </c>
      <c r="G858" s="8">
        <v>111863.97</v>
      </c>
      <c r="H858" s="5">
        <v>17409</v>
      </c>
    </row>
    <row r="859" spans="1:8" x14ac:dyDescent="0.55000000000000004">
      <c r="A859">
        <v>2019</v>
      </c>
      <c r="B859" t="s">
        <v>479</v>
      </c>
      <c r="C859" t="s">
        <v>882</v>
      </c>
      <c r="D859" s="6">
        <v>607.4</v>
      </c>
      <c r="G859" s="8">
        <v>363572.97</v>
      </c>
      <c r="H859" s="5">
        <v>55764</v>
      </c>
    </row>
    <row r="860" spans="1:8" x14ac:dyDescent="0.55000000000000004">
      <c r="A860">
        <v>2019</v>
      </c>
      <c r="B860" t="s">
        <v>478</v>
      </c>
      <c r="C860" t="s">
        <v>883</v>
      </c>
      <c r="D860" s="6">
        <v>1922</v>
      </c>
      <c r="G860" s="8">
        <v>641373.74</v>
      </c>
      <c r="H860" s="5">
        <v>0</v>
      </c>
    </row>
    <row r="861" spans="1:8" x14ac:dyDescent="0.55000000000000004">
      <c r="A861">
        <v>2019</v>
      </c>
      <c r="B861" t="s">
        <v>477</v>
      </c>
      <c r="C861" t="s">
        <v>884</v>
      </c>
      <c r="D861" s="6">
        <v>1121.8</v>
      </c>
      <c r="G861" s="8">
        <v>191108.17</v>
      </c>
      <c r="H861" s="5">
        <v>0</v>
      </c>
    </row>
    <row r="862" spans="1:8" x14ac:dyDescent="0.55000000000000004">
      <c r="A862">
        <v>2019</v>
      </c>
      <c r="B862" t="s">
        <v>476</v>
      </c>
      <c r="C862" t="s">
        <v>885</v>
      </c>
      <c r="D862" s="6">
        <v>243.2</v>
      </c>
      <c r="G862" s="8">
        <v>131467.41</v>
      </c>
      <c r="H862" s="5">
        <v>0</v>
      </c>
    </row>
    <row r="863" spans="1:8" x14ac:dyDescent="0.55000000000000004">
      <c r="A863">
        <v>2019</v>
      </c>
      <c r="B863" t="s">
        <v>475</v>
      </c>
      <c r="C863" t="s">
        <v>886</v>
      </c>
      <c r="D863" s="6">
        <v>4894</v>
      </c>
      <c r="G863" s="8">
        <v>918299.53</v>
      </c>
      <c r="H863" s="5">
        <v>0</v>
      </c>
    </row>
    <row r="864" spans="1:8" x14ac:dyDescent="0.55000000000000004">
      <c r="A864">
        <v>2019</v>
      </c>
      <c r="B864" t="s">
        <v>474</v>
      </c>
      <c r="C864" t="s">
        <v>887</v>
      </c>
      <c r="D864" s="6">
        <v>599.79999999999995</v>
      </c>
      <c r="G864" s="8">
        <v>283975.7</v>
      </c>
      <c r="H864" s="5">
        <v>0</v>
      </c>
    </row>
    <row r="865" spans="1:8" x14ac:dyDescent="0.55000000000000004">
      <c r="A865">
        <v>2019</v>
      </c>
      <c r="B865" t="s">
        <v>473</v>
      </c>
      <c r="C865" t="s">
        <v>888</v>
      </c>
      <c r="D865" s="6">
        <v>1482.3</v>
      </c>
      <c r="G865" s="8">
        <v>328093.81</v>
      </c>
      <c r="H865" s="5">
        <v>0</v>
      </c>
    </row>
    <row r="866" spans="1:8" x14ac:dyDescent="0.55000000000000004">
      <c r="A866">
        <v>2019</v>
      </c>
      <c r="B866" t="s">
        <v>471</v>
      </c>
      <c r="C866" t="s">
        <v>889</v>
      </c>
      <c r="D866" s="6">
        <v>938</v>
      </c>
      <c r="G866" s="8">
        <v>421345.46</v>
      </c>
      <c r="H866" s="5">
        <v>0</v>
      </c>
    </row>
    <row r="867" spans="1:8" x14ac:dyDescent="0.55000000000000004">
      <c r="A867">
        <v>2019</v>
      </c>
      <c r="B867" t="s">
        <v>470</v>
      </c>
      <c r="C867" t="s">
        <v>890</v>
      </c>
      <c r="D867" s="6">
        <v>495.2</v>
      </c>
      <c r="G867" s="8">
        <v>150321.88</v>
      </c>
      <c r="H867" s="5">
        <v>0</v>
      </c>
    </row>
    <row r="868" spans="1:8" x14ac:dyDescent="0.55000000000000004">
      <c r="A868">
        <v>2019</v>
      </c>
      <c r="B868" t="s">
        <v>472</v>
      </c>
      <c r="C868" t="s">
        <v>891</v>
      </c>
      <c r="D868" s="6">
        <v>432.4</v>
      </c>
      <c r="G868" s="8">
        <v>217212.93000000002</v>
      </c>
      <c r="H868" s="5">
        <v>41893</v>
      </c>
    </row>
    <row r="869" spans="1:8" x14ac:dyDescent="0.55000000000000004">
      <c r="A869">
        <v>2019</v>
      </c>
      <c r="B869" t="s">
        <v>469</v>
      </c>
      <c r="C869" t="s">
        <v>892</v>
      </c>
      <c r="D869" s="6">
        <v>3030.3</v>
      </c>
      <c r="G869" s="8">
        <v>909457.49</v>
      </c>
      <c r="H869" s="5">
        <v>0</v>
      </c>
    </row>
    <row r="870" spans="1:8" x14ac:dyDescent="0.55000000000000004">
      <c r="A870">
        <v>2019</v>
      </c>
      <c r="B870" t="s">
        <v>553</v>
      </c>
      <c r="C870" t="s">
        <v>1316</v>
      </c>
      <c r="D870" s="6">
        <v>642.1</v>
      </c>
      <c r="G870" s="8">
        <v>603062.64</v>
      </c>
      <c r="H870" s="5">
        <v>155221</v>
      </c>
    </row>
    <row r="871" spans="1:8" x14ac:dyDescent="0.55000000000000004">
      <c r="A871">
        <v>2019</v>
      </c>
      <c r="B871" t="s">
        <v>673</v>
      </c>
      <c r="C871" t="s">
        <v>894</v>
      </c>
      <c r="D871" s="6">
        <v>575.6</v>
      </c>
      <c r="G871" s="8">
        <v>477154.8</v>
      </c>
      <c r="H871" s="5">
        <v>0</v>
      </c>
    </row>
    <row r="872" spans="1:8" x14ac:dyDescent="0.55000000000000004">
      <c r="A872">
        <v>2019</v>
      </c>
      <c r="B872" t="s">
        <v>511</v>
      </c>
      <c r="C872" t="s">
        <v>895</v>
      </c>
      <c r="D872" s="6">
        <v>774.3</v>
      </c>
      <c r="G872" s="8">
        <v>322072.82</v>
      </c>
      <c r="H872" s="5">
        <v>0</v>
      </c>
    </row>
    <row r="873" spans="1:8" x14ac:dyDescent="0.55000000000000004">
      <c r="A873">
        <v>2019</v>
      </c>
      <c r="B873" t="s">
        <v>466</v>
      </c>
      <c r="C873" t="s">
        <v>1317</v>
      </c>
      <c r="D873" s="6">
        <v>1124.4000000000001</v>
      </c>
      <c r="G873" s="8">
        <v>578931.13</v>
      </c>
      <c r="H873" s="5">
        <v>69967</v>
      </c>
    </row>
    <row r="874" spans="1:8" x14ac:dyDescent="0.55000000000000004">
      <c r="A874">
        <v>2019</v>
      </c>
      <c r="B874" t="s">
        <v>642</v>
      </c>
      <c r="C874" t="s">
        <v>896</v>
      </c>
      <c r="D874" s="6">
        <v>458</v>
      </c>
      <c r="G874" s="8">
        <v>171583.3</v>
      </c>
      <c r="H874" s="5">
        <v>0</v>
      </c>
    </row>
    <row r="875" spans="1:8" x14ac:dyDescent="0.55000000000000004">
      <c r="A875">
        <v>2019</v>
      </c>
      <c r="B875" t="s">
        <v>462</v>
      </c>
      <c r="C875" t="s">
        <v>897</v>
      </c>
      <c r="D875" s="6">
        <v>273.8</v>
      </c>
      <c r="G875" s="8">
        <v>194883.17</v>
      </c>
      <c r="H875" s="5">
        <v>67433</v>
      </c>
    </row>
    <row r="876" spans="1:8" x14ac:dyDescent="0.55000000000000004">
      <c r="A876">
        <v>2019</v>
      </c>
      <c r="B876" t="s">
        <v>463</v>
      </c>
      <c r="C876" t="s">
        <v>898</v>
      </c>
      <c r="D876" s="6">
        <v>618.20000000000005</v>
      </c>
      <c r="G876" s="8">
        <v>295255.77999999997</v>
      </c>
      <c r="H876" s="5">
        <v>0</v>
      </c>
    </row>
    <row r="877" spans="1:8" x14ac:dyDescent="0.55000000000000004">
      <c r="A877">
        <v>2019</v>
      </c>
      <c r="B877" t="s">
        <v>464</v>
      </c>
      <c r="C877" t="s">
        <v>899</v>
      </c>
      <c r="D877" s="6">
        <v>450.1</v>
      </c>
      <c r="G877" s="8">
        <v>188396.78999999998</v>
      </c>
      <c r="H877" s="5">
        <v>3359</v>
      </c>
    </row>
    <row r="878" spans="1:8" x14ac:dyDescent="0.55000000000000004">
      <c r="A878">
        <v>2019</v>
      </c>
      <c r="B878" t="s">
        <v>461</v>
      </c>
      <c r="C878" t="s">
        <v>900</v>
      </c>
      <c r="D878" s="6">
        <v>1727.5</v>
      </c>
      <c r="G878" s="8">
        <v>736195.24</v>
      </c>
      <c r="H878" s="5">
        <v>0</v>
      </c>
    </row>
    <row r="879" spans="1:8" x14ac:dyDescent="0.55000000000000004">
      <c r="A879">
        <v>2019</v>
      </c>
      <c r="B879" t="s">
        <v>460</v>
      </c>
      <c r="C879" t="s">
        <v>901</v>
      </c>
      <c r="D879" s="6">
        <v>3077.3</v>
      </c>
      <c r="G879" s="8">
        <v>861290.1</v>
      </c>
      <c r="H879" s="5">
        <v>0</v>
      </c>
    </row>
    <row r="880" spans="1:8" x14ac:dyDescent="0.55000000000000004">
      <c r="A880">
        <v>2019</v>
      </c>
      <c r="B880" t="s">
        <v>459</v>
      </c>
      <c r="C880" t="s">
        <v>902</v>
      </c>
      <c r="D880" s="6">
        <v>446</v>
      </c>
      <c r="G880" s="8">
        <v>239001.86</v>
      </c>
      <c r="H880" s="5">
        <v>32689</v>
      </c>
    </row>
    <row r="881" spans="1:8" x14ac:dyDescent="0.55000000000000004">
      <c r="A881">
        <v>2019</v>
      </c>
      <c r="B881" t="s">
        <v>666</v>
      </c>
      <c r="C881" t="s">
        <v>903</v>
      </c>
      <c r="D881" s="6">
        <v>410.3</v>
      </c>
      <c r="G881" s="8">
        <v>270775.21999999997</v>
      </c>
      <c r="H881" s="5">
        <v>99432</v>
      </c>
    </row>
    <row r="882" spans="1:8" x14ac:dyDescent="0.55000000000000004">
      <c r="A882">
        <v>2019</v>
      </c>
      <c r="B882" t="s">
        <v>458</v>
      </c>
      <c r="C882" t="s">
        <v>904</v>
      </c>
      <c r="D882" s="6">
        <v>265</v>
      </c>
      <c r="G882" s="8">
        <v>235674.43</v>
      </c>
      <c r="H882" s="5">
        <v>157088</v>
      </c>
    </row>
    <row r="883" spans="1:8" x14ac:dyDescent="0.55000000000000004">
      <c r="A883">
        <v>2019</v>
      </c>
      <c r="B883" t="s">
        <v>467</v>
      </c>
      <c r="C883" t="s">
        <v>905</v>
      </c>
      <c r="D883" s="6">
        <v>522.6</v>
      </c>
      <c r="G883" s="8">
        <v>330889.15999999997</v>
      </c>
      <c r="H883" s="5">
        <v>69897</v>
      </c>
    </row>
    <row r="884" spans="1:8" x14ac:dyDescent="0.55000000000000004">
      <c r="A884">
        <v>2019</v>
      </c>
      <c r="B884" t="s">
        <v>465</v>
      </c>
      <c r="C884" t="s">
        <v>906</v>
      </c>
      <c r="D884" s="6">
        <v>186.5</v>
      </c>
      <c r="G884" s="8">
        <v>146378.20000000001</v>
      </c>
      <c r="H884" s="5">
        <v>84835</v>
      </c>
    </row>
    <row r="885" spans="1:8" x14ac:dyDescent="0.55000000000000004">
      <c r="A885">
        <v>2019</v>
      </c>
      <c r="B885" t="s">
        <v>457</v>
      </c>
      <c r="C885" t="s">
        <v>907</v>
      </c>
      <c r="D885" s="6">
        <v>511.5</v>
      </c>
      <c r="G885" s="8">
        <v>228061.35</v>
      </c>
      <c r="H885" s="5">
        <v>49817</v>
      </c>
    </row>
    <row r="886" spans="1:8" x14ac:dyDescent="0.55000000000000004">
      <c r="A886">
        <v>2019</v>
      </c>
      <c r="B886" t="s">
        <v>456</v>
      </c>
      <c r="C886" t="s">
        <v>908</v>
      </c>
      <c r="D886" s="6">
        <v>2993.6</v>
      </c>
      <c r="G886" s="8">
        <v>538672.91999999993</v>
      </c>
      <c r="H886" s="5">
        <v>0</v>
      </c>
    </row>
    <row r="887" spans="1:8" x14ac:dyDescent="0.55000000000000004">
      <c r="A887">
        <v>2019</v>
      </c>
      <c r="B887" t="s">
        <v>455</v>
      </c>
      <c r="C887" t="s">
        <v>1318</v>
      </c>
      <c r="D887" s="6">
        <v>987.4</v>
      </c>
      <c r="G887" s="8">
        <v>425944.18</v>
      </c>
      <c r="H887" s="5">
        <v>44964</v>
      </c>
    </row>
    <row r="888" spans="1:8" x14ac:dyDescent="0.55000000000000004">
      <c r="A888">
        <v>2019</v>
      </c>
      <c r="B888" t="s">
        <v>454</v>
      </c>
      <c r="C888" t="s">
        <v>909</v>
      </c>
      <c r="D888" s="6">
        <v>1317.1999999999998</v>
      </c>
      <c r="G888" s="8">
        <v>292837.87</v>
      </c>
      <c r="H888" s="5">
        <v>0</v>
      </c>
    </row>
    <row r="889" spans="1:8" x14ac:dyDescent="0.55000000000000004">
      <c r="A889">
        <v>2019</v>
      </c>
      <c r="B889" t="s">
        <v>453</v>
      </c>
      <c r="C889" t="s">
        <v>910</v>
      </c>
      <c r="D889" s="6">
        <v>609.20000000000005</v>
      </c>
      <c r="G889" s="8">
        <v>223745.07</v>
      </c>
      <c r="H889" s="5">
        <v>0</v>
      </c>
    </row>
    <row r="890" spans="1:8" x14ac:dyDescent="0.55000000000000004">
      <c r="A890">
        <v>2019</v>
      </c>
      <c r="B890" t="s">
        <v>452</v>
      </c>
      <c r="C890" t="s">
        <v>911</v>
      </c>
      <c r="D890" s="6">
        <v>978.4</v>
      </c>
      <c r="G890" s="8">
        <v>335692.07999999996</v>
      </c>
      <c r="H890" s="5">
        <v>0</v>
      </c>
    </row>
    <row r="891" spans="1:8" x14ac:dyDescent="0.55000000000000004">
      <c r="A891">
        <v>2019</v>
      </c>
      <c r="B891" t="s">
        <v>451</v>
      </c>
      <c r="C891" t="s">
        <v>912</v>
      </c>
      <c r="D891" s="6">
        <v>212</v>
      </c>
      <c r="G891" s="8">
        <v>147804.53</v>
      </c>
      <c r="H891" s="5">
        <v>73632</v>
      </c>
    </row>
    <row r="892" spans="1:8" x14ac:dyDescent="0.55000000000000004">
      <c r="A892">
        <v>2019</v>
      </c>
      <c r="B892" t="s">
        <v>450</v>
      </c>
      <c r="C892" t="s">
        <v>913</v>
      </c>
      <c r="D892" s="6">
        <v>190.3</v>
      </c>
      <c r="G892" s="8">
        <v>98322.180000000008</v>
      </c>
      <c r="H892" s="5">
        <v>0</v>
      </c>
    </row>
    <row r="893" spans="1:8" x14ac:dyDescent="0.55000000000000004">
      <c r="A893">
        <v>2019</v>
      </c>
      <c r="B893" t="s">
        <v>449</v>
      </c>
      <c r="C893" t="s">
        <v>914</v>
      </c>
      <c r="D893" s="6">
        <v>918.7</v>
      </c>
      <c r="G893" s="8">
        <v>501219.01999999996</v>
      </c>
      <c r="H893" s="5">
        <v>0</v>
      </c>
    </row>
    <row r="894" spans="1:8" x14ac:dyDescent="0.55000000000000004">
      <c r="A894">
        <v>2019</v>
      </c>
      <c r="B894" t="s">
        <v>448</v>
      </c>
      <c r="C894" t="s">
        <v>915</v>
      </c>
      <c r="D894" s="6">
        <v>2328.5</v>
      </c>
      <c r="G894" s="8">
        <v>865987.08000000007</v>
      </c>
      <c r="H894" s="5">
        <v>0</v>
      </c>
    </row>
    <row r="895" spans="1:8" x14ac:dyDescent="0.55000000000000004">
      <c r="A895">
        <v>2019</v>
      </c>
      <c r="B895" t="s">
        <v>447</v>
      </c>
      <c r="C895" t="s">
        <v>916</v>
      </c>
      <c r="D895" s="6">
        <v>4655</v>
      </c>
      <c r="G895" s="8">
        <v>1411533.7</v>
      </c>
      <c r="H895" s="5">
        <v>0</v>
      </c>
    </row>
    <row r="896" spans="1:8" x14ac:dyDescent="0.55000000000000004">
      <c r="A896">
        <v>2019</v>
      </c>
      <c r="B896" t="s">
        <v>446</v>
      </c>
      <c r="C896" t="s">
        <v>917</v>
      </c>
      <c r="D896" s="6">
        <v>696.9</v>
      </c>
      <c r="G896" s="8">
        <v>353410.25</v>
      </c>
      <c r="H896" s="5">
        <v>45205</v>
      </c>
    </row>
    <row r="897" spans="1:8" x14ac:dyDescent="0.55000000000000004">
      <c r="A897">
        <v>2019</v>
      </c>
      <c r="B897" t="s">
        <v>445</v>
      </c>
      <c r="C897" t="s">
        <v>918</v>
      </c>
      <c r="D897" s="6">
        <v>211.7</v>
      </c>
      <c r="G897" s="8">
        <v>165652.95000000001</v>
      </c>
      <c r="H897" s="5">
        <v>87527</v>
      </c>
    </row>
    <row r="898" spans="1:8" x14ac:dyDescent="0.55000000000000004">
      <c r="A898">
        <v>2019</v>
      </c>
      <c r="B898" t="s">
        <v>444</v>
      </c>
      <c r="C898" t="s">
        <v>234</v>
      </c>
      <c r="D898" s="6">
        <v>1070.9000000000001</v>
      </c>
      <c r="G898" s="8">
        <v>413314.43</v>
      </c>
      <c r="H898" s="5">
        <v>0</v>
      </c>
    </row>
    <row r="899" spans="1:8" x14ac:dyDescent="0.55000000000000004">
      <c r="A899">
        <v>2019</v>
      </c>
      <c r="B899" t="s">
        <v>443</v>
      </c>
      <c r="C899" t="s">
        <v>920</v>
      </c>
      <c r="D899" s="6">
        <v>598.29999999999995</v>
      </c>
      <c r="G899" s="8">
        <v>459517.06</v>
      </c>
      <c r="H899" s="5">
        <v>118824</v>
      </c>
    </row>
    <row r="900" spans="1:8" x14ac:dyDescent="0.55000000000000004">
      <c r="A900">
        <v>2019</v>
      </c>
      <c r="B900" t="s">
        <v>442</v>
      </c>
      <c r="C900" t="s">
        <v>921</v>
      </c>
      <c r="D900" s="6">
        <v>2154.5</v>
      </c>
      <c r="G900" s="8">
        <v>725405.55</v>
      </c>
      <c r="H900" s="5">
        <v>0</v>
      </c>
    </row>
    <row r="901" spans="1:8" x14ac:dyDescent="0.55000000000000004">
      <c r="A901">
        <v>2019</v>
      </c>
      <c r="B901" t="s">
        <v>441</v>
      </c>
      <c r="C901" t="s">
        <v>922</v>
      </c>
      <c r="D901" s="6">
        <v>1802.3999999999999</v>
      </c>
      <c r="G901" s="8">
        <v>625564.32999999996</v>
      </c>
      <c r="H901" s="5">
        <v>0</v>
      </c>
    </row>
    <row r="902" spans="1:8" x14ac:dyDescent="0.55000000000000004">
      <c r="A902">
        <v>2019</v>
      </c>
      <c r="B902" t="s">
        <v>440</v>
      </c>
      <c r="C902" t="s">
        <v>923</v>
      </c>
      <c r="D902" s="6">
        <v>5036.7</v>
      </c>
      <c r="G902" s="8">
        <v>1375165.19</v>
      </c>
      <c r="H902" s="5">
        <v>0</v>
      </c>
    </row>
    <row r="903" spans="1:8" x14ac:dyDescent="0.55000000000000004">
      <c r="A903">
        <v>2019</v>
      </c>
      <c r="B903" t="s">
        <v>439</v>
      </c>
      <c r="C903" t="s">
        <v>924</v>
      </c>
      <c r="D903" s="6">
        <v>681</v>
      </c>
      <c r="G903" s="8">
        <v>206530.87</v>
      </c>
      <c r="H903" s="5">
        <v>0</v>
      </c>
    </row>
    <row r="904" spans="1:8" x14ac:dyDescent="0.55000000000000004">
      <c r="A904">
        <v>2019</v>
      </c>
      <c r="B904" t="s">
        <v>438</v>
      </c>
      <c r="C904" t="s">
        <v>925</v>
      </c>
      <c r="D904" s="6">
        <v>665.40000000000009</v>
      </c>
      <c r="G904" s="8">
        <v>436771.36</v>
      </c>
      <c r="H904" s="5">
        <v>0</v>
      </c>
    </row>
    <row r="905" spans="1:8" x14ac:dyDescent="0.55000000000000004">
      <c r="A905">
        <v>2019</v>
      </c>
      <c r="B905" t="s">
        <v>437</v>
      </c>
      <c r="C905" t="s">
        <v>926</v>
      </c>
      <c r="D905" s="6">
        <v>729</v>
      </c>
      <c r="G905" s="8">
        <v>161630.99</v>
      </c>
      <c r="H905" s="5">
        <v>0</v>
      </c>
    </row>
    <row r="906" spans="1:8" x14ac:dyDescent="0.55000000000000004">
      <c r="A906">
        <v>2019</v>
      </c>
      <c r="B906" t="s">
        <v>436</v>
      </c>
      <c r="C906" t="s">
        <v>928</v>
      </c>
      <c r="D906" s="6">
        <v>574.4</v>
      </c>
      <c r="G906" s="8">
        <v>442677.72</v>
      </c>
      <c r="H906" s="5">
        <v>123937</v>
      </c>
    </row>
    <row r="907" spans="1:8" x14ac:dyDescent="0.55000000000000004">
      <c r="A907">
        <v>2019</v>
      </c>
      <c r="B907" t="s">
        <v>435</v>
      </c>
      <c r="C907" t="s">
        <v>929</v>
      </c>
      <c r="D907" s="6">
        <v>1032.5999999999999</v>
      </c>
      <c r="G907" s="8">
        <v>226012.5</v>
      </c>
      <c r="H907" s="5">
        <v>0</v>
      </c>
    </row>
    <row r="908" spans="1:8" x14ac:dyDescent="0.55000000000000004">
      <c r="A908">
        <v>2019</v>
      </c>
      <c r="B908" t="s">
        <v>434</v>
      </c>
      <c r="C908" t="s">
        <v>930</v>
      </c>
      <c r="D908" s="6">
        <v>314</v>
      </c>
      <c r="G908" s="8">
        <v>139064.23000000001</v>
      </c>
      <c r="H908" s="5">
        <v>0</v>
      </c>
    </row>
    <row r="909" spans="1:8" x14ac:dyDescent="0.55000000000000004">
      <c r="A909">
        <v>2019</v>
      </c>
      <c r="B909" t="s">
        <v>433</v>
      </c>
      <c r="C909" t="s">
        <v>931</v>
      </c>
      <c r="D909" s="6">
        <v>313.60000000000002</v>
      </c>
      <c r="G909" s="8">
        <v>158040.70000000001</v>
      </c>
      <c r="H909" s="5">
        <v>0</v>
      </c>
    </row>
    <row r="910" spans="1:8" x14ac:dyDescent="0.55000000000000004">
      <c r="A910">
        <v>2019</v>
      </c>
      <c r="B910" t="s">
        <v>577</v>
      </c>
      <c r="C910" t="s">
        <v>932</v>
      </c>
      <c r="D910" s="6">
        <v>407.3</v>
      </c>
      <c r="G910" s="8">
        <v>251272.88</v>
      </c>
      <c r="H910" s="5">
        <v>54332</v>
      </c>
    </row>
    <row r="911" spans="1:8" x14ac:dyDescent="0.55000000000000004">
      <c r="A911">
        <v>2019</v>
      </c>
      <c r="B911" t="s">
        <v>432</v>
      </c>
      <c r="C911" t="s">
        <v>934</v>
      </c>
      <c r="D911" s="6">
        <v>695.2</v>
      </c>
      <c r="G911" s="8">
        <v>337815.09</v>
      </c>
      <c r="H911" s="5">
        <v>49275</v>
      </c>
    </row>
    <row r="912" spans="1:8" x14ac:dyDescent="0.55000000000000004">
      <c r="A912">
        <v>2019</v>
      </c>
      <c r="B912" t="s">
        <v>431</v>
      </c>
      <c r="C912" t="s">
        <v>935</v>
      </c>
      <c r="D912" s="6">
        <v>804</v>
      </c>
      <c r="G912" s="8">
        <v>159853.65000000002</v>
      </c>
      <c r="H912" s="5">
        <v>0</v>
      </c>
    </row>
    <row r="913" spans="1:8" x14ac:dyDescent="0.55000000000000004">
      <c r="A913">
        <v>2019</v>
      </c>
      <c r="B913" t="s">
        <v>430</v>
      </c>
      <c r="C913" t="s">
        <v>936</v>
      </c>
      <c r="D913" s="6">
        <v>1041.5999999999999</v>
      </c>
      <c r="G913" s="8">
        <v>306452.55</v>
      </c>
      <c r="H913" s="5">
        <v>0</v>
      </c>
    </row>
    <row r="914" spans="1:8" x14ac:dyDescent="0.55000000000000004">
      <c r="A914">
        <v>2019</v>
      </c>
      <c r="B914" t="s">
        <v>429</v>
      </c>
      <c r="C914" t="s">
        <v>937</v>
      </c>
      <c r="D914" s="6">
        <v>414</v>
      </c>
      <c r="G914" s="8">
        <v>220304.24</v>
      </c>
      <c r="H914" s="5">
        <v>44531</v>
      </c>
    </row>
    <row r="915" spans="1:8" x14ac:dyDescent="0.55000000000000004">
      <c r="A915">
        <v>2019</v>
      </c>
      <c r="B915" t="s">
        <v>428</v>
      </c>
      <c r="C915" t="s">
        <v>938</v>
      </c>
      <c r="D915" s="6">
        <v>217</v>
      </c>
      <c r="G915" s="8">
        <v>184157.31</v>
      </c>
      <c r="H915" s="5">
        <v>52362</v>
      </c>
    </row>
    <row r="916" spans="1:8" x14ac:dyDescent="0.55000000000000004">
      <c r="A916">
        <v>2019</v>
      </c>
      <c r="B916" t="s">
        <v>426</v>
      </c>
      <c r="C916" t="s">
        <v>939</v>
      </c>
      <c r="D916" s="6">
        <v>1126.3</v>
      </c>
      <c r="G916" s="8">
        <v>447694.12</v>
      </c>
      <c r="H916" s="5">
        <v>95127</v>
      </c>
    </row>
    <row r="917" spans="1:8" x14ac:dyDescent="0.55000000000000004">
      <c r="A917">
        <v>2019</v>
      </c>
      <c r="B917" t="s">
        <v>425</v>
      </c>
      <c r="C917" t="s">
        <v>940</v>
      </c>
      <c r="D917" s="6">
        <v>367</v>
      </c>
      <c r="G917" s="8">
        <v>207502.18999999997</v>
      </c>
      <c r="H917" s="5">
        <v>59890</v>
      </c>
    </row>
    <row r="918" spans="1:8" x14ac:dyDescent="0.55000000000000004">
      <c r="A918">
        <v>2019</v>
      </c>
      <c r="B918" t="s">
        <v>424</v>
      </c>
      <c r="C918" t="s">
        <v>941</v>
      </c>
      <c r="D918" s="6">
        <v>260</v>
      </c>
      <c r="G918" s="8">
        <v>204405.81</v>
      </c>
      <c r="H918" s="5">
        <v>58220</v>
      </c>
    </row>
    <row r="919" spans="1:8" x14ac:dyDescent="0.55000000000000004">
      <c r="A919">
        <v>2019</v>
      </c>
      <c r="B919" t="s">
        <v>423</v>
      </c>
      <c r="C919" t="s">
        <v>942</v>
      </c>
      <c r="D919" s="6">
        <v>1438.7</v>
      </c>
      <c r="G919" s="8">
        <v>410157.32999999996</v>
      </c>
      <c r="H919" s="5">
        <v>0</v>
      </c>
    </row>
    <row r="920" spans="1:8" x14ac:dyDescent="0.55000000000000004">
      <c r="A920">
        <v>2019</v>
      </c>
      <c r="B920" t="s">
        <v>422</v>
      </c>
      <c r="C920" t="s">
        <v>943</v>
      </c>
      <c r="D920" s="6">
        <v>274</v>
      </c>
      <c r="G920" s="8">
        <v>117046.04</v>
      </c>
      <c r="H920" s="5">
        <v>1295</v>
      </c>
    </row>
    <row r="921" spans="1:8" x14ac:dyDescent="0.55000000000000004">
      <c r="A921">
        <v>2019</v>
      </c>
      <c r="B921" t="s">
        <v>420</v>
      </c>
      <c r="C921" t="s">
        <v>944</v>
      </c>
      <c r="D921" s="6">
        <v>1083.9000000000001</v>
      </c>
      <c r="G921" s="8">
        <v>362615.19</v>
      </c>
      <c r="H921" s="5">
        <v>0</v>
      </c>
    </row>
    <row r="922" spans="1:8" x14ac:dyDescent="0.55000000000000004">
      <c r="A922">
        <v>2019</v>
      </c>
      <c r="B922" t="s">
        <v>419</v>
      </c>
      <c r="C922" t="s">
        <v>945</v>
      </c>
      <c r="D922" s="6">
        <v>1050.7</v>
      </c>
      <c r="G922" s="8">
        <v>379257.05</v>
      </c>
      <c r="H922" s="5">
        <v>0</v>
      </c>
    </row>
    <row r="923" spans="1:8" x14ac:dyDescent="0.55000000000000004">
      <c r="A923">
        <v>2019</v>
      </c>
      <c r="B923" t="s">
        <v>418</v>
      </c>
      <c r="C923" t="s">
        <v>946</v>
      </c>
      <c r="D923" s="6">
        <v>750.2</v>
      </c>
      <c r="G923" s="8">
        <v>357503.19</v>
      </c>
      <c r="H923" s="5">
        <v>0</v>
      </c>
    </row>
    <row r="924" spans="1:8" x14ac:dyDescent="0.55000000000000004">
      <c r="A924">
        <v>2019</v>
      </c>
      <c r="B924" t="s">
        <v>417</v>
      </c>
      <c r="C924" t="s">
        <v>947</v>
      </c>
      <c r="D924" s="6">
        <v>373.6</v>
      </c>
      <c r="G924" s="8">
        <v>266903.92</v>
      </c>
      <c r="H924" s="5">
        <v>7112</v>
      </c>
    </row>
    <row r="925" spans="1:8" x14ac:dyDescent="0.55000000000000004">
      <c r="A925">
        <v>2019</v>
      </c>
      <c r="B925" t="s">
        <v>416</v>
      </c>
      <c r="C925" t="s">
        <v>948</v>
      </c>
      <c r="D925" s="6">
        <v>554.5</v>
      </c>
      <c r="G925" s="8">
        <v>192030.1</v>
      </c>
      <c r="H925" s="5">
        <v>0</v>
      </c>
    </row>
    <row r="926" spans="1:8" x14ac:dyDescent="0.55000000000000004">
      <c r="A926">
        <v>2019</v>
      </c>
      <c r="B926" t="s">
        <v>415</v>
      </c>
      <c r="C926" t="s">
        <v>949</v>
      </c>
      <c r="D926" s="6">
        <v>1334.7</v>
      </c>
      <c r="G926" s="8">
        <v>374848.36000000004</v>
      </c>
      <c r="H926" s="5">
        <v>0</v>
      </c>
    </row>
    <row r="927" spans="1:8" x14ac:dyDescent="0.55000000000000004">
      <c r="A927">
        <v>2019</v>
      </c>
      <c r="B927" t="s">
        <v>414</v>
      </c>
      <c r="C927" t="s">
        <v>951</v>
      </c>
      <c r="D927" s="6">
        <v>483</v>
      </c>
      <c r="G927" s="8">
        <v>283532.53999999998</v>
      </c>
      <c r="H927" s="5">
        <v>165306</v>
      </c>
    </row>
    <row r="928" spans="1:8" x14ac:dyDescent="0.55000000000000004">
      <c r="A928">
        <v>2019</v>
      </c>
      <c r="B928" t="s">
        <v>413</v>
      </c>
      <c r="C928" t="s">
        <v>952</v>
      </c>
      <c r="D928" s="6">
        <v>14556.300000000001</v>
      </c>
      <c r="G928" s="8">
        <v>2423135.44</v>
      </c>
      <c r="H928" s="5">
        <v>0</v>
      </c>
    </row>
    <row r="929" spans="1:8" x14ac:dyDescent="0.55000000000000004">
      <c r="A929">
        <v>2019</v>
      </c>
      <c r="B929" t="s">
        <v>411</v>
      </c>
      <c r="C929" t="s">
        <v>953</v>
      </c>
      <c r="D929" s="6">
        <v>1397.1</v>
      </c>
      <c r="G929" s="8">
        <v>339190.02999999997</v>
      </c>
      <c r="H929" s="5">
        <v>0</v>
      </c>
    </row>
    <row r="930" spans="1:8" x14ac:dyDescent="0.55000000000000004">
      <c r="A930">
        <v>2019</v>
      </c>
      <c r="B930" t="s">
        <v>412</v>
      </c>
      <c r="C930" t="s">
        <v>954</v>
      </c>
      <c r="D930" s="6">
        <v>946.8</v>
      </c>
      <c r="G930" s="8">
        <v>524937.29999999993</v>
      </c>
      <c r="H930" s="5">
        <v>79868</v>
      </c>
    </row>
    <row r="931" spans="1:8" x14ac:dyDescent="0.55000000000000004">
      <c r="A931">
        <v>2019</v>
      </c>
      <c r="B931" t="s">
        <v>409</v>
      </c>
      <c r="C931" t="s">
        <v>955</v>
      </c>
      <c r="D931" s="6">
        <v>629.9</v>
      </c>
      <c r="G931" s="8">
        <v>366888.81999999995</v>
      </c>
      <c r="H931" s="5">
        <v>21618</v>
      </c>
    </row>
    <row r="932" spans="1:8" x14ac:dyDescent="0.55000000000000004">
      <c r="A932">
        <v>2019</v>
      </c>
      <c r="B932" t="s">
        <v>405</v>
      </c>
      <c r="C932" t="s">
        <v>957</v>
      </c>
      <c r="D932" s="6">
        <v>611.5</v>
      </c>
      <c r="G932" s="8">
        <v>274454.64999999997</v>
      </c>
      <c r="H932" s="5">
        <v>0</v>
      </c>
    </row>
    <row r="933" spans="1:8" x14ac:dyDescent="0.55000000000000004">
      <c r="A933">
        <v>2019</v>
      </c>
      <c r="B933" t="s">
        <v>407</v>
      </c>
      <c r="C933" t="s">
        <v>958</v>
      </c>
      <c r="D933" s="6">
        <v>195</v>
      </c>
      <c r="G933" s="8">
        <v>93950.28</v>
      </c>
      <c r="H933" s="5">
        <v>0</v>
      </c>
    </row>
    <row r="934" spans="1:8" x14ac:dyDescent="0.55000000000000004">
      <c r="A934">
        <v>2019</v>
      </c>
      <c r="B934" t="s">
        <v>406</v>
      </c>
      <c r="C934" t="s">
        <v>959</v>
      </c>
      <c r="D934" s="6">
        <v>1541.1</v>
      </c>
      <c r="G934" s="8">
        <v>640014.7300000001</v>
      </c>
      <c r="H934" s="5">
        <v>16140</v>
      </c>
    </row>
    <row r="935" spans="1:8" x14ac:dyDescent="0.55000000000000004">
      <c r="A935">
        <v>2019</v>
      </c>
      <c r="B935" t="s">
        <v>404</v>
      </c>
      <c r="C935" t="s">
        <v>960</v>
      </c>
      <c r="D935" s="6">
        <v>499</v>
      </c>
      <c r="G935" s="8">
        <v>252497.41</v>
      </c>
      <c r="H935" s="5">
        <v>0</v>
      </c>
    </row>
    <row r="936" spans="1:8" x14ac:dyDescent="0.55000000000000004">
      <c r="A936">
        <v>2019</v>
      </c>
      <c r="B936" t="s">
        <v>403</v>
      </c>
      <c r="C936" t="s">
        <v>961</v>
      </c>
      <c r="D936" s="6">
        <v>6894.4</v>
      </c>
      <c r="G936" s="8">
        <v>2362308.58</v>
      </c>
      <c r="H936" s="5">
        <v>0</v>
      </c>
    </row>
    <row r="937" spans="1:8" x14ac:dyDescent="0.55000000000000004">
      <c r="A937">
        <v>2019</v>
      </c>
      <c r="B937" t="s">
        <v>410</v>
      </c>
      <c r="C937" t="s">
        <v>962</v>
      </c>
      <c r="D937" s="6">
        <v>540.9</v>
      </c>
      <c r="G937" s="8">
        <v>280291.74</v>
      </c>
      <c r="H937" s="5">
        <v>11904</v>
      </c>
    </row>
    <row r="938" spans="1:8" x14ac:dyDescent="0.55000000000000004">
      <c r="A938">
        <v>2019</v>
      </c>
      <c r="B938" t="s">
        <v>408</v>
      </c>
      <c r="C938" t="s">
        <v>963</v>
      </c>
      <c r="D938" s="6">
        <v>573.70000000000005</v>
      </c>
      <c r="G938" s="8">
        <v>444531.09</v>
      </c>
      <c r="H938" s="5">
        <v>170176</v>
      </c>
    </row>
    <row r="939" spans="1:8" x14ac:dyDescent="0.55000000000000004">
      <c r="A939">
        <v>2019</v>
      </c>
      <c r="B939" t="s">
        <v>402</v>
      </c>
      <c r="C939" t="s">
        <v>964</v>
      </c>
      <c r="D939" s="6">
        <v>1957.5</v>
      </c>
      <c r="G939" s="8">
        <v>397337.35</v>
      </c>
      <c r="H939" s="5">
        <v>0</v>
      </c>
    </row>
    <row r="940" spans="1:8" x14ac:dyDescent="0.55000000000000004">
      <c r="A940">
        <v>2019</v>
      </c>
      <c r="B940" t="s">
        <v>401</v>
      </c>
      <c r="C940" t="s">
        <v>965</v>
      </c>
      <c r="D940" s="6">
        <v>1167.7</v>
      </c>
      <c r="G940" s="8">
        <v>396477.36000000004</v>
      </c>
      <c r="H940" s="5">
        <v>0</v>
      </c>
    </row>
    <row r="941" spans="1:8" x14ac:dyDescent="0.55000000000000004">
      <c r="A941">
        <v>2019</v>
      </c>
      <c r="B941" t="s">
        <v>400</v>
      </c>
      <c r="C941" t="s">
        <v>966</v>
      </c>
      <c r="D941" s="6">
        <v>382.1</v>
      </c>
      <c r="G941" s="8">
        <v>113512.92</v>
      </c>
      <c r="H941" s="5">
        <v>0</v>
      </c>
    </row>
    <row r="942" spans="1:8" x14ac:dyDescent="0.55000000000000004">
      <c r="A942">
        <v>2019</v>
      </c>
      <c r="B942" t="s">
        <v>427</v>
      </c>
      <c r="C942" t="s">
        <v>967</v>
      </c>
      <c r="D942" s="6">
        <v>577.79999999999995</v>
      </c>
      <c r="G942" s="8">
        <v>343202.9</v>
      </c>
      <c r="H942" s="5">
        <v>132836</v>
      </c>
    </row>
    <row r="943" spans="1:8" x14ac:dyDescent="0.55000000000000004">
      <c r="A943">
        <v>2019</v>
      </c>
      <c r="B943" t="s">
        <v>399</v>
      </c>
      <c r="C943" t="s">
        <v>968</v>
      </c>
      <c r="D943" s="6">
        <v>172.1</v>
      </c>
      <c r="G943" s="8">
        <v>58151.73</v>
      </c>
      <c r="H943" s="5">
        <v>0</v>
      </c>
    </row>
    <row r="944" spans="1:8" x14ac:dyDescent="0.55000000000000004">
      <c r="A944">
        <v>2019</v>
      </c>
      <c r="B944" t="s">
        <v>398</v>
      </c>
      <c r="C944" t="s">
        <v>969</v>
      </c>
      <c r="D944" s="6">
        <v>599</v>
      </c>
      <c r="G944" s="8">
        <v>235585.59</v>
      </c>
      <c r="H944" s="5">
        <v>0</v>
      </c>
    </row>
    <row r="945" spans="1:8" x14ac:dyDescent="0.55000000000000004">
      <c r="A945">
        <v>2019</v>
      </c>
      <c r="B945" t="s">
        <v>397</v>
      </c>
      <c r="C945" t="s">
        <v>970</v>
      </c>
      <c r="D945" s="6">
        <v>2385.5</v>
      </c>
      <c r="G945" s="8">
        <v>394940.59</v>
      </c>
      <c r="H945" s="5">
        <v>0</v>
      </c>
    </row>
    <row r="946" spans="1:8" x14ac:dyDescent="0.55000000000000004">
      <c r="A946">
        <v>2019</v>
      </c>
      <c r="B946" t="s">
        <v>396</v>
      </c>
      <c r="C946" t="s">
        <v>971</v>
      </c>
      <c r="D946" s="6">
        <v>141.69999999999999</v>
      </c>
      <c r="G946" s="8">
        <v>77796</v>
      </c>
      <c r="H946" s="5">
        <v>10507</v>
      </c>
    </row>
    <row r="947" spans="1:8" x14ac:dyDescent="0.55000000000000004">
      <c r="A947">
        <v>2019</v>
      </c>
      <c r="B947" t="s">
        <v>394</v>
      </c>
      <c r="C947" t="s">
        <v>972</v>
      </c>
      <c r="D947" s="6">
        <v>818.8</v>
      </c>
      <c r="G947" s="8">
        <v>445240.08999999997</v>
      </c>
      <c r="H947" s="5">
        <v>0</v>
      </c>
    </row>
    <row r="948" spans="1:8" x14ac:dyDescent="0.55000000000000004">
      <c r="A948">
        <v>2019</v>
      </c>
      <c r="B948" t="s">
        <v>393</v>
      </c>
      <c r="C948" t="s">
        <v>973</v>
      </c>
      <c r="D948" s="6">
        <v>877.1</v>
      </c>
      <c r="G948" s="8">
        <v>296033.61</v>
      </c>
      <c r="H948" s="5">
        <v>0</v>
      </c>
    </row>
    <row r="949" spans="1:8" x14ac:dyDescent="0.55000000000000004">
      <c r="A949">
        <v>2019</v>
      </c>
      <c r="B949" t="s">
        <v>392</v>
      </c>
      <c r="C949" t="s">
        <v>974</v>
      </c>
      <c r="D949" s="6">
        <v>631.1</v>
      </c>
      <c r="G949" s="8">
        <v>297053.57</v>
      </c>
      <c r="H949" s="5">
        <v>42151</v>
      </c>
    </row>
    <row r="950" spans="1:8" x14ac:dyDescent="0.55000000000000004">
      <c r="A950">
        <v>2019</v>
      </c>
      <c r="B950" t="s">
        <v>391</v>
      </c>
      <c r="C950" t="s">
        <v>975</v>
      </c>
      <c r="D950" s="6">
        <v>641</v>
      </c>
      <c r="G950" s="8">
        <v>356508.05000000005</v>
      </c>
      <c r="H950" s="5">
        <v>6835</v>
      </c>
    </row>
    <row r="951" spans="1:8" x14ac:dyDescent="0.55000000000000004">
      <c r="A951">
        <v>2019</v>
      </c>
      <c r="B951" t="s">
        <v>390</v>
      </c>
      <c r="C951" t="s">
        <v>976</v>
      </c>
      <c r="D951" s="6">
        <v>285.8</v>
      </c>
      <c r="G951" s="8">
        <v>155179.23000000001</v>
      </c>
      <c r="H951" s="5">
        <v>54640</v>
      </c>
    </row>
    <row r="952" spans="1:8" x14ac:dyDescent="0.55000000000000004">
      <c r="A952">
        <v>2019</v>
      </c>
      <c r="B952" t="s">
        <v>389</v>
      </c>
      <c r="C952" t="s">
        <v>977</v>
      </c>
      <c r="D952" s="6">
        <v>410</v>
      </c>
      <c r="G952" s="8">
        <v>118595.77</v>
      </c>
      <c r="H952" s="5">
        <v>0</v>
      </c>
    </row>
    <row r="953" spans="1:8" x14ac:dyDescent="0.55000000000000004">
      <c r="A953">
        <v>2019</v>
      </c>
      <c r="B953" t="s">
        <v>388</v>
      </c>
      <c r="C953" t="s">
        <v>978</v>
      </c>
      <c r="D953" s="6">
        <v>343</v>
      </c>
      <c r="G953" s="8">
        <v>244639.47999999998</v>
      </c>
      <c r="H953" s="5">
        <v>30496</v>
      </c>
    </row>
    <row r="954" spans="1:8" x14ac:dyDescent="0.55000000000000004">
      <c r="A954">
        <v>2019</v>
      </c>
      <c r="B954" t="s">
        <v>387</v>
      </c>
      <c r="C954" t="s">
        <v>979</v>
      </c>
      <c r="D954" s="6">
        <v>332.4</v>
      </c>
      <c r="G954" s="8">
        <v>172450.08</v>
      </c>
      <c r="H954" s="5">
        <v>13997</v>
      </c>
    </row>
    <row r="955" spans="1:8" x14ac:dyDescent="0.55000000000000004">
      <c r="A955">
        <v>2019</v>
      </c>
      <c r="B955" t="s">
        <v>386</v>
      </c>
      <c r="C955" t="s">
        <v>980</v>
      </c>
      <c r="D955" s="6">
        <v>135</v>
      </c>
      <c r="G955" s="8">
        <v>114610.44</v>
      </c>
      <c r="H955" s="5">
        <v>0</v>
      </c>
    </row>
    <row r="956" spans="1:8" x14ac:dyDescent="0.55000000000000004">
      <c r="A956">
        <v>2019</v>
      </c>
      <c r="B956" t="s">
        <v>385</v>
      </c>
      <c r="C956" t="s">
        <v>981</v>
      </c>
      <c r="D956" s="6">
        <v>719</v>
      </c>
      <c r="G956" s="8">
        <v>342994.27999999997</v>
      </c>
      <c r="H956" s="5">
        <v>1338</v>
      </c>
    </row>
    <row r="957" spans="1:8" x14ac:dyDescent="0.55000000000000004">
      <c r="A957">
        <v>2019</v>
      </c>
      <c r="B957" t="s">
        <v>384</v>
      </c>
      <c r="C957" t="s">
        <v>983</v>
      </c>
      <c r="D957" s="6">
        <v>1054.4000000000001</v>
      </c>
      <c r="G957" s="8">
        <v>449571.51999999996</v>
      </c>
      <c r="H957" s="5">
        <v>0</v>
      </c>
    </row>
    <row r="958" spans="1:8" x14ac:dyDescent="0.55000000000000004">
      <c r="A958">
        <v>2019</v>
      </c>
      <c r="B958" t="s">
        <v>383</v>
      </c>
      <c r="C958" t="s">
        <v>984</v>
      </c>
      <c r="D958" s="6">
        <v>393.4</v>
      </c>
      <c r="G958" s="8">
        <v>217618.79</v>
      </c>
      <c r="H958" s="5">
        <v>76863</v>
      </c>
    </row>
    <row r="959" spans="1:8" x14ac:dyDescent="0.55000000000000004">
      <c r="A959">
        <v>2019</v>
      </c>
      <c r="B959" t="s">
        <v>382</v>
      </c>
      <c r="C959" t="s">
        <v>985</v>
      </c>
      <c r="D959" s="6">
        <v>3372.5</v>
      </c>
      <c r="G959" s="8">
        <v>872417.42</v>
      </c>
      <c r="H959" s="5">
        <v>0</v>
      </c>
    </row>
    <row r="960" spans="1:8" x14ac:dyDescent="0.55000000000000004">
      <c r="A960">
        <v>2019</v>
      </c>
      <c r="B960" t="s">
        <v>380</v>
      </c>
      <c r="C960" t="s">
        <v>1321</v>
      </c>
      <c r="D960" s="6">
        <v>643</v>
      </c>
      <c r="G960" s="8">
        <v>542463.01</v>
      </c>
      <c r="H960" s="5">
        <v>223444</v>
      </c>
    </row>
    <row r="961" spans="1:8" x14ac:dyDescent="0.55000000000000004">
      <c r="A961">
        <v>2019</v>
      </c>
      <c r="B961" t="s">
        <v>379</v>
      </c>
      <c r="C961" t="s">
        <v>986</v>
      </c>
      <c r="D961" s="6">
        <v>724.3</v>
      </c>
      <c r="G961" s="8">
        <v>229965.36</v>
      </c>
      <c r="H961" s="5">
        <v>0</v>
      </c>
    </row>
    <row r="962" spans="1:8" x14ac:dyDescent="0.55000000000000004">
      <c r="A962">
        <v>2019</v>
      </c>
      <c r="B962" t="s">
        <v>378</v>
      </c>
      <c r="C962" t="s">
        <v>987</v>
      </c>
      <c r="D962" s="6">
        <v>303</v>
      </c>
      <c r="G962" s="8">
        <v>268278.43</v>
      </c>
      <c r="H962" s="5">
        <v>110988</v>
      </c>
    </row>
    <row r="963" spans="1:8" x14ac:dyDescent="0.55000000000000004">
      <c r="A963">
        <v>2019</v>
      </c>
      <c r="B963" t="s">
        <v>377</v>
      </c>
      <c r="C963" t="s">
        <v>988</v>
      </c>
      <c r="D963" s="6">
        <v>1505.6</v>
      </c>
      <c r="G963" s="8">
        <v>451528.91</v>
      </c>
      <c r="H963" s="5">
        <v>0</v>
      </c>
    </row>
    <row r="964" spans="1:8" x14ac:dyDescent="0.55000000000000004">
      <c r="A964">
        <v>2019</v>
      </c>
      <c r="B964" t="s">
        <v>376</v>
      </c>
      <c r="C964" t="s">
        <v>989</v>
      </c>
      <c r="D964" s="6">
        <v>482.1</v>
      </c>
      <c r="G964" s="8">
        <v>152581.59</v>
      </c>
      <c r="H964" s="5">
        <v>9467</v>
      </c>
    </row>
    <row r="965" spans="1:8" x14ac:dyDescent="0.55000000000000004">
      <c r="A965">
        <v>2019</v>
      </c>
      <c r="B965" t="s">
        <v>374</v>
      </c>
      <c r="C965" t="s">
        <v>990</v>
      </c>
      <c r="D965" s="6">
        <v>619.1</v>
      </c>
      <c r="G965" s="8">
        <v>145293.66</v>
      </c>
      <c r="H965" s="5">
        <v>0</v>
      </c>
    </row>
    <row r="966" spans="1:8" x14ac:dyDescent="0.55000000000000004">
      <c r="A966">
        <v>2019</v>
      </c>
      <c r="B966" t="s">
        <v>373</v>
      </c>
      <c r="C966" t="s">
        <v>991</v>
      </c>
      <c r="D966" s="6">
        <v>678.6</v>
      </c>
      <c r="G966" s="8">
        <v>162228.54</v>
      </c>
      <c r="H966" s="5">
        <v>0</v>
      </c>
    </row>
    <row r="967" spans="1:8" x14ac:dyDescent="0.55000000000000004">
      <c r="A967">
        <v>2019</v>
      </c>
      <c r="B967" t="s">
        <v>372</v>
      </c>
      <c r="C967" t="s">
        <v>992</v>
      </c>
      <c r="D967" s="6">
        <v>1713.9</v>
      </c>
      <c r="G967" s="8">
        <v>500050.27999999997</v>
      </c>
      <c r="H967" s="5">
        <v>0</v>
      </c>
    </row>
    <row r="968" spans="1:8" x14ac:dyDescent="0.55000000000000004">
      <c r="A968">
        <v>2019</v>
      </c>
      <c r="B968" t="s">
        <v>371</v>
      </c>
      <c r="C968" t="s">
        <v>993</v>
      </c>
      <c r="D968" s="6">
        <v>10772.6</v>
      </c>
      <c r="G968" s="8">
        <v>4271035.33</v>
      </c>
      <c r="H968" s="5">
        <v>0</v>
      </c>
    </row>
    <row r="969" spans="1:8" x14ac:dyDescent="0.55000000000000004">
      <c r="A969">
        <v>2019</v>
      </c>
      <c r="B969" t="s">
        <v>370</v>
      </c>
      <c r="C969" t="s">
        <v>994</v>
      </c>
      <c r="D969" s="6">
        <v>11197.2</v>
      </c>
      <c r="G969" s="8">
        <v>3184171.1</v>
      </c>
      <c r="H969" s="5">
        <v>0</v>
      </c>
    </row>
    <row r="970" spans="1:8" x14ac:dyDescent="0.55000000000000004">
      <c r="A970">
        <v>2019</v>
      </c>
      <c r="B970" t="s">
        <v>369</v>
      </c>
      <c r="C970" t="s">
        <v>995</v>
      </c>
      <c r="D970" s="6">
        <v>2115.9</v>
      </c>
      <c r="G970" s="8">
        <v>443807.79</v>
      </c>
      <c r="H970" s="5">
        <v>0</v>
      </c>
    </row>
    <row r="971" spans="1:8" x14ac:dyDescent="0.55000000000000004">
      <c r="A971">
        <v>2019</v>
      </c>
      <c r="B971" t="s">
        <v>368</v>
      </c>
      <c r="C971" t="s">
        <v>996</v>
      </c>
      <c r="D971" s="6">
        <v>572.29999999999995</v>
      </c>
      <c r="G971" s="8">
        <v>283765.56</v>
      </c>
      <c r="H971" s="5">
        <v>29322</v>
      </c>
    </row>
    <row r="972" spans="1:8" x14ac:dyDescent="0.55000000000000004">
      <c r="A972">
        <v>2019</v>
      </c>
      <c r="B972" t="s">
        <v>367</v>
      </c>
      <c r="C972" t="s">
        <v>997</v>
      </c>
      <c r="D972" s="6">
        <v>1530.6</v>
      </c>
      <c r="G972" s="8">
        <v>636141.27</v>
      </c>
      <c r="H972" s="5">
        <v>0</v>
      </c>
    </row>
    <row r="973" spans="1:8" x14ac:dyDescent="0.55000000000000004">
      <c r="A973">
        <v>2019</v>
      </c>
      <c r="B973" t="s">
        <v>366</v>
      </c>
      <c r="C973" t="s">
        <v>998</v>
      </c>
      <c r="D973" s="6">
        <v>284.39999999999998</v>
      </c>
      <c r="G973" s="8">
        <v>217288.84999999998</v>
      </c>
      <c r="H973" s="5">
        <v>39538</v>
      </c>
    </row>
    <row r="974" spans="1:8" x14ac:dyDescent="0.55000000000000004">
      <c r="A974">
        <v>2019</v>
      </c>
      <c r="B974" t="s">
        <v>365</v>
      </c>
      <c r="C974" t="s">
        <v>999</v>
      </c>
      <c r="D974" s="6">
        <v>736.2</v>
      </c>
      <c r="G974" s="8">
        <v>298915.15999999997</v>
      </c>
      <c r="H974" s="5">
        <v>0</v>
      </c>
    </row>
    <row r="975" spans="1:8" x14ac:dyDescent="0.55000000000000004">
      <c r="A975">
        <v>2019</v>
      </c>
      <c r="B975" t="s">
        <v>364</v>
      </c>
      <c r="C975" t="s">
        <v>1000</v>
      </c>
      <c r="D975" s="6">
        <v>473.3</v>
      </c>
      <c r="G975" s="8">
        <v>7129.67</v>
      </c>
      <c r="H975" s="5">
        <v>0</v>
      </c>
    </row>
    <row r="976" spans="1:8" x14ac:dyDescent="0.55000000000000004">
      <c r="A976">
        <v>2019</v>
      </c>
      <c r="B976" t="s">
        <v>363</v>
      </c>
      <c r="C976" t="s">
        <v>1001</v>
      </c>
      <c r="D976" s="6">
        <v>254</v>
      </c>
      <c r="G976" s="8">
        <v>110644.45</v>
      </c>
      <c r="H976" s="5">
        <v>0</v>
      </c>
    </row>
    <row r="977" spans="1:8" x14ac:dyDescent="0.55000000000000004">
      <c r="A977">
        <v>2019</v>
      </c>
      <c r="B977" t="s">
        <v>395</v>
      </c>
      <c r="C977" t="s">
        <v>1002</v>
      </c>
      <c r="D977" s="6">
        <v>962.4</v>
      </c>
      <c r="G977" s="8">
        <v>408458.94</v>
      </c>
      <c r="H977" s="5">
        <v>0</v>
      </c>
    </row>
    <row r="978" spans="1:8" x14ac:dyDescent="0.55000000000000004">
      <c r="A978">
        <v>2019</v>
      </c>
      <c r="B978" t="s">
        <v>362</v>
      </c>
      <c r="C978" t="s">
        <v>1003</v>
      </c>
      <c r="D978" s="6">
        <v>1438.5</v>
      </c>
      <c r="G978" s="8">
        <v>514357.12</v>
      </c>
      <c r="H978" s="5">
        <v>0</v>
      </c>
    </row>
    <row r="979" spans="1:8" x14ac:dyDescent="0.55000000000000004">
      <c r="A979">
        <v>2019</v>
      </c>
      <c r="B979" t="s">
        <v>361</v>
      </c>
      <c r="C979" t="s">
        <v>1004</v>
      </c>
      <c r="D979" s="6">
        <v>8936.9000000000015</v>
      </c>
      <c r="G979" s="8">
        <v>2333048.0299999998</v>
      </c>
      <c r="H979" s="5">
        <v>0</v>
      </c>
    </row>
    <row r="980" spans="1:8" x14ac:dyDescent="0.55000000000000004">
      <c r="A980">
        <v>2019</v>
      </c>
      <c r="B980" t="s">
        <v>421</v>
      </c>
      <c r="C980" t="s">
        <v>1005</v>
      </c>
      <c r="D980" s="6">
        <v>704</v>
      </c>
      <c r="G980" s="8">
        <v>425406.83</v>
      </c>
      <c r="H980" s="5">
        <v>34630</v>
      </c>
    </row>
    <row r="981" spans="1:8" x14ac:dyDescent="0.55000000000000004">
      <c r="A981">
        <v>2019</v>
      </c>
      <c r="B981" t="s">
        <v>644</v>
      </c>
      <c r="C981" t="s">
        <v>1006</v>
      </c>
      <c r="D981" s="6">
        <v>539.09999999999991</v>
      </c>
      <c r="G981" s="8">
        <v>252608.01</v>
      </c>
      <c r="H981" s="5">
        <v>0</v>
      </c>
    </row>
    <row r="982" spans="1:8" x14ac:dyDescent="0.55000000000000004">
      <c r="A982">
        <v>2019</v>
      </c>
      <c r="B982" t="s">
        <v>359</v>
      </c>
      <c r="C982" t="s">
        <v>1007</v>
      </c>
      <c r="D982" s="6">
        <v>341.7</v>
      </c>
      <c r="G982" s="8">
        <v>155437.6</v>
      </c>
      <c r="H982" s="5">
        <v>26126</v>
      </c>
    </row>
    <row r="983" spans="1:8" x14ac:dyDescent="0.55000000000000004">
      <c r="A983">
        <v>2019</v>
      </c>
      <c r="B983" t="s">
        <v>358</v>
      </c>
      <c r="C983" t="s">
        <v>1008</v>
      </c>
      <c r="D983" s="6">
        <v>1332.8</v>
      </c>
      <c r="G983" s="8">
        <v>239732.34</v>
      </c>
      <c r="H983" s="5">
        <v>0</v>
      </c>
    </row>
    <row r="984" spans="1:8" x14ac:dyDescent="0.55000000000000004">
      <c r="A984">
        <v>2019</v>
      </c>
      <c r="B984" t="s">
        <v>357</v>
      </c>
      <c r="C984" t="s">
        <v>1009</v>
      </c>
      <c r="D984" s="6">
        <v>938.2</v>
      </c>
      <c r="G984" s="8">
        <v>539822.21</v>
      </c>
      <c r="H984" s="5">
        <v>35742</v>
      </c>
    </row>
    <row r="985" spans="1:8" x14ac:dyDescent="0.55000000000000004">
      <c r="A985">
        <v>2019</v>
      </c>
      <c r="B985" t="s">
        <v>356</v>
      </c>
      <c r="C985" t="s">
        <v>1010</v>
      </c>
      <c r="D985" s="6">
        <v>870.1</v>
      </c>
      <c r="G985" s="8">
        <v>415487.23000000004</v>
      </c>
      <c r="H985" s="5">
        <v>56642</v>
      </c>
    </row>
    <row r="986" spans="1:8" x14ac:dyDescent="0.55000000000000004">
      <c r="A986">
        <v>2019</v>
      </c>
      <c r="B986" t="s">
        <v>355</v>
      </c>
      <c r="C986" t="s">
        <v>1011</v>
      </c>
      <c r="D986" s="6">
        <v>629.9</v>
      </c>
      <c r="G986" s="8">
        <v>265492.15000000002</v>
      </c>
      <c r="H986" s="5">
        <v>0</v>
      </c>
    </row>
    <row r="987" spans="1:8" x14ac:dyDescent="0.55000000000000004">
      <c r="A987">
        <v>2019</v>
      </c>
      <c r="B987" t="s">
        <v>354</v>
      </c>
      <c r="C987" t="s">
        <v>1012</v>
      </c>
      <c r="D987" s="6">
        <v>827.8</v>
      </c>
      <c r="G987" s="8">
        <v>325180.13</v>
      </c>
      <c r="H987" s="5">
        <v>0</v>
      </c>
    </row>
    <row r="988" spans="1:8" x14ac:dyDescent="0.55000000000000004">
      <c r="A988">
        <v>2019</v>
      </c>
      <c r="B988" t="s">
        <v>360</v>
      </c>
      <c r="C988" t="s">
        <v>1013</v>
      </c>
      <c r="D988" s="6">
        <v>3089.2999999999997</v>
      </c>
      <c r="G988" s="8">
        <v>1591462.6099999999</v>
      </c>
      <c r="H988" s="5">
        <v>206947</v>
      </c>
    </row>
    <row r="989" spans="1:8" x14ac:dyDescent="0.55000000000000004">
      <c r="A989">
        <v>2019</v>
      </c>
      <c r="B989" t="s">
        <v>353</v>
      </c>
      <c r="C989" t="s">
        <v>1014</v>
      </c>
      <c r="D989" s="6">
        <v>563.5</v>
      </c>
      <c r="G989" s="8">
        <v>445530.19</v>
      </c>
      <c r="H989" s="5">
        <v>165137</v>
      </c>
    </row>
    <row r="990" spans="1:8" x14ac:dyDescent="0.55000000000000004">
      <c r="A990">
        <v>2019</v>
      </c>
      <c r="B990" t="s">
        <v>352</v>
      </c>
      <c r="C990" t="s">
        <v>1015</v>
      </c>
      <c r="D990" s="6">
        <v>204.3</v>
      </c>
      <c r="G990" s="8">
        <v>49652.88</v>
      </c>
      <c r="H990" s="5">
        <v>0</v>
      </c>
    </row>
    <row r="991" spans="1:8" x14ac:dyDescent="0.55000000000000004">
      <c r="A991">
        <v>2019</v>
      </c>
      <c r="B991" t="s">
        <v>351</v>
      </c>
      <c r="C991" t="s">
        <v>1016</v>
      </c>
      <c r="D991" s="6">
        <v>1100.4000000000001</v>
      </c>
      <c r="G991" s="8">
        <v>497096.61</v>
      </c>
      <c r="H991" s="5">
        <v>0</v>
      </c>
    </row>
    <row r="992" spans="1:8" x14ac:dyDescent="0.55000000000000004">
      <c r="A992">
        <v>2019</v>
      </c>
      <c r="B992" t="s">
        <v>350</v>
      </c>
      <c r="C992" t="s">
        <v>1017</v>
      </c>
      <c r="D992" s="6">
        <v>838.3</v>
      </c>
      <c r="G992" s="8">
        <v>199399.58</v>
      </c>
      <c r="H992" s="5">
        <v>0</v>
      </c>
    </row>
    <row r="993" spans="1:8" x14ac:dyDescent="0.55000000000000004">
      <c r="A993">
        <v>2019</v>
      </c>
      <c r="B993" t="s">
        <v>349</v>
      </c>
      <c r="C993" t="s">
        <v>1018</v>
      </c>
      <c r="D993" s="6">
        <v>321.3</v>
      </c>
      <c r="G993" s="8">
        <v>100250.6</v>
      </c>
      <c r="H993" s="5">
        <v>0</v>
      </c>
    </row>
    <row r="994" spans="1:8" x14ac:dyDescent="0.55000000000000004">
      <c r="A994">
        <v>2019</v>
      </c>
      <c r="B994" t="s">
        <v>348</v>
      </c>
      <c r="C994" t="s">
        <v>1019</v>
      </c>
      <c r="D994" s="6">
        <v>1717.9</v>
      </c>
      <c r="G994" s="8">
        <v>771937.34000000008</v>
      </c>
      <c r="H994" s="5">
        <v>0</v>
      </c>
    </row>
    <row r="995" spans="1:8" x14ac:dyDescent="0.55000000000000004">
      <c r="A995">
        <v>2019</v>
      </c>
      <c r="B995" t="s">
        <v>347</v>
      </c>
      <c r="C995" t="s">
        <v>1020</v>
      </c>
      <c r="D995" s="6">
        <v>466</v>
      </c>
      <c r="G995" s="8">
        <v>156888.51</v>
      </c>
      <c r="H995" s="5">
        <v>0</v>
      </c>
    </row>
    <row r="996" spans="1:8" x14ac:dyDescent="0.55000000000000004">
      <c r="A996">
        <v>2019</v>
      </c>
      <c r="B996" t="s">
        <v>346</v>
      </c>
      <c r="C996" t="s">
        <v>1021</v>
      </c>
      <c r="D996" s="6">
        <v>550.6</v>
      </c>
      <c r="G996" s="8">
        <v>300075.90000000002</v>
      </c>
      <c r="H996" s="5">
        <v>17665</v>
      </c>
    </row>
    <row r="997" spans="1:8" x14ac:dyDescent="0.55000000000000004">
      <c r="A997">
        <v>2019</v>
      </c>
      <c r="B997" t="s">
        <v>345</v>
      </c>
      <c r="C997" t="s">
        <v>1022</v>
      </c>
      <c r="D997" s="6">
        <v>934.5</v>
      </c>
      <c r="G997" s="8">
        <v>384522.29</v>
      </c>
      <c r="H997" s="5">
        <v>0</v>
      </c>
    </row>
    <row r="998" spans="1:8" x14ac:dyDescent="0.55000000000000004">
      <c r="A998">
        <v>2020</v>
      </c>
      <c r="B998" t="s">
        <v>682</v>
      </c>
      <c r="C998" t="s">
        <v>18</v>
      </c>
      <c r="H998" s="5">
        <v>167883</v>
      </c>
    </row>
    <row r="999" spans="1:8" x14ac:dyDescent="0.55000000000000004">
      <c r="A999">
        <v>2020</v>
      </c>
      <c r="B999" t="s">
        <v>681</v>
      </c>
      <c r="C999" t="s">
        <v>1208</v>
      </c>
      <c r="H999" s="5">
        <v>0</v>
      </c>
    </row>
    <row r="1000" spans="1:8" x14ac:dyDescent="0.55000000000000004">
      <c r="A1000">
        <v>2020</v>
      </c>
      <c r="B1000" t="s">
        <v>683</v>
      </c>
      <c r="C1000" t="s">
        <v>17</v>
      </c>
      <c r="H1000" s="5">
        <v>133774</v>
      </c>
    </row>
    <row r="1001" spans="1:8" x14ac:dyDescent="0.55000000000000004">
      <c r="A1001">
        <v>2020</v>
      </c>
      <c r="B1001" t="s">
        <v>661</v>
      </c>
      <c r="C1001" t="s">
        <v>691</v>
      </c>
      <c r="H1001" s="5">
        <v>118282</v>
      </c>
    </row>
    <row r="1002" spans="1:8" x14ac:dyDescent="0.55000000000000004">
      <c r="A1002">
        <v>2020</v>
      </c>
      <c r="B1002" t="s">
        <v>680</v>
      </c>
      <c r="C1002" t="s">
        <v>1209</v>
      </c>
      <c r="H1002" s="5">
        <v>111578</v>
      </c>
    </row>
    <row r="1003" spans="1:8" x14ac:dyDescent="0.55000000000000004">
      <c r="A1003">
        <v>2020</v>
      </c>
      <c r="B1003" t="s">
        <v>679</v>
      </c>
      <c r="C1003" t="s">
        <v>21</v>
      </c>
      <c r="H1003" s="5">
        <v>101808</v>
      </c>
    </row>
    <row r="1004" spans="1:8" x14ac:dyDescent="0.55000000000000004">
      <c r="A1004">
        <v>2020</v>
      </c>
      <c r="B1004" t="s">
        <v>678</v>
      </c>
      <c r="C1004" t="s">
        <v>22</v>
      </c>
      <c r="H1004" s="5">
        <v>0</v>
      </c>
    </row>
    <row r="1005" spans="1:8" x14ac:dyDescent="0.55000000000000004">
      <c r="A1005">
        <v>2020</v>
      </c>
      <c r="B1005" t="s">
        <v>677</v>
      </c>
      <c r="C1005" t="s">
        <v>23</v>
      </c>
      <c r="H1005" s="5">
        <v>80256</v>
      </c>
    </row>
    <row r="1006" spans="1:8" x14ac:dyDescent="0.55000000000000004">
      <c r="A1006">
        <v>2020</v>
      </c>
      <c r="B1006" t="s">
        <v>676</v>
      </c>
      <c r="C1006" t="s">
        <v>24</v>
      </c>
      <c r="H1006" s="5">
        <v>40663</v>
      </c>
    </row>
    <row r="1007" spans="1:8" x14ac:dyDescent="0.55000000000000004">
      <c r="A1007">
        <v>2020</v>
      </c>
      <c r="B1007" t="s">
        <v>675</v>
      </c>
      <c r="C1007" t="s">
        <v>25</v>
      </c>
      <c r="H1007" s="5">
        <v>2009</v>
      </c>
    </row>
    <row r="1008" spans="1:8" x14ac:dyDescent="0.55000000000000004">
      <c r="A1008">
        <v>2020</v>
      </c>
      <c r="B1008" t="s">
        <v>674</v>
      </c>
      <c r="C1008" t="s">
        <v>26</v>
      </c>
      <c r="H1008" s="5">
        <v>323685</v>
      </c>
    </row>
    <row r="1009" spans="1:8" x14ac:dyDescent="0.55000000000000004">
      <c r="A1009">
        <v>2020</v>
      </c>
      <c r="B1009" t="s">
        <v>672</v>
      </c>
      <c r="C1009" t="s">
        <v>1210</v>
      </c>
      <c r="H1009" s="5">
        <v>73676</v>
      </c>
    </row>
    <row r="1010" spans="1:8" x14ac:dyDescent="0.55000000000000004">
      <c r="A1010">
        <v>2020</v>
      </c>
      <c r="B1010" t="s">
        <v>671</v>
      </c>
      <c r="C1010" t="s">
        <v>28</v>
      </c>
      <c r="H1010" s="5">
        <v>384283</v>
      </c>
    </row>
    <row r="1011" spans="1:8" x14ac:dyDescent="0.55000000000000004">
      <c r="A1011">
        <v>2020</v>
      </c>
      <c r="B1011" t="s">
        <v>670</v>
      </c>
      <c r="C1011" t="s">
        <v>29</v>
      </c>
      <c r="H1011" s="5">
        <v>0</v>
      </c>
    </row>
    <row r="1012" spans="1:8" x14ac:dyDescent="0.55000000000000004">
      <c r="A1012">
        <v>2020</v>
      </c>
      <c r="B1012" t="s">
        <v>669</v>
      </c>
      <c r="C1012" t="s">
        <v>30</v>
      </c>
      <c r="H1012" s="5">
        <v>84781</v>
      </c>
    </row>
    <row r="1013" spans="1:8" x14ac:dyDescent="0.55000000000000004">
      <c r="A1013">
        <v>2020</v>
      </c>
      <c r="B1013" t="s">
        <v>668</v>
      </c>
      <c r="C1013" t="s">
        <v>31</v>
      </c>
      <c r="H1013" s="5">
        <v>0</v>
      </c>
    </row>
    <row r="1014" spans="1:8" x14ac:dyDescent="0.55000000000000004">
      <c r="A1014">
        <v>2020</v>
      </c>
      <c r="B1014" t="s">
        <v>667</v>
      </c>
      <c r="C1014" t="s">
        <v>32</v>
      </c>
      <c r="H1014" s="5">
        <v>0</v>
      </c>
    </row>
    <row r="1015" spans="1:8" x14ac:dyDescent="0.55000000000000004">
      <c r="A1015">
        <v>2020</v>
      </c>
      <c r="B1015" t="s">
        <v>665</v>
      </c>
      <c r="C1015" t="s">
        <v>33</v>
      </c>
      <c r="H1015" s="5">
        <v>38927</v>
      </c>
    </row>
    <row r="1016" spans="1:8" x14ac:dyDescent="0.55000000000000004">
      <c r="A1016">
        <v>2020</v>
      </c>
      <c r="B1016" t="s">
        <v>664</v>
      </c>
      <c r="C1016" t="s">
        <v>34</v>
      </c>
      <c r="H1016" s="5">
        <v>0</v>
      </c>
    </row>
    <row r="1017" spans="1:8" x14ac:dyDescent="0.55000000000000004">
      <c r="A1017">
        <v>2020</v>
      </c>
      <c r="B1017" t="s">
        <v>663</v>
      </c>
      <c r="C1017" t="s">
        <v>35</v>
      </c>
      <c r="H1017" s="5">
        <v>8851</v>
      </c>
    </row>
    <row r="1018" spans="1:8" x14ac:dyDescent="0.55000000000000004">
      <c r="A1018">
        <v>2020</v>
      </c>
      <c r="B1018" t="s">
        <v>660</v>
      </c>
      <c r="C1018" t="s">
        <v>37</v>
      </c>
      <c r="H1018" s="5">
        <v>18349</v>
      </c>
    </row>
    <row r="1019" spans="1:8" x14ac:dyDescent="0.55000000000000004">
      <c r="A1019">
        <v>2020</v>
      </c>
      <c r="B1019" t="s">
        <v>658</v>
      </c>
      <c r="C1019" t="s">
        <v>39</v>
      </c>
      <c r="H1019" s="5">
        <v>3565</v>
      </c>
    </row>
    <row r="1020" spans="1:8" x14ac:dyDescent="0.55000000000000004">
      <c r="A1020">
        <v>2020</v>
      </c>
      <c r="B1020" t="s">
        <v>657</v>
      </c>
      <c r="C1020" t="s">
        <v>40</v>
      </c>
      <c r="H1020" s="5">
        <v>128778</v>
      </c>
    </row>
    <row r="1021" spans="1:8" x14ac:dyDescent="0.55000000000000004">
      <c r="A1021">
        <v>2020</v>
      </c>
      <c r="B1021" t="s">
        <v>656</v>
      </c>
      <c r="C1021" t="s">
        <v>41</v>
      </c>
      <c r="H1021" s="5">
        <v>6311</v>
      </c>
    </row>
    <row r="1022" spans="1:8" x14ac:dyDescent="0.55000000000000004">
      <c r="A1022">
        <v>2020</v>
      </c>
      <c r="B1022" t="s">
        <v>655</v>
      </c>
      <c r="C1022" t="s">
        <v>42</v>
      </c>
      <c r="H1022" s="5">
        <v>16140</v>
      </c>
    </row>
    <row r="1023" spans="1:8" x14ac:dyDescent="0.55000000000000004">
      <c r="A1023">
        <v>2020</v>
      </c>
      <c r="B1023" t="s">
        <v>654</v>
      </c>
      <c r="C1023" t="s">
        <v>43</v>
      </c>
      <c r="H1023" s="5">
        <v>21223</v>
      </c>
    </row>
    <row r="1024" spans="1:8" x14ac:dyDescent="0.55000000000000004">
      <c r="A1024">
        <v>2020</v>
      </c>
      <c r="B1024" t="s">
        <v>653</v>
      </c>
      <c r="C1024" t="s">
        <v>44</v>
      </c>
      <c r="H1024" s="5">
        <v>0</v>
      </c>
    </row>
    <row r="1025" spans="1:8" x14ac:dyDescent="0.55000000000000004">
      <c r="A1025">
        <v>2020</v>
      </c>
      <c r="B1025" t="s">
        <v>652</v>
      </c>
      <c r="C1025" t="s">
        <v>45</v>
      </c>
      <c r="H1025" s="5">
        <v>60785</v>
      </c>
    </row>
    <row r="1026" spans="1:8" x14ac:dyDescent="0.55000000000000004">
      <c r="A1026">
        <v>2020</v>
      </c>
      <c r="B1026" t="s">
        <v>651</v>
      </c>
      <c r="C1026" t="s">
        <v>46</v>
      </c>
      <c r="H1026" s="5">
        <v>226398</v>
      </c>
    </row>
    <row r="1027" spans="1:8" x14ac:dyDescent="0.55000000000000004">
      <c r="A1027">
        <v>2020</v>
      </c>
      <c r="B1027" t="s">
        <v>650</v>
      </c>
      <c r="C1027" t="s">
        <v>47</v>
      </c>
      <c r="H1027" s="5">
        <v>0</v>
      </c>
    </row>
    <row r="1028" spans="1:8" x14ac:dyDescent="0.55000000000000004">
      <c r="A1028">
        <v>2020</v>
      </c>
      <c r="B1028" t="s">
        <v>647</v>
      </c>
      <c r="C1028" t="s">
        <v>48</v>
      </c>
      <c r="H1028" s="5">
        <v>0</v>
      </c>
    </row>
    <row r="1029" spans="1:8" x14ac:dyDescent="0.55000000000000004">
      <c r="A1029">
        <v>2020</v>
      </c>
      <c r="B1029" t="s">
        <v>646</v>
      </c>
      <c r="C1029" t="s">
        <v>49</v>
      </c>
      <c r="H1029" s="5">
        <v>0</v>
      </c>
    </row>
    <row r="1030" spans="1:8" x14ac:dyDescent="0.55000000000000004">
      <c r="A1030">
        <v>2020</v>
      </c>
      <c r="B1030" t="s">
        <v>645</v>
      </c>
      <c r="C1030" t="s">
        <v>50</v>
      </c>
      <c r="H1030" s="5">
        <v>0</v>
      </c>
    </row>
    <row r="1031" spans="1:8" x14ac:dyDescent="0.55000000000000004">
      <c r="A1031">
        <v>2020</v>
      </c>
      <c r="B1031" t="s">
        <v>586</v>
      </c>
      <c r="C1031" t="s">
        <v>102</v>
      </c>
      <c r="H1031" s="5">
        <v>50976</v>
      </c>
    </row>
    <row r="1032" spans="1:8" x14ac:dyDescent="0.55000000000000004">
      <c r="A1032">
        <v>2020</v>
      </c>
      <c r="B1032" t="s">
        <v>643</v>
      </c>
      <c r="C1032" t="s">
        <v>52</v>
      </c>
      <c r="H1032" s="5">
        <v>0</v>
      </c>
    </row>
    <row r="1033" spans="1:8" x14ac:dyDescent="0.55000000000000004">
      <c r="A1033">
        <v>2020</v>
      </c>
      <c r="B1033" t="s">
        <v>641</v>
      </c>
      <c r="C1033" t="s">
        <v>54</v>
      </c>
      <c r="H1033" s="5">
        <v>0</v>
      </c>
    </row>
    <row r="1034" spans="1:8" x14ac:dyDescent="0.55000000000000004">
      <c r="A1034">
        <v>2020</v>
      </c>
      <c r="B1034" t="s">
        <v>638</v>
      </c>
      <c r="C1034" t="s">
        <v>55</v>
      </c>
      <c r="H1034" s="5">
        <v>2079</v>
      </c>
    </row>
    <row r="1035" spans="1:8" x14ac:dyDescent="0.55000000000000004">
      <c r="A1035">
        <v>2020</v>
      </c>
      <c r="B1035" t="s">
        <v>637</v>
      </c>
      <c r="C1035" t="s">
        <v>56</v>
      </c>
      <c r="H1035" s="5">
        <v>62649</v>
      </c>
    </row>
    <row r="1036" spans="1:8" x14ac:dyDescent="0.55000000000000004">
      <c r="A1036">
        <v>2020</v>
      </c>
      <c r="B1036" t="s">
        <v>640</v>
      </c>
      <c r="C1036" t="s">
        <v>639</v>
      </c>
      <c r="H1036" s="5">
        <v>129955</v>
      </c>
    </row>
    <row r="1037" spans="1:8" x14ac:dyDescent="0.55000000000000004">
      <c r="A1037">
        <v>2020</v>
      </c>
      <c r="B1037" t="s">
        <v>636</v>
      </c>
      <c r="C1037" t="s">
        <v>57</v>
      </c>
      <c r="H1037" s="5">
        <v>0</v>
      </c>
    </row>
    <row r="1038" spans="1:8" x14ac:dyDescent="0.55000000000000004">
      <c r="A1038">
        <v>2020</v>
      </c>
      <c r="B1038" t="s">
        <v>635</v>
      </c>
      <c r="C1038" t="s">
        <v>58</v>
      </c>
      <c r="H1038" s="5">
        <v>291521</v>
      </c>
    </row>
    <row r="1039" spans="1:8" x14ac:dyDescent="0.55000000000000004">
      <c r="A1039">
        <v>2020</v>
      </c>
      <c r="B1039" t="s">
        <v>634</v>
      </c>
      <c r="C1039" t="s">
        <v>59</v>
      </c>
      <c r="H1039" s="5">
        <v>10967</v>
      </c>
    </row>
    <row r="1040" spans="1:8" x14ac:dyDescent="0.55000000000000004">
      <c r="A1040">
        <v>2020</v>
      </c>
      <c r="B1040" t="s">
        <v>633</v>
      </c>
      <c r="C1040" t="s">
        <v>60</v>
      </c>
      <c r="H1040" s="5">
        <v>151420</v>
      </c>
    </row>
    <row r="1041" spans="1:8" x14ac:dyDescent="0.55000000000000004">
      <c r="A1041">
        <v>2020</v>
      </c>
      <c r="B1041" t="s">
        <v>632</v>
      </c>
      <c r="C1041" t="s">
        <v>61</v>
      </c>
      <c r="H1041" s="5">
        <v>0</v>
      </c>
    </row>
    <row r="1042" spans="1:8" x14ac:dyDescent="0.55000000000000004">
      <c r="A1042">
        <v>2020</v>
      </c>
      <c r="B1042" t="s">
        <v>631</v>
      </c>
      <c r="C1042" t="s">
        <v>62</v>
      </c>
      <c r="H1042" s="5">
        <v>0</v>
      </c>
    </row>
    <row r="1043" spans="1:8" x14ac:dyDescent="0.55000000000000004">
      <c r="A1043">
        <v>2020</v>
      </c>
      <c r="B1043" t="s">
        <v>630</v>
      </c>
      <c r="C1043" t="s">
        <v>63</v>
      </c>
      <c r="H1043" s="5">
        <v>0</v>
      </c>
    </row>
    <row r="1044" spans="1:8" x14ac:dyDescent="0.55000000000000004">
      <c r="A1044">
        <v>2020</v>
      </c>
      <c r="B1044" t="s">
        <v>629</v>
      </c>
      <c r="C1044" t="s">
        <v>64</v>
      </c>
      <c r="H1044" s="5">
        <v>0</v>
      </c>
    </row>
    <row r="1045" spans="1:8" x14ac:dyDescent="0.55000000000000004">
      <c r="A1045">
        <v>2020</v>
      </c>
      <c r="B1045" t="s">
        <v>624</v>
      </c>
      <c r="C1045" t="s">
        <v>67</v>
      </c>
      <c r="H1045" s="5">
        <v>0</v>
      </c>
    </row>
    <row r="1046" spans="1:8" x14ac:dyDescent="0.55000000000000004">
      <c r="A1046">
        <v>2020</v>
      </c>
      <c r="B1046" t="s">
        <v>627</v>
      </c>
      <c r="C1046" t="s">
        <v>1211</v>
      </c>
      <c r="H1046" s="5">
        <v>128993</v>
      </c>
    </row>
    <row r="1047" spans="1:8" x14ac:dyDescent="0.55000000000000004">
      <c r="A1047">
        <v>2020</v>
      </c>
      <c r="B1047" t="s">
        <v>626</v>
      </c>
      <c r="C1047" t="s">
        <v>1212</v>
      </c>
      <c r="H1047" s="5">
        <v>0</v>
      </c>
    </row>
    <row r="1048" spans="1:8" x14ac:dyDescent="0.55000000000000004">
      <c r="A1048">
        <v>2020</v>
      </c>
      <c r="B1048" t="s">
        <v>623</v>
      </c>
      <c r="C1048" t="s">
        <v>68</v>
      </c>
      <c r="H1048" s="5">
        <v>300186</v>
      </c>
    </row>
    <row r="1049" spans="1:8" x14ac:dyDescent="0.55000000000000004">
      <c r="A1049">
        <v>2020</v>
      </c>
      <c r="B1049" t="s">
        <v>628</v>
      </c>
      <c r="C1049" t="s">
        <v>65</v>
      </c>
      <c r="H1049" s="5">
        <v>222736</v>
      </c>
    </row>
    <row r="1050" spans="1:8" x14ac:dyDescent="0.55000000000000004">
      <c r="A1050">
        <v>2020</v>
      </c>
      <c r="B1050" t="s">
        <v>622</v>
      </c>
      <c r="C1050" t="s">
        <v>69</v>
      </c>
      <c r="H1050" s="5">
        <v>0</v>
      </c>
    </row>
    <row r="1051" spans="1:8" x14ac:dyDescent="0.55000000000000004">
      <c r="A1051">
        <v>2020</v>
      </c>
      <c r="B1051" t="s">
        <v>468</v>
      </c>
      <c r="C1051" t="s">
        <v>332</v>
      </c>
      <c r="H1051" s="5">
        <v>136718</v>
      </c>
    </row>
    <row r="1052" spans="1:8" x14ac:dyDescent="0.55000000000000004">
      <c r="A1052">
        <v>2020</v>
      </c>
      <c r="B1052" t="s">
        <v>621</v>
      </c>
      <c r="C1052" t="s">
        <v>70</v>
      </c>
      <c r="H1052" s="5">
        <v>63628</v>
      </c>
    </row>
    <row r="1053" spans="1:8" x14ac:dyDescent="0.55000000000000004">
      <c r="A1053">
        <v>2020</v>
      </c>
      <c r="B1053" t="s">
        <v>620</v>
      </c>
      <c r="C1053" t="s">
        <v>71</v>
      </c>
      <c r="H1053" s="5">
        <v>0</v>
      </c>
    </row>
    <row r="1054" spans="1:8" x14ac:dyDescent="0.55000000000000004">
      <c r="A1054">
        <v>2020</v>
      </c>
      <c r="B1054" t="s">
        <v>619</v>
      </c>
      <c r="C1054" t="s">
        <v>72</v>
      </c>
      <c r="H1054" s="5">
        <v>102026</v>
      </c>
    </row>
    <row r="1055" spans="1:8" x14ac:dyDescent="0.55000000000000004">
      <c r="A1055">
        <v>2020</v>
      </c>
      <c r="B1055" t="s">
        <v>618</v>
      </c>
      <c r="C1055" t="s">
        <v>73</v>
      </c>
      <c r="H1055" s="5">
        <v>0</v>
      </c>
    </row>
    <row r="1056" spans="1:8" x14ac:dyDescent="0.55000000000000004">
      <c r="A1056">
        <v>2020</v>
      </c>
      <c r="B1056" t="s">
        <v>617</v>
      </c>
      <c r="C1056" t="s">
        <v>74</v>
      </c>
      <c r="H1056" s="5">
        <v>0</v>
      </c>
    </row>
    <row r="1057" spans="1:8" x14ac:dyDescent="0.55000000000000004">
      <c r="A1057">
        <v>2020</v>
      </c>
      <c r="B1057" t="s">
        <v>616</v>
      </c>
      <c r="C1057" t="s">
        <v>344</v>
      </c>
      <c r="H1057" s="5">
        <v>263908</v>
      </c>
    </row>
    <row r="1058" spans="1:8" x14ac:dyDescent="0.55000000000000004">
      <c r="A1058">
        <v>2020</v>
      </c>
      <c r="B1058" t="s">
        <v>615</v>
      </c>
      <c r="C1058" t="s">
        <v>75</v>
      </c>
      <c r="H1058" s="5">
        <v>136593</v>
      </c>
    </row>
    <row r="1059" spans="1:8" x14ac:dyDescent="0.55000000000000004">
      <c r="A1059">
        <v>2020</v>
      </c>
      <c r="B1059" t="s">
        <v>614</v>
      </c>
      <c r="C1059" t="s">
        <v>76</v>
      </c>
      <c r="H1059" s="5">
        <v>0</v>
      </c>
    </row>
    <row r="1060" spans="1:8" x14ac:dyDescent="0.55000000000000004">
      <c r="A1060">
        <v>2020</v>
      </c>
      <c r="B1060" t="s">
        <v>613</v>
      </c>
      <c r="C1060" t="s">
        <v>77</v>
      </c>
      <c r="H1060" s="5">
        <v>4881</v>
      </c>
    </row>
    <row r="1061" spans="1:8" x14ac:dyDescent="0.55000000000000004">
      <c r="A1061">
        <v>2020</v>
      </c>
      <c r="B1061" t="s">
        <v>547</v>
      </c>
      <c r="C1061" t="s">
        <v>136</v>
      </c>
      <c r="H1061" s="5">
        <v>142916</v>
      </c>
    </row>
    <row r="1062" spans="1:8" x14ac:dyDescent="0.55000000000000004">
      <c r="A1062">
        <v>2020</v>
      </c>
      <c r="B1062" t="s">
        <v>612</v>
      </c>
      <c r="C1062" t="s">
        <v>1213</v>
      </c>
      <c r="H1062" s="5">
        <v>0</v>
      </c>
    </row>
    <row r="1063" spans="1:8" x14ac:dyDescent="0.55000000000000004">
      <c r="A1063">
        <v>2020</v>
      </c>
      <c r="B1063" t="s">
        <v>611</v>
      </c>
      <c r="C1063" t="s">
        <v>79</v>
      </c>
      <c r="H1063" s="5">
        <v>0</v>
      </c>
    </row>
    <row r="1064" spans="1:8" x14ac:dyDescent="0.55000000000000004">
      <c r="A1064">
        <v>2020</v>
      </c>
      <c r="B1064" t="s">
        <v>610</v>
      </c>
      <c r="C1064" t="s">
        <v>80</v>
      </c>
      <c r="H1064" s="5">
        <v>0</v>
      </c>
    </row>
    <row r="1065" spans="1:8" x14ac:dyDescent="0.55000000000000004">
      <c r="A1065">
        <v>2020</v>
      </c>
      <c r="B1065" t="s">
        <v>609</v>
      </c>
      <c r="C1065" t="s">
        <v>81</v>
      </c>
      <c r="H1065" s="5">
        <v>0</v>
      </c>
    </row>
    <row r="1066" spans="1:8" x14ac:dyDescent="0.55000000000000004">
      <c r="A1066">
        <v>2020</v>
      </c>
      <c r="B1066" t="s">
        <v>608</v>
      </c>
      <c r="C1066" t="s">
        <v>1214</v>
      </c>
      <c r="H1066" s="5">
        <v>287006</v>
      </c>
    </row>
    <row r="1067" spans="1:8" x14ac:dyDescent="0.55000000000000004">
      <c r="A1067">
        <v>2020</v>
      </c>
      <c r="B1067" t="s">
        <v>607</v>
      </c>
      <c r="C1067" t="s">
        <v>83</v>
      </c>
      <c r="H1067" s="5">
        <v>0</v>
      </c>
    </row>
    <row r="1068" spans="1:8" x14ac:dyDescent="0.55000000000000004">
      <c r="A1068">
        <v>2020</v>
      </c>
      <c r="B1068" t="s">
        <v>606</v>
      </c>
      <c r="C1068" t="s">
        <v>1215</v>
      </c>
      <c r="H1068" s="5">
        <v>46339</v>
      </c>
    </row>
    <row r="1069" spans="1:8" x14ac:dyDescent="0.55000000000000004">
      <c r="A1069">
        <v>2020</v>
      </c>
      <c r="B1069" t="s">
        <v>604</v>
      </c>
      <c r="C1069" t="s">
        <v>84</v>
      </c>
      <c r="H1069" s="5">
        <v>0</v>
      </c>
    </row>
    <row r="1070" spans="1:8" x14ac:dyDescent="0.55000000000000004">
      <c r="A1070">
        <v>2020</v>
      </c>
      <c r="B1070" t="s">
        <v>603</v>
      </c>
      <c r="C1070" t="s">
        <v>85</v>
      </c>
      <c r="H1070" s="5">
        <v>2288</v>
      </c>
    </row>
    <row r="1071" spans="1:8" x14ac:dyDescent="0.55000000000000004">
      <c r="A1071">
        <v>2020</v>
      </c>
      <c r="B1071" t="s">
        <v>602</v>
      </c>
      <c r="C1071" t="s">
        <v>86</v>
      </c>
      <c r="H1071" s="5">
        <v>223900</v>
      </c>
    </row>
    <row r="1072" spans="1:8" x14ac:dyDescent="0.55000000000000004">
      <c r="A1072">
        <v>2020</v>
      </c>
      <c r="B1072" t="s">
        <v>601</v>
      </c>
      <c r="C1072" t="s">
        <v>87</v>
      </c>
      <c r="H1072" s="5">
        <v>0</v>
      </c>
    </row>
    <row r="1073" spans="1:8" x14ac:dyDescent="0.55000000000000004">
      <c r="A1073">
        <v>2020</v>
      </c>
      <c r="B1073" t="s">
        <v>600</v>
      </c>
      <c r="C1073" t="s">
        <v>88</v>
      </c>
      <c r="H1073" s="5">
        <v>0</v>
      </c>
    </row>
    <row r="1074" spans="1:8" x14ac:dyDescent="0.55000000000000004">
      <c r="A1074">
        <v>2020</v>
      </c>
      <c r="B1074" t="s">
        <v>599</v>
      </c>
      <c r="C1074" t="s">
        <v>89</v>
      </c>
      <c r="H1074" s="5">
        <v>0</v>
      </c>
    </row>
    <row r="1075" spans="1:8" x14ac:dyDescent="0.55000000000000004">
      <c r="A1075">
        <v>2020</v>
      </c>
      <c r="B1075" t="s">
        <v>598</v>
      </c>
      <c r="C1075" t="s">
        <v>90</v>
      </c>
      <c r="H1075" s="5">
        <v>56507</v>
      </c>
    </row>
    <row r="1076" spans="1:8" x14ac:dyDescent="0.55000000000000004">
      <c r="A1076">
        <v>2020</v>
      </c>
      <c r="B1076" t="s">
        <v>597</v>
      </c>
      <c r="C1076" t="s">
        <v>91</v>
      </c>
      <c r="H1076" s="5">
        <v>0</v>
      </c>
    </row>
    <row r="1077" spans="1:8" x14ac:dyDescent="0.55000000000000004">
      <c r="A1077">
        <v>2020</v>
      </c>
      <c r="B1077" t="s">
        <v>596</v>
      </c>
      <c r="C1077" t="s">
        <v>92</v>
      </c>
      <c r="H1077" s="5">
        <v>421859</v>
      </c>
    </row>
    <row r="1078" spans="1:8" x14ac:dyDescent="0.55000000000000004">
      <c r="A1078">
        <v>2020</v>
      </c>
      <c r="B1078" t="s">
        <v>595</v>
      </c>
      <c r="C1078" t="s">
        <v>1216</v>
      </c>
      <c r="H1078" s="5">
        <v>297896</v>
      </c>
    </row>
    <row r="1079" spans="1:8" x14ac:dyDescent="0.55000000000000004">
      <c r="A1079">
        <v>2020</v>
      </c>
      <c r="B1079" t="s">
        <v>594</v>
      </c>
      <c r="C1079" t="s">
        <v>94</v>
      </c>
      <c r="H1079" s="5">
        <v>109439</v>
      </c>
    </row>
    <row r="1080" spans="1:8" x14ac:dyDescent="0.55000000000000004">
      <c r="A1080">
        <v>2020</v>
      </c>
      <c r="B1080" t="s">
        <v>593</v>
      </c>
      <c r="C1080" t="s">
        <v>95</v>
      </c>
      <c r="H1080" s="5">
        <v>81147</v>
      </c>
    </row>
    <row r="1081" spans="1:8" x14ac:dyDescent="0.55000000000000004">
      <c r="A1081">
        <v>2020</v>
      </c>
      <c r="B1081" t="s">
        <v>592</v>
      </c>
      <c r="C1081" t="s">
        <v>96</v>
      </c>
      <c r="H1081" s="5">
        <v>0</v>
      </c>
    </row>
    <row r="1082" spans="1:8" x14ac:dyDescent="0.55000000000000004">
      <c r="A1082">
        <v>2020</v>
      </c>
      <c r="B1082" t="s">
        <v>591</v>
      </c>
      <c r="C1082" t="s">
        <v>1217</v>
      </c>
      <c r="H1082" s="5">
        <v>0</v>
      </c>
    </row>
    <row r="1083" spans="1:8" x14ac:dyDescent="0.55000000000000004">
      <c r="A1083">
        <v>2020</v>
      </c>
      <c r="B1083" t="s">
        <v>590</v>
      </c>
      <c r="C1083" t="s">
        <v>98</v>
      </c>
      <c r="H1083" s="5">
        <v>31704</v>
      </c>
    </row>
    <row r="1084" spans="1:8" x14ac:dyDescent="0.55000000000000004">
      <c r="A1084">
        <v>2020</v>
      </c>
      <c r="B1084" t="s">
        <v>589</v>
      </c>
      <c r="C1084" t="s">
        <v>99</v>
      </c>
      <c r="H1084" s="5">
        <v>0</v>
      </c>
    </row>
    <row r="1085" spans="1:8" x14ac:dyDescent="0.55000000000000004">
      <c r="A1085">
        <v>2020</v>
      </c>
      <c r="B1085" t="s">
        <v>588</v>
      </c>
      <c r="C1085" t="s">
        <v>100</v>
      </c>
      <c r="H1085" s="5">
        <v>0</v>
      </c>
    </row>
    <row r="1086" spans="1:8" x14ac:dyDescent="0.55000000000000004">
      <c r="A1086">
        <v>2020</v>
      </c>
      <c r="B1086" t="s">
        <v>587</v>
      </c>
      <c r="C1086" t="s">
        <v>101</v>
      </c>
      <c r="H1086" s="5">
        <v>0</v>
      </c>
    </row>
    <row r="1087" spans="1:8" x14ac:dyDescent="0.55000000000000004">
      <c r="A1087">
        <v>2020</v>
      </c>
      <c r="B1087" t="s">
        <v>585</v>
      </c>
      <c r="C1087" t="s">
        <v>103</v>
      </c>
      <c r="H1087" s="5">
        <v>0</v>
      </c>
    </row>
    <row r="1088" spans="1:8" x14ac:dyDescent="0.55000000000000004">
      <c r="A1088">
        <v>2020</v>
      </c>
      <c r="B1088" t="s">
        <v>584</v>
      </c>
      <c r="C1088" t="s">
        <v>104</v>
      </c>
      <c r="H1088" s="5">
        <v>0</v>
      </c>
    </row>
    <row r="1089" spans="1:8" x14ac:dyDescent="0.55000000000000004">
      <c r="A1089">
        <v>2020</v>
      </c>
      <c r="B1089" t="s">
        <v>583</v>
      </c>
      <c r="C1089" t="s">
        <v>105</v>
      </c>
      <c r="H1089" s="5">
        <v>0</v>
      </c>
    </row>
    <row r="1090" spans="1:8" x14ac:dyDescent="0.55000000000000004">
      <c r="A1090">
        <v>2020</v>
      </c>
      <c r="B1090" t="s">
        <v>582</v>
      </c>
      <c r="C1090" t="s">
        <v>106</v>
      </c>
      <c r="H1090" s="5">
        <v>22723</v>
      </c>
    </row>
    <row r="1091" spans="1:8" x14ac:dyDescent="0.55000000000000004">
      <c r="A1091">
        <v>2020</v>
      </c>
      <c r="B1091" t="s">
        <v>580</v>
      </c>
      <c r="C1091" t="s">
        <v>107</v>
      </c>
      <c r="H1091" s="5">
        <v>203672</v>
      </c>
    </row>
    <row r="1092" spans="1:8" x14ac:dyDescent="0.55000000000000004">
      <c r="A1092">
        <v>2020</v>
      </c>
      <c r="B1092" t="s">
        <v>502</v>
      </c>
      <c r="C1092" t="s">
        <v>331</v>
      </c>
      <c r="H1092" s="5">
        <v>175536</v>
      </c>
    </row>
    <row r="1093" spans="1:8" x14ac:dyDescent="0.55000000000000004">
      <c r="A1093">
        <v>2020</v>
      </c>
      <c r="B1093" t="s">
        <v>375</v>
      </c>
      <c r="C1093" t="s">
        <v>333</v>
      </c>
      <c r="H1093" s="5">
        <v>122302</v>
      </c>
    </row>
    <row r="1094" spans="1:8" x14ac:dyDescent="0.55000000000000004">
      <c r="A1094">
        <v>2020</v>
      </c>
      <c r="B1094" t="s">
        <v>579</v>
      </c>
      <c r="C1094" t="s">
        <v>108</v>
      </c>
      <c r="H1094" s="5">
        <v>163551</v>
      </c>
    </row>
    <row r="1095" spans="1:8" x14ac:dyDescent="0.55000000000000004">
      <c r="A1095">
        <v>2020</v>
      </c>
      <c r="B1095" t="s">
        <v>578</v>
      </c>
      <c r="C1095" t="s">
        <v>109</v>
      </c>
      <c r="H1095" s="5">
        <v>96175</v>
      </c>
    </row>
    <row r="1096" spans="1:8" x14ac:dyDescent="0.55000000000000004">
      <c r="A1096">
        <v>2020</v>
      </c>
      <c r="B1096" t="s">
        <v>581</v>
      </c>
      <c r="C1096" t="s">
        <v>336</v>
      </c>
      <c r="H1096" s="5">
        <v>146229</v>
      </c>
    </row>
    <row r="1097" spans="1:8" x14ac:dyDescent="0.55000000000000004">
      <c r="A1097">
        <v>2020</v>
      </c>
      <c r="B1097" t="s">
        <v>649</v>
      </c>
      <c r="C1097" t="s">
        <v>1218</v>
      </c>
      <c r="H1097" s="5">
        <v>388227</v>
      </c>
    </row>
    <row r="1098" spans="1:8" x14ac:dyDescent="0.55000000000000004">
      <c r="A1098">
        <v>2020</v>
      </c>
      <c r="B1098" t="s">
        <v>576</v>
      </c>
      <c r="C1098" t="s">
        <v>111</v>
      </c>
      <c r="H1098" s="5">
        <v>150436</v>
      </c>
    </row>
    <row r="1099" spans="1:8" x14ac:dyDescent="0.55000000000000004">
      <c r="A1099">
        <v>2020</v>
      </c>
      <c r="B1099" t="s">
        <v>575</v>
      </c>
      <c r="C1099" t="s">
        <v>112</v>
      </c>
      <c r="H1099" s="5">
        <v>0</v>
      </c>
    </row>
    <row r="1100" spans="1:8" x14ac:dyDescent="0.55000000000000004">
      <c r="A1100">
        <v>2020</v>
      </c>
      <c r="B1100" t="s">
        <v>574</v>
      </c>
      <c r="C1100" t="s">
        <v>113</v>
      </c>
      <c r="H1100" s="5">
        <v>40299</v>
      </c>
    </row>
    <row r="1101" spans="1:8" x14ac:dyDescent="0.55000000000000004">
      <c r="A1101">
        <v>2020</v>
      </c>
      <c r="B1101" t="s">
        <v>573</v>
      </c>
      <c r="C1101" t="s">
        <v>114</v>
      </c>
      <c r="H1101" s="5">
        <v>53017</v>
      </c>
    </row>
    <row r="1102" spans="1:8" x14ac:dyDescent="0.55000000000000004">
      <c r="A1102">
        <v>2020</v>
      </c>
      <c r="B1102" t="s">
        <v>572</v>
      </c>
      <c r="C1102" t="s">
        <v>115</v>
      </c>
      <c r="H1102" s="5">
        <v>0</v>
      </c>
    </row>
    <row r="1103" spans="1:8" x14ac:dyDescent="0.55000000000000004">
      <c r="A1103">
        <v>2020</v>
      </c>
      <c r="B1103" t="s">
        <v>571</v>
      </c>
      <c r="C1103" t="s">
        <v>1219</v>
      </c>
      <c r="H1103" s="5">
        <v>0</v>
      </c>
    </row>
    <row r="1104" spans="1:8" x14ac:dyDescent="0.55000000000000004">
      <c r="A1104">
        <v>2020</v>
      </c>
      <c r="B1104" t="s">
        <v>570</v>
      </c>
      <c r="C1104" t="s">
        <v>1220</v>
      </c>
      <c r="H1104" s="5">
        <v>77725</v>
      </c>
    </row>
    <row r="1105" spans="1:8" x14ac:dyDescent="0.55000000000000004">
      <c r="A1105">
        <v>2020</v>
      </c>
      <c r="B1105" t="s">
        <v>568</v>
      </c>
      <c r="C1105" t="s">
        <v>117</v>
      </c>
      <c r="H1105" s="5">
        <v>0</v>
      </c>
    </row>
    <row r="1106" spans="1:8" x14ac:dyDescent="0.55000000000000004">
      <c r="A1106">
        <v>2020</v>
      </c>
      <c r="B1106" t="s">
        <v>567</v>
      </c>
      <c r="C1106" t="s">
        <v>118</v>
      </c>
      <c r="H1106" s="5">
        <v>45527</v>
      </c>
    </row>
    <row r="1107" spans="1:8" x14ac:dyDescent="0.55000000000000004">
      <c r="A1107">
        <v>2020</v>
      </c>
      <c r="B1107" t="s">
        <v>566</v>
      </c>
      <c r="C1107" t="s">
        <v>119</v>
      </c>
      <c r="H1107" s="5">
        <v>0</v>
      </c>
    </row>
    <row r="1108" spans="1:8" x14ac:dyDescent="0.55000000000000004">
      <c r="A1108">
        <v>2020</v>
      </c>
      <c r="B1108" t="s">
        <v>565</v>
      </c>
      <c r="C1108" t="s">
        <v>120</v>
      </c>
      <c r="H1108" s="5">
        <v>0</v>
      </c>
    </row>
    <row r="1109" spans="1:8" x14ac:dyDescent="0.55000000000000004">
      <c r="A1109">
        <v>2020</v>
      </c>
      <c r="B1109" t="s">
        <v>564</v>
      </c>
      <c r="C1109" t="s">
        <v>121</v>
      </c>
      <c r="H1109" s="5">
        <v>9800</v>
      </c>
    </row>
    <row r="1110" spans="1:8" x14ac:dyDescent="0.55000000000000004">
      <c r="A1110">
        <v>2020</v>
      </c>
      <c r="B1110" t="s">
        <v>563</v>
      </c>
      <c r="C1110" t="s">
        <v>122</v>
      </c>
      <c r="H1110" s="5">
        <v>149398</v>
      </c>
    </row>
    <row r="1111" spans="1:8" x14ac:dyDescent="0.55000000000000004">
      <c r="A1111">
        <v>2020</v>
      </c>
      <c r="B1111" t="s">
        <v>562</v>
      </c>
      <c r="C1111" t="s">
        <v>561</v>
      </c>
      <c r="H1111" s="5">
        <v>91802</v>
      </c>
    </row>
    <row r="1112" spans="1:8" x14ac:dyDescent="0.55000000000000004">
      <c r="A1112">
        <v>2020</v>
      </c>
      <c r="B1112" t="s">
        <v>560</v>
      </c>
      <c r="C1112" t="s">
        <v>123</v>
      </c>
      <c r="H1112" s="5">
        <v>89967</v>
      </c>
    </row>
    <row r="1113" spans="1:8" x14ac:dyDescent="0.55000000000000004">
      <c r="A1113">
        <v>2020</v>
      </c>
      <c r="B1113" t="s">
        <v>559</v>
      </c>
      <c r="C1113" t="s">
        <v>124</v>
      </c>
      <c r="H1113" s="5">
        <v>0</v>
      </c>
    </row>
    <row r="1114" spans="1:8" x14ac:dyDescent="0.55000000000000004">
      <c r="A1114">
        <v>2020</v>
      </c>
      <c r="B1114" t="s">
        <v>558</v>
      </c>
      <c r="C1114" t="s">
        <v>125</v>
      </c>
      <c r="H1114" s="5">
        <v>37299</v>
      </c>
    </row>
    <row r="1115" spans="1:8" x14ac:dyDescent="0.55000000000000004">
      <c r="A1115">
        <v>2020</v>
      </c>
      <c r="B1115" t="s">
        <v>557</v>
      </c>
      <c r="C1115" t="s">
        <v>126</v>
      </c>
      <c r="H1115" s="5">
        <v>23746</v>
      </c>
    </row>
    <row r="1116" spans="1:8" x14ac:dyDescent="0.55000000000000004">
      <c r="A1116">
        <v>2020</v>
      </c>
      <c r="B1116" t="s">
        <v>556</v>
      </c>
      <c r="C1116" t="s">
        <v>127</v>
      </c>
      <c r="H1116" s="5">
        <v>0</v>
      </c>
    </row>
    <row r="1117" spans="1:8" x14ac:dyDescent="0.55000000000000004">
      <c r="A1117">
        <v>2020</v>
      </c>
      <c r="B1117" t="s">
        <v>555</v>
      </c>
      <c r="C1117" t="s">
        <v>128</v>
      </c>
      <c r="H1117" s="5">
        <v>0</v>
      </c>
    </row>
    <row r="1118" spans="1:8" x14ac:dyDescent="0.55000000000000004">
      <c r="A1118">
        <v>2020</v>
      </c>
      <c r="B1118" t="s">
        <v>552</v>
      </c>
      <c r="C1118" t="s">
        <v>131</v>
      </c>
      <c r="H1118" s="5">
        <v>17318</v>
      </c>
    </row>
    <row r="1119" spans="1:8" x14ac:dyDescent="0.55000000000000004">
      <c r="A1119">
        <v>2020</v>
      </c>
      <c r="B1119" t="s">
        <v>554</v>
      </c>
      <c r="C1119" t="s">
        <v>129</v>
      </c>
      <c r="H1119" s="5">
        <v>62147</v>
      </c>
    </row>
    <row r="1120" spans="1:8" x14ac:dyDescent="0.55000000000000004">
      <c r="A1120">
        <v>2020</v>
      </c>
      <c r="B1120" t="s">
        <v>525</v>
      </c>
      <c r="C1120" t="s">
        <v>342</v>
      </c>
      <c r="H1120" s="5">
        <v>248675</v>
      </c>
    </row>
    <row r="1121" spans="1:8" x14ac:dyDescent="0.55000000000000004">
      <c r="A1121">
        <v>2020</v>
      </c>
      <c r="B1121" t="s">
        <v>551</v>
      </c>
      <c r="C1121" t="s">
        <v>132</v>
      </c>
      <c r="H1121" s="5">
        <v>0</v>
      </c>
    </row>
    <row r="1122" spans="1:8" x14ac:dyDescent="0.55000000000000004">
      <c r="A1122">
        <v>2020</v>
      </c>
      <c r="B1122" t="s">
        <v>550</v>
      </c>
      <c r="C1122" t="s">
        <v>133</v>
      </c>
      <c r="H1122" s="5">
        <v>162831</v>
      </c>
    </row>
    <row r="1123" spans="1:8" x14ac:dyDescent="0.55000000000000004">
      <c r="A1123">
        <v>2020</v>
      </c>
      <c r="B1123" t="s">
        <v>549</v>
      </c>
      <c r="C1123" t="s">
        <v>134</v>
      </c>
      <c r="H1123" s="5">
        <v>0</v>
      </c>
    </row>
    <row r="1124" spans="1:8" x14ac:dyDescent="0.55000000000000004">
      <c r="A1124">
        <v>2020</v>
      </c>
      <c r="B1124" t="s">
        <v>548</v>
      </c>
      <c r="C1124" t="s">
        <v>135</v>
      </c>
      <c r="H1124" s="5">
        <v>88814</v>
      </c>
    </row>
    <row r="1125" spans="1:8" x14ac:dyDescent="0.55000000000000004">
      <c r="A1125">
        <v>2020</v>
      </c>
      <c r="B1125" t="s">
        <v>545</v>
      </c>
      <c r="C1125" t="s">
        <v>138</v>
      </c>
      <c r="H1125" s="5">
        <v>0</v>
      </c>
    </row>
    <row r="1126" spans="1:8" x14ac:dyDescent="0.55000000000000004">
      <c r="A1126">
        <v>2020</v>
      </c>
      <c r="B1126" t="s">
        <v>544</v>
      </c>
      <c r="C1126" t="s">
        <v>139</v>
      </c>
      <c r="H1126" s="5">
        <v>0</v>
      </c>
    </row>
    <row r="1127" spans="1:8" x14ac:dyDescent="0.55000000000000004">
      <c r="A1127">
        <v>2020</v>
      </c>
      <c r="B1127" t="s">
        <v>543</v>
      </c>
      <c r="C1127" t="s">
        <v>140</v>
      </c>
      <c r="H1127" s="5">
        <v>0</v>
      </c>
    </row>
    <row r="1128" spans="1:8" x14ac:dyDescent="0.55000000000000004">
      <c r="A1128">
        <v>2020</v>
      </c>
      <c r="B1128" t="s">
        <v>541</v>
      </c>
      <c r="C1128" t="s">
        <v>142</v>
      </c>
      <c r="H1128" s="5">
        <v>35263</v>
      </c>
    </row>
    <row r="1129" spans="1:8" x14ac:dyDescent="0.55000000000000004">
      <c r="A1129">
        <v>2020</v>
      </c>
      <c r="B1129" t="s">
        <v>540</v>
      </c>
      <c r="C1129" t="s">
        <v>143</v>
      </c>
      <c r="H1129" s="5">
        <v>0</v>
      </c>
    </row>
    <row r="1130" spans="1:8" x14ac:dyDescent="0.55000000000000004">
      <c r="A1130">
        <v>2020</v>
      </c>
      <c r="B1130" t="s">
        <v>539</v>
      </c>
      <c r="C1130" t="s">
        <v>144</v>
      </c>
      <c r="H1130" s="5">
        <v>88236</v>
      </c>
    </row>
    <row r="1131" spans="1:8" x14ac:dyDescent="0.55000000000000004">
      <c r="A1131">
        <v>2020</v>
      </c>
      <c r="B1131" t="s">
        <v>538</v>
      </c>
      <c r="C1131" t="s">
        <v>145</v>
      </c>
      <c r="H1131" s="5">
        <v>116069</v>
      </c>
    </row>
    <row r="1132" spans="1:8" x14ac:dyDescent="0.55000000000000004">
      <c r="A1132">
        <v>2020</v>
      </c>
      <c r="B1132" t="s">
        <v>546</v>
      </c>
      <c r="C1132" t="s">
        <v>825</v>
      </c>
      <c r="H1132" s="5">
        <v>13756</v>
      </c>
    </row>
    <row r="1133" spans="1:8" x14ac:dyDescent="0.55000000000000004">
      <c r="A1133">
        <v>2020</v>
      </c>
      <c r="B1133" t="s">
        <v>537</v>
      </c>
      <c r="C1133" t="s">
        <v>146</v>
      </c>
      <c r="H1133" s="5">
        <v>331582</v>
      </c>
    </row>
    <row r="1134" spans="1:8" x14ac:dyDescent="0.55000000000000004">
      <c r="A1134">
        <v>2020</v>
      </c>
      <c r="B1134" t="s">
        <v>536</v>
      </c>
      <c r="C1134" t="s">
        <v>147</v>
      </c>
      <c r="H1134" s="5">
        <v>41690</v>
      </c>
    </row>
    <row r="1135" spans="1:8" x14ac:dyDescent="0.55000000000000004">
      <c r="A1135">
        <v>2020</v>
      </c>
      <c r="B1135" t="s">
        <v>535</v>
      </c>
      <c r="C1135" t="s">
        <v>148</v>
      </c>
      <c r="H1135" s="5">
        <v>0</v>
      </c>
    </row>
    <row r="1136" spans="1:8" x14ac:dyDescent="0.55000000000000004">
      <c r="A1136">
        <v>2020</v>
      </c>
      <c r="B1136" t="s">
        <v>534</v>
      </c>
      <c r="C1136" t="s">
        <v>149</v>
      </c>
      <c r="H1136" s="5">
        <v>0</v>
      </c>
    </row>
    <row r="1137" spans="1:8" x14ac:dyDescent="0.55000000000000004">
      <c r="A1137">
        <v>2020</v>
      </c>
      <c r="B1137" t="s">
        <v>527</v>
      </c>
      <c r="C1137" t="s">
        <v>330</v>
      </c>
      <c r="H1137" s="5">
        <v>156884</v>
      </c>
    </row>
    <row r="1138" spans="1:8" x14ac:dyDescent="0.55000000000000004">
      <c r="A1138">
        <v>2020</v>
      </c>
      <c r="B1138" t="s">
        <v>533</v>
      </c>
      <c r="C1138" t="s">
        <v>150</v>
      </c>
      <c r="H1138" s="5">
        <v>0</v>
      </c>
    </row>
    <row r="1139" spans="1:8" x14ac:dyDescent="0.55000000000000004">
      <c r="A1139">
        <v>2020</v>
      </c>
      <c r="B1139" t="s">
        <v>532</v>
      </c>
      <c r="C1139" t="s">
        <v>151</v>
      </c>
      <c r="H1139" s="5">
        <v>0</v>
      </c>
    </row>
    <row r="1140" spans="1:8" x14ac:dyDescent="0.55000000000000004">
      <c r="A1140">
        <v>2020</v>
      </c>
      <c r="B1140" t="s">
        <v>531</v>
      </c>
      <c r="C1140" t="s">
        <v>152</v>
      </c>
      <c r="H1140" s="5">
        <v>254123</v>
      </c>
    </row>
    <row r="1141" spans="1:8" x14ac:dyDescent="0.55000000000000004">
      <c r="A1141">
        <v>2020</v>
      </c>
      <c r="B1141" t="s">
        <v>530</v>
      </c>
      <c r="C1141" t="s">
        <v>153</v>
      </c>
      <c r="H1141" s="5">
        <v>0</v>
      </c>
    </row>
    <row r="1142" spans="1:8" x14ac:dyDescent="0.55000000000000004">
      <c r="A1142">
        <v>2020</v>
      </c>
      <c r="B1142" t="s">
        <v>529</v>
      </c>
      <c r="C1142" t="s">
        <v>154</v>
      </c>
      <c r="H1142" s="5">
        <v>0</v>
      </c>
    </row>
    <row r="1143" spans="1:8" x14ac:dyDescent="0.55000000000000004">
      <c r="A1143">
        <v>2020</v>
      </c>
      <c r="B1143" t="s">
        <v>528</v>
      </c>
      <c r="C1143" t="s">
        <v>155</v>
      </c>
      <c r="H1143" s="5">
        <v>0</v>
      </c>
    </row>
    <row r="1144" spans="1:8" x14ac:dyDescent="0.55000000000000004">
      <c r="A1144">
        <v>2020</v>
      </c>
      <c r="B1144" t="s">
        <v>526</v>
      </c>
      <c r="C1144" t="s">
        <v>1221</v>
      </c>
      <c r="H1144" s="5">
        <v>8335</v>
      </c>
    </row>
    <row r="1145" spans="1:8" x14ac:dyDescent="0.55000000000000004">
      <c r="A1145">
        <v>2020</v>
      </c>
      <c r="B1145" t="s">
        <v>524</v>
      </c>
      <c r="C1145" t="s">
        <v>157</v>
      </c>
      <c r="H1145" s="5">
        <v>0</v>
      </c>
    </row>
    <row r="1146" spans="1:8" x14ac:dyDescent="0.55000000000000004">
      <c r="A1146">
        <v>2020</v>
      </c>
      <c r="B1146" t="s">
        <v>523</v>
      </c>
      <c r="C1146" t="s">
        <v>158</v>
      </c>
      <c r="H1146" s="5">
        <v>0</v>
      </c>
    </row>
    <row r="1147" spans="1:8" x14ac:dyDescent="0.55000000000000004">
      <c r="A1147">
        <v>2020</v>
      </c>
      <c r="B1147" t="s">
        <v>522</v>
      </c>
      <c r="C1147" t="s">
        <v>159</v>
      </c>
      <c r="H1147" s="5">
        <v>0</v>
      </c>
    </row>
    <row r="1148" spans="1:8" x14ac:dyDescent="0.55000000000000004">
      <c r="A1148">
        <v>2020</v>
      </c>
      <c r="B1148" t="s">
        <v>521</v>
      </c>
      <c r="C1148" t="s">
        <v>160</v>
      </c>
      <c r="H1148" s="5">
        <v>24663</v>
      </c>
    </row>
    <row r="1149" spans="1:8" x14ac:dyDescent="0.55000000000000004">
      <c r="A1149">
        <v>2020</v>
      </c>
      <c r="B1149" t="s">
        <v>520</v>
      </c>
      <c r="C1149" t="s">
        <v>161</v>
      </c>
      <c r="H1149" s="5">
        <v>0</v>
      </c>
    </row>
    <row r="1150" spans="1:8" x14ac:dyDescent="0.55000000000000004">
      <c r="A1150">
        <v>2020</v>
      </c>
      <c r="B1150" t="s">
        <v>519</v>
      </c>
      <c r="C1150" t="s">
        <v>162</v>
      </c>
      <c r="H1150" s="5">
        <v>0</v>
      </c>
    </row>
    <row r="1151" spans="1:8" x14ac:dyDescent="0.55000000000000004">
      <c r="A1151">
        <v>2020</v>
      </c>
      <c r="B1151" t="s">
        <v>518</v>
      </c>
      <c r="C1151" t="s">
        <v>163</v>
      </c>
      <c r="H1151" s="5">
        <v>199587</v>
      </c>
    </row>
    <row r="1152" spans="1:8" x14ac:dyDescent="0.55000000000000004">
      <c r="A1152">
        <v>2020</v>
      </c>
      <c r="B1152" t="s">
        <v>517</v>
      </c>
      <c r="C1152" t="s">
        <v>164</v>
      </c>
      <c r="H1152" s="5">
        <v>25669</v>
      </c>
    </row>
    <row r="1153" spans="1:8" x14ac:dyDescent="0.55000000000000004">
      <c r="A1153">
        <v>2020</v>
      </c>
      <c r="B1153" t="s">
        <v>516</v>
      </c>
      <c r="C1153" t="s">
        <v>165</v>
      </c>
      <c r="H1153" s="5">
        <v>9445</v>
      </c>
    </row>
    <row r="1154" spans="1:8" x14ac:dyDescent="0.55000000000000004">
      <c r="A1154">
        <v>2020</v>
      </c>
      <c r="B1154" t="s">
        <v>515</v>
      </c>
      <c r="C1154" t="s">
        <v>166</v>
      </c>
      <c r="H1154" s="5">
        <v>157940</v>
      </c>
    </row>
    <row r="1155" spans="1:8" x14ac:dyDescent="0.55000000000000004">
      <c r="A1155">
        <v>2020</v>
      </c>
      <c r="B1155" t="s">
        <v>514</v>
      </c>
      <c r="C1155" t="s">
        <v>167</v>
      </c>
      <c r="H1155" s="5">
        <v>0</v>
      </c>
    </row>
    <row r="1156" spans="1:8" x14ac:dyDescent="0.55000000000000004">
      <c r="A1156">
        <v>2020</v>
      </c>
      <c r="B1156" t="s">
        <v>513</v>
      </c>
      <c r="C1156" t="s">
        <v>168</v>
      </c>
      <c r="H1156" s="5">
        <v>0</v>
      </c>
    </row>
    <row r="1157" spans="1:8" x14ac:dyDescent="0.55000000000000004">
      <c r="A1157">
        <v>2020</v>
      </c>
      <c r="B1157" t="s">
        <v>512</v>
      </c>
      <c r="C1157" t="s">
        <v>169</v>
      </c>
      <c r="H1157" s="5">
        <v>123166</v>
      </c>
    </row>
    <row r="1158" spans="1:8" x14ac:dyDescent="0.55000000000000004">
      <c r="A1158">
        <v>2020</v>
      </c>
      <c r="B1158" t="s">
        <v>510</v>
      </c>
      <c r="C1158" t="s">
        <v>171</v>
      </c>
      <c r="H1158" s="5">
        <v>0</v>
      </c>
    </row>
    <row r="1159" spans="1:8" x14ac:dyDescent="0.55000000000000004">
      <c r="A1159">
        <v>2020</v>
      </c>
      <c r="B1159" t="s">
        <v>509</v>
      </c>
      <c r="C1159" t="s">
        <v>172</v>
      </c>
      <c r="H1159" s="5">
        <v>0</v>
      </c>
    </row>
    <row r="1160" spans="1:8" x14ac:dyDescent="0.55000000000000004">
      <c r="A1160">
        <v>2020</v>
      </c>
      <c r="B1160" t="s">
        <v>508</v>
      </c>
      <c r="C1160" t="s">
        <v>173</v>
      </c>
      <c r="H1160" s="5">
        <v>31568</v>
      </c>
    </row>
    <row r="1161" spans="1:8" x14ac:dyDescent="0.55000000000000004">
      <c r="A1161">
        <v>2020</v>
      </c>
      <c r="B1161" t="s">
        <v>507</v>
      </c>
      <c r="C1161" t="s">
        <v>174</v>
      </c>
      <c r="H1161" s="5">
        <v>0</v>
      </c>
    </row>
    <row r="1162" spans="1:8" x14ac:dyDescent="0.55000000000000004">
      <c r="A1162">
        <v>2020</v>
      </c>
      <c r="B1162" t="s">
        <v>506</v>
      </c>
      <c r="C1162" t="s">
        <v>175</v>
      </c>
      <c r="H1162" s="5">
        <v>181094</v>
      </c>
    </row>
    <row r="1163" spans="1:8" x14ac:dyDescent="0.55000000000000004">
      <c r="A1163">
        <v>2020</v>
      </c>
      <c r="B1163" t="s">
        <v>505</v>
      </c>
      <c r="C1163" t="s">
        <v>1222</v>
      </c>
      <c r="H1163" s="5">
        <v>55402</v>
      </c>
    </row>
    <row r="1164" spans="1:8" x14ac:dyDescent="0.55000000000000004">
      <c r="A1164">
        <v>2020</v>
      </c>
      <c r="B1164" t="s">
        <v>504</v>
      </c>
      <c r="C1164" t="s">
        <v>177</v>
      </c>
      <c r="H1164" s="5">
        <v>19685</v>
      </c>
    </row>
    <row r="1165" spans="1:8" x14ac:dyDescent="0.55000000000000004">
      <c r="A1165">
        <v>2020</v>
      </c>
      <c r="B1165" t="s">
        <v>503</v>
      </c>
      <c r="C1165" t="s">
        <v>178</v>
      </c>
      <c r="H1165" s="5">
        <v>0</v>
      </c>
    </row>
    <row r="1166" spans="1:8" x14ac:dyDescent="0.55000000000000004">
      <c r="A1166">
        <v>2020</v>
      </c>
      <c r="B1166" t="s">
        <v>501</v>
      </c>
      <c r="C1166" t="s">
        <v>1223</v>
      </c>
      <c r="H1166" s="5">
        <v>300734</v>
      </c>
    </row>
    <row r="1167" spans="1:8" x14ac:dyDescent="0.55000000000000004">
      <c r="A1167">
        <v>2020</v>
      </c>
      <c r="B1167" t="s">
        <v>500</v>
      </c>
      <c r="C1167" t="s">
        <v>337</v>
      </c>
      <c r="H1167" s="5">
        <v>120467</v>
      </c>
    </row>
    <row r="1168" spans="1:8" x14ac:dyDescent="0.55000000000000004">
      <c r="A1168">
        <v>2020</v>
      </c>
      <c r="B1168" t="s">
        <v>499</v>
      </c>
      <c r="C1168" t="s">
        <v>180</v>
      </c>
      <c r="H1168" s="5">
        <v>0</v>
      </c>
    </row>
    <row r="1169" spans="1:8" x14ac:dyDescent="0.55000000000000004">
      <c r="A1169">
        <v>2020</v>
      </c>
      <c r="B1169" t="s">
        <v>498</v>
      </c>
      <c r="C1169" t="s">
        <v>181</v>
      </c>
      <c r="H1169" s="5">
        <v>58406</v>
      </c>
    </row>
    <row r="1170" spans="1:8" x14ac:dyDescent="0.55000000000000004">
      <c r="A1170">
        <v>2020</v>
      </c>
      <c r="B1170" t="s">
        <v>497</v>
      </c>
      <c r="C1170" t="s">
        <v>1224</v>
      </c>
      <c r="H1170" s="5">
        <v>24176</v>
      </c>
    </row>
    <row r="1171" spans="1:8" x14ac:dyDescent="0.55000000000000004">
      <c r="A1171">
        <v>2020</v>
      </c>
      <c r="B1171" t="s">
        <v>496</v>
      </c>
      <c r="C1171" t="s">
        <v>1225</v>
      </c>
      <c r="H1171" s="5">
        <v>0</v>
      </c>
    </row>
    <row r="1172" spans="1:8" x14ac:dyDescent="0.55000000000000004">
      <c r="A1172">
        <v>2020</v>
      </c>
      <c r="B1172" t="s">
        <v>495</v>
      </c>
      <c r="C1172" t="s">
        <v>184</v>
      </c>
      <c r="H1172" s="5">
        <v>0</v>
      </c>
    </row>
    <row r="1173" spans="1:8" x14ac:dyDescent="0.55000000000000004">
      <c r="A1173">
        <v>2020</v>
      </c>
      <c r="B1173" t="s">
        <v>494</v>
      </c>
      <c r="C1173" t="s">
        <v>185</v>
      </c>
      <c r="H1173" s="5">
        <v>19352</v>
      </c>
    </row>
    <row r="1174" spans="1:8" x14ac:dyDescent="0.55000000000000004">
      <c r="A1174">
        <v>2020</v>
      </c>
      <c r="B1174" t="s">
        <v>493</v>
      </c>
      <c r="C1174" t="s">
        <v>186</v>
      </c>
      <c r="H1174" s="5">
        <v>0</v>
      </c>
    </row>
    <row r="1175" spans="1:8" x14ac:dyDescent="0.55000000000000004">
      <c r="A1175">
        <v>2020</v>
      </c>
      <c r="B1175" t="s">
        <v>491</v>
      </c>
      <c r="C1175" t="s">
        <v>188</v>
      </c>
      <c r="H1175" s="5">
        <v>188782</v>
      </c>
    </row>
    <row r="1176" spans="1:8" x14ac:dyDescent="0.55000000000000004">
      <c r="A1176">
        <v>2020</v>
      </c>
      <c r="B1176" t="s">
        <v>490</v>
      </c>
      <c r="C1176" t="s">
        <v>189</v>
      </c>
      <c r="H1176" s="5">
        <v>0</v>
      </c>
    </row>
    <row r="1177" spans="1:8" x14ac:dyDescent="0.55000000000000004">
      <c r="A1177">
        <v>2020</v>
      </c>
      <c r="B1177" t="s">
        <v>486</v>
      </c>
      <c r="C1177" t="s">
        <v>1226</v>
      </c>
      <c r="H1177" s="5">
        <v>87046</v>
      </c>
    </row>
    <row r="1178" spans="1:8" x14ac:dyDescent="0.55000000000000004">
      <c r="A1178">
        <v>2020</v>
      </c>
      <c r="B1178" t="s">
        <v>489</v>
      </c>
      <c r="C1178" t="s">
        <v>190</v>
      </c>
      <c r="H1178" s="5">
        <v>176573</v>
      </c>
    </row>
    <row r="1179" spans="1:8" x14ac:dyDescent="0.55000000000000004">
      <c r="A1179">
        <v>2020</v>
      </c>
      <c r="B1179" t="s">
        <v>488</v>
      </c>
      <c r="C1179" t="s">
        <v>191</v>
      </c>
      <c r="H1179" s="5">
        <v>228503</v>
      </c>
    </row>
    <row r="1180" spans="1:8" x14ac:dyDescent="0.55000000000000004">
      <c r="A1180">
        <v>2020</v>
      </c>
      <c r="B1180" t="s">
        <v>487</v>
      </c>
      <c r="C1180" t="s">
        <v>192</v>
      </c>
      <c r="H1180" s="5">
        <v>0</v>
      </c>
    </row>
    <row r="1181" spans="1:8" x14ac:dyDescent="0.55000000000000004">
      <c r="A1181">
        <v>2020</v>
      </c>
      <c r="B1181" t="s">
        <v>492</v>
      </c>
      <c r="C1181" t="s">
        <v>1227</v>
      </c>
      <c r="H1181" s="5">
        <v>0</v>
      </c>
    </row>
    <row r="1182" spans="1:8" x14ac:dyDescent="0.55000000000000004">
      <c r="A1182">
        <v>2020</v>
      </c>
      <c r="B1182" t="s">
        <v>485</v>
      </c>
      <c r="C1182" t="s">
        <v>194</v>
      </c>
      <c r="H1182" s="5">
        <v>0</v>
      </c>
    </row>
    <row r="1183" spans="1:8" x14ac:dyDescent="0.55000000000000004">
      <c r="A1183">
        <v>2020</v>
      </c>
      <c r="B1183" t="s">
        <v>484</v>
      </c>
      <c r="C1183" t="s">
        <v>195</v>
      </c>
      <c r="H1183" s="5">
        <v>0</v>
      </c>
    </row>
    <row r="1184" spans="1:8" x14ac:dyDescent="0.55000000000000004">
      <c r="A1184">
        <v>2020</v>
      </c>
      <c r="B1184" t="s">
        <v>483</v>
      </c>
      <c r="C1184" t="s">
        <v>196</v>
      </c>
      <c r="H1184" s="5">
        <v>7815</v>
      </c>
    </row>
    <row r="1185" spans="1:8" x14ac:dyDescent="0.55000000000000004">
      <c r="A1185">
        <v>2020</v>
      </c>
      <c r="B1185" t="s">
        <v>482</v>
      </c>
      <c r="C1185" t="s">
        <v>197</v>
      </c>
      <c r="H1185" s="5">
        <v>32491</v>
      </c>
    </row>
    <row r="1186" spans="1:8" x14ac:dyDescent="0.55000000000000004">
      <c r="A1186">
        <v>2020</v>
      </c>
      <c r="B1186" t="s">
        <v>481</v>
      </c>
      <c r="C1186" t="s">
        <v>198</v>
      </c>
      <c r="H1186" s="5">
        <v>0</v>
      </c>
    </row>
    <row r="1187" spans="1:8" x14ac:dyDescent="0.55000000000000004">
      <c r="A1187">
        <v>2020</v>
      </c>
      <c r="B1187" t="s">
        <v>480</v>
      </c>
      <c r="C1187" t="s">
        <v>199</v>
      </c>
      <c r="H1187" s="5">
        <v>42186</v>
      </c>
    </row>
    <row r="1188" spans="1:8" x14ac:dyDescent="0.55000000000000004">
      <c r="A1188">
        <v>2020</v>
      </c>
      <c r="B1188" t="s">
        <v>479</v>
      </c>
      <c r="C1188" t="s">
        <v>200</v>
      </c>
      <c r="H1188" s="5">
        <v>122441</v>
      </c>
    </row>
    <row r="1189" spans="1:8" x14ac:dyDescent="0.55000000000000004">
      <c r="A1189">
        <v>2020</v>
      </c>
      <c r="B1189" t="s">
        <v>478</v>
      </c>
      <c r="C1189" t="s">
        <v>201</v>
      </c>
      <c r="H1189" s="5">
        <v>0</v>
      </c>
    </row>
    <row r="1190" spans="1:8" x14ac:dyDescent="0.55000000000000004">
      <c r="A1190">
        <v>2020</v>
      </c>
      <c r="B1190" t="s">
        <v>477</v>
      </c>
      <c r="C1190" t="s">
        <v>202</v>
      </c>
      <c r="H1190" s="5">
        <v>0</v>
      </c>
    </row>
    <row r="1191" spans="1:8" x14ac:dyDescent="0.55000000000000004">
      <c r="A1191">
        <v>2020</v>
      </c>
      <c r="B1191" t="s">
        <v>476</v>
      </c>
      <c r="C1191" t="s">
        <v>203</v>
      </c>
      <c r="H1191" s="5">
        <v>25891</v>
      </c>
    </row>
    <row r="1192" spans="1:8" x14ac:dyDescent="0.55000000000000004">
      <c r="A1192">
        <v>2020</v>
      </c>
      <c r="B1192" t="s">
        <v>475</v>
      </c>
      <c r="C1192" t="s">
        <v>204</v>
      </c>
      <c r="H1192" s="5">
        <v>0</v>
      </c>
    </row>
    <row r="1193" spans="1:8" x14ac:dyDescent="0.55000000000000004">
      <c r="A1193">
        <v>2020</v>
      </c>
      <c r="B1193" t="s">
        <v>474</v>
      </c>
      <c r="C1193" t="s">
        <v>205</v>
      </c>
      <c r="H1193" s="5">
        <v>14500</v>
      </c>
    </row>
    <row r="1194" spans="1:8" x14ac:dyDescent="0.55000000000000004">
      <c r="A1194">
        <v>2020</v>
      </c>
      <c r="B1194" t="s">
        <v>473</v>
      </c>
      <c r="C1194" t="s">
        <v>206</v>
      </c>
      <c r="H1194" s="5">
        <v>0</v>
      </c>
    </row>
    <row r="1195" spans="1:8" x14ac:dyDescent="0.55000000000000004">
      <c r="A1195">
        <v>2020</v>
      </c>
      <c r="B1195" t="s">
        <v>471</v>
      </c>
      <c r="C1195" t="s">
        <v>208</v>
      </c>
      <c r="H1195" s="5">
        <v>31147</v>
      </c>
    </row>
    <row r="1196" spans="1:8" x14ac:dyDescent="0.55000000000000004">
      <c r="A1196">
        <v>2020</v>
      </c>
      <c r="B1196" t="s">
        <v>470</v>
      </c>
      <c r="C1196" t="s">
        <v>209</v>
      </c>
      <c r="H1196" s="5">
        <v>0</v>
      </c>
    </row>
    <row r="1197" spans="1:8" x14ac:dyDescent="0.55000000000000004">
      <c r="A1197">
        <v>2020</v>
      </c>
      <c r="B1197" t="s">
        <v>472</v>
      </c>
      <c r="C1197" t="s">
        <v>207</v>
      </c>
      <c r="H1197" s="5">
        <v>23545</v>
      </c>
    </row>
    <row r="1198" spans="1:8" x14ac:dyDescent="0.55000000000000004">
      <c r="A1198">
        <v>2020</v>
      </c>
      <c r="B1198" t="s">
        <v>469</v>
      </c>
      <c r="C1198" t="s">
        <v>210</v>
      </c>
      <c r="H1198" s="5">
        <v>0</v>
      </c>
    </row>
    <row r="1199" spans="1:8" x14ac:dyDescent="0.55000000000000004">
      <c r="A1199">
        <v>2020</v>
      </c>
      <c r="B1199" t="s">
        <v>553</v>
      </c>
      <c r="C1199" t="s">
        <v>130</v>
      </c>
      <c r="H1199" s="5">
        <v>139120</v>
      </c>
    </row>
    <row r="1200" spans="1:8" x14ac:dyDescent="0.55000000000000004">
      <c r="A1200">
        <v>2020</v>
      </c>
      <c r="B1200" t="s">
        <v>673</v>
      </c>
      <c r="C1200" t="s">
        <v>329</v>
      </c>
      <c r="H1200" s="5">
        <v>148482</v>
      </c>
    </row>
    <row r="1201" spans="1:8" x14ac:dyDescent="0.55000000000000004">
      <c r="A1201">
        <v>2020</v>
      </c>
      <c r="B1201" t="s">
        <v>511</v>
      </c>
      <c r="C1201" t="s">
        <v>170</v>
      </c>
      <c r="H1201" s="5">
        <v>0</v>
      </c>
    </row>
    <row r="1202" spans="1:8" x14ac:dyDescent="0.55000000000000004">
      <c r="A1202">
        <v>2020</v>
      </c>
      <c r="B1202" t="s">
        <v>466</v>
      </c>
      <c r="C1202" t="s">
        <v>1228</v>
      </c>
      <c r="H1202" s="5">
        <v>151543</v>
      </c>
    </row>
    <row r="1203" spans="1:8" x14ac:dyDescent="0.55000000000000004">
      <c r="A1203">
        <v>2020</v>
      </c>
      <c r="B1203" t="s">
        <v>642</v>
      </c>
      <c r="C1203" t="s">
        <v>53</v>
      </c>
      <c r="H1203" s="5">
        <v>5403</v>
      </c>
    </row>
    <row r="1204" spans="1:8" x14ac:dyDescent="0.55000000000000004">
      <c r="A1204">
        <v>2020</v>
      </c>
      <c r="B1204" t="s">
        <v>462</v>
      </c>
      <c r="C1204" t="s">
        <v>216</v>
      </c>
      <c r="H1204" s="5">
        <v>44116</v>
      </c>
    </row>
    <row r="1205" spans="1:8" x14ac:dyDescent="0.55000000000000004">
      <c r="A1205">
        <v>2020</v>
      </c>
      <c r="B1205" t="s">
        <v>463</v>
      </c>
      <c r="C1205" t="s">
        <v>215</v>
      </c>
      <c r="H1205" s="5">
        <v>68128</v>
      </c>
    </row>
    <row r="1206" spans="1:8" x14ac:dyDescent="0.55000000000000004">
      <c r="A1206">
        <v>2020</v>
      </c>
      <c r="B1206" t="s">
        <v>464</v>
      </c>
      <c r="C1206" t="s">
        <v>214</v>
      </c>
      <c r="H1206" s="5">
        <v>37765</v>
      </c>
    </row>
    <row r="1207" spans="1:8" x14ac:dyDescent="0.55000000000000004">
      <c r="A1207">
        <v>2020</v>
      </c>
      <c r="B1207" t="s">
        <v>461</v>
      </c>
      <c r="C1207" t="s">
        <v>217</v>
      </c>
      <c r="H1207" s="5">
        <v>92584</v>
      </c>
    </row>
    <row r="1208" spans="1:8" x14ac:dyDescent="0.55000000000000004">
      <c r="A1208">
        <v>2020</v>
      </c>
      <c r="B1208" t="s">
        <v>460</v>
      </c>
      <c r="C1208" t="s">
        <v>218</v>
      </c>
      <c r="H1208" s="5">
        <v>0</v>
      </c>
    </row>
    <row r="1209" spans="1:8" x14ac:dyDescent="0.55000000000000004">
      <c r="A1209">
        <v>2020</v>
      </c>
      <c r="B1209" t="s">
        <v>459</v>
      </c>
      <c r="C1209" t="s">
        <v>1229</v>
      </c>
      <c r="H1209" s="5">
        <v>28846</v>
      </c>
    </row>
    <row r="1210" spans="1:8" x14ac:dyDescent="0.55000000000000004">
      <c r="A1210">
        <v>2020</v>
      </c>
      <c r="B1210" t="s">
        <v>666</v>
      </c>
      <c r="C1210" t="s">
        <v>343</v>
      </c>
      <c r="H1210" s="5">
        <v>133652</v>
      </c>
    </row>
    <row r="1211" spans="1:8" x14ac:dyDescent="0.55000000000000004">
      <c r="A1211">
        <v>2020</v>
      </c>
      <c r="B1211" t="s">
        <v>467</v>
      </c>
      <c r="C1211" t="s">
        <v>211</v>
      </c>
      <c r="H1211" s="5">
        <v>148634</v>
      </c>
    </row>
    <row r="1212" spans="1:8" x14ac:dyDescent="0.55000000000000004">
      <c r="A1212">
        <v>2020</v>
      </c>
      <c r="B1212" t="s">
        <v>457</v>
      </c>
      <c r="C1212" t="s">
        <v>221</v>
      </c>
      <c r="H1212" s="5">
        <v>37230</v>
      </c>
    </row>
    <row r="1213" spans="1:8" x14ac:dyDescent="0.55000000000000004">
      <c r="A1213">
        <v>2020</v>
      </c>
      <c r="B1213" t="s">
        <v>456</v>
      </c>
      <c r="C1213" t="s">
        <v>222</v>
      </c>
      <c r="H1213" s="5">
        <v>0</v>
      </c>
    </row>
    <row r="1214" spans="1:8" x14ac:dyDescent="0.55000000000000004">
      <c r="A1214">
        <v>2020</v>
      </c>
      <c r="B1214" t="s">
        <v>455</v>
      </c>
      <c r="C1214" t="s">
        <v>1230</v>
      </c>
      <c r="H1214" s="5">
        <v>69185</v>
      </c>
    </row>
    <row r="1215" spans="1:8" x14ac:dyDescent="0.55000000000000004">
      <c r="A1215">
        <v>2020</v>
      </c>
      <c r="B1215" t="s">
        <v>454</v>
      </c>
      <c r="C1215" t="s">
        <v>224</v>
      </c>
      <c r="H1215" s="5">
        <v>0</v>
      </c>
    </row>
    <row r="1216" spans="1:8" x14ac:dyDescent="0.55000000000000004">
      <c r="A1216">
        <v>2020</v>
      </c>
      <c r="B1216" t="s">
        <v>453</v>
      </c>
      <c r="C1216" t="s">
        <v>225</v>
      </c>
      <c r="H1216" s="5">
        <v>9475</v>
      </c>
    </row>
    <row r="1217" spans="1:8" x14ac:dyDescent="0.55000000000000004">
      <c r="A1217">
        <v>2020</v>
      </c>
      <c r="B1217" t="s">
        <v>452</v>
      </c>
      <c r="C1217" t="s">
        <v>226</v>
      </c>
      <c r="H1217" s="5">
        <v>14053</v>
      </c>
    </row>
    <row r="1218" spans="1:8" x14ac:dyDescent="0.55000000000000004">
      <c r="A1218">
        <v>2020</v>
      </c>
      <c r="B1218" t="s">
        <v>451</v>
      </c>
      <c r="C1218" t="s">
        <v>1231</v>
      </c>
      <c r="H1218" s="5">
        <v>167612</v>
      </c>
    </row>
    <row r="1219" spans="1:8" x14ac:dyDescent="0.55000000000000004">
      <c r="A1219">
        <v>2020</v>
      </c>
      <c r="B1219" t="s">
        <v>450</v>
      </c>
      <c r="C1219" t="s">
        <v>228</v>
      </c>
      <c r="H1219" s="5">
        <v>0</v>
      </c>
    </row>
    <row r="1220" spans="1:8" x14ac:dyDescent="0.55000000000000004">
      <c r="A1220">
        <v>2020</v>
      </c>
      <c r="B1220" t="s">
        <v>449</v>
      </c>
      <c r="C1220" t="s">
        <v>229</v>
      </c>
      <c r="H1220" s="5">
        <v>37705</v>
      </c>
    </row>
    <row r="1221" spans="1:8" x14ac:dyDescent="0.55000000000000004">
      <c r="A1221">
        <v>2020</v>
      </c>
      <c r="B1221" t="s">
        <v>448</v>
      </c>
      <c r="C1221" t="s">
        <v>230</v>
      </c>
      <c r="H1221" s="5">
        <v>0</v>
      </c>
    </row>
    <row r="1222" spans="1:8" x14ac:dyDescent="0.55000000000000004">
      <c r="A1222">
        <v>2020</v>
      </c>
      <c r="B1222" t="s">
        <v>447</v>
      </c>
      <c r="C1222" t="s">
        <v>231</v>
      </c>
      <c r="H1222" s="5">
        <v>0</v>
      </c>
    </row>
    <row r="1223" spans="1:8" x14ac:dyDescent="0.55000000000000004">
      <c r="A1223">
        <v>2020</v>
      </c>
      <c r="B1223" t="s">
        <v>446</v>
      </c>
      <c r="C1223" t="s">
        <v>232</v>
      </c>
      <c r="H1223" s="5">
        <v>65523</v>
      </c>
    </row>
    <row r="1224" spans="1:8" x14ac:dyDescent="0.55000000000000004">
      <c r="A1224">
        <v>2020</v>
      </c>
      <c r="B1224" t="s">
        <v>445</v>
      </c>
      <c r="C1224" t="s">
        <v>233</v>
      </c>
      <c r="H1224" s="5">
        <v>94325</v>
      </c>
    </row>
    <row r="1225" spans="1:8" x14ac:dyDescent="0.55000000000000004">
      <c r="A1225">
        <v>2020</v>
      </c>
      <c r="B1225" t="s">
        <v>444</v>
      </c>
      <c r="C1225" t="s">
        <v>234</v>
      </c>
      <c r="H1225" s="5">
        <v>0</v>
      </c>
    </row>
    <row r="1226" spans="1:8" x14ac:dyDescent="0.55000000000000004">
      <c r="A1226">
        <v>2020</v>
      </c>
      <c r="B1226" t="s">
        <v>443</v>
      </c>
      <c r="C1226" t="s">
        <v>235</v>
      </c>
      <c r="H1226" s="5">
        <v>195640</v>
      </c>
    </row>
    <row r="1227" spans="1:8" x14ac:dyDescent="0.55000000000000004">
      <c r="A1227">
        <v>2020</v>
      </c>
      <c r="B1227" t="s">
        <v>442</v>
      </c>
      <c r="C1227" t="s">
        <v>236</v>
      </c>
      <c r="H1227" s="5">
        <v>0</v>
      </c>
    </row>
    <row r="1228" spans="1:8" x14ac:dyDescent="0.55000000000000004">
      <c r="A1228">
        <v>2020</v>
      </c>
      <c r="B1228" t="s">
        <v>441</v>
      </c>
      <c r="C1228" t="s">
        <v>237</v>
      </c>
      <c r="H1228" s="5">
        <v>0</v>
      </c>
    </row>
    <row r="1229" spans="1:8" x14ac:dyDescent="0.55000000000000004">
      <c r="A1229">
        <v>2020</v>
      </c>
      <c r="B1229" t="s">
        <v>440</v>
      </c>
      <c r="C1229" t="s">
        <v>238</v>
      </c>
      <c r="H1229" s="5">
        <v>0</v>
      </c>
    </row>
    <row r="1230" spans="1:8" x14ac:dyDescent="0.55000000000000004">
      <c r="A1230">
        <v>2020</v>
      </c>
      <c r="B1230" t="s">
        <v>439</v>
      </c>
      <c r="C1230" t="s">
        <v>239</v>
      </c>
      <c r="H1230" s="5">
        <v>0</v>
      </c>
    </row>
    <row r="1231" spans="1:8" x14ac:dyDescent="0.55000000000000004">
      <c r="A1231">
        <v>2020</v>
      </c>
      <c r="B1231" t="s">
        <v>438</v>
      </c>
      <c r="C1231" t="s">
        <v>240</v>
      </c>
      <c r="H1231" s="5">
        <v>84941</v>
      </c>
    </row>
    <row r="1232" spans="1:8" x14ac:dyDescent="0.55000000000000004">
      <c r="A1232">
        <v>2020</v>
      </c>
      <c r="B1232" t="s">
        <v>437</v>
      </c>
      <c r="C1232" t="s">
        <v>241</v>
      </c>
      <c r="H1232" s="5">
        <v>0</v>
      </c>
    </row>
    <row r="1233" spans="1:8" x14ac:dyDescent="0.55000000000000004">
      <c r="A1233">
        <v>2020</v>
      </c>
      <c r="B1233" t="s">
        <v>436</v>
      </c>
      <c r="C1233" t="s">
        <v>242</v>
      </c>
      <c r="H1233" s="5">
        <v>179077</v>
      </c>
    </row>
    <row r="1234" spans="1:8" x14ac:dyDescent="0.55000000000000004">
      <c r="A1234">
        <v>2020</v>
      </c>
      <c r="B1234" t="s">
        <v>435</v>
      </c>
      <c r="C1234" t="s">
        <v>243</v>
      </c>
      <c r="H1234" s="5">
        <v>0</v>
      </c>
    </row>
    <row r="1235" spans="1:8" x14ac:dyDescent="0.55000000000000004">
      <c r="A1235">
        <v>2020</v>
      </c>
      <c r="B1235" t="s">
        <v>434</v>
      </c>
      <c r="C1235" t="s">
        <v>244</v>
      </c>
      <c r="H1235" s="5">
        <v>0</v>
      </c>
    </row>
    <row r="1236" spans="1:8" x14ac:dyDescent="0.55000000000000004">
      <c r="A1236">
        <v>2020</v>
      </c>
      <c r="B1236" t="s">
        <v>433</v>
      </c>
      <c r="C1236" t="s">
        <v>245</v>
      </c>
      <c r="H1236" s="5">
        <v>43904</v>
      </c>
    </row>
    <row r="1237" spans="1:8" x14ac:dyDescent="0.55000000000000004">
      <c r="A1237">
        <v>2020</v>
      </c>
      <c r="B1237" t="s">
        <v>577</v>
      </c>
      <c r="C1237" t="s">
        <v>110</v>
      </c>
      <c r="H1237" s="5">
        <v>66201</v>
      </c>
    </row>
    <row r="1238" spans="1:8" x14ac:dyDescent="0.55000000000000004">
      <c r="A1238">
        <v>2020</v>
      </c>
      <c r="B1238" t="s">
        <v>432</v>
      </c>
      <c r="C1238" t="s">
        <v>246</v>
      </c>
      <c r="H1238" s="5">
        <v>127083</v>
      </c>
    </row>
    <row r="1239" spans="1:8" x14ac:dyDescent="0.55000000000000004">
      <c r="A1239">
        <v>2020</v>
      </c>
      <c r="B1239" t="s">
        <v>431</v>
      </c>
      <c r="C1239" t="s">
        <v>247</v>
      </c>
      <c r="H1239" s="5">
        <v>0</v>
      </c>
    </row>
    <row r="1240" spans="1:8" x14ac:dyDescent="0.55000000000000004">
      <c r="A1240">
        <v>2020</v>
      </c>
      <c r="B1240" t="s">
        <v>430</v>
      </c>
      <c r="C1240" t="s">
        <v>248</v>
      </c>
      <c r="H1240" s="5">
        <v>0</v>
      </c>
    </row>
    <row r="1241" spans="1:8" x14ac:dyDescent="0.55000000000000004">
      <c r="A1241">
        <v>2020</v>
      </c>
      <c r="B1241" t="s">
        <v>429</v>
      </c>
      <c r="C1241" t="s">
        <v>1195</v>
      </c>
      <c r="H1241" s="5">
        <v>83258</v>
      </c>
    </row>
    <row r="1242" spans="1:8" x14ac:dyDescent="0.55000000000000004">
      <c r="A1242">
        <v>2020</v>
      </c>
      <c r="B1242" t="s">
        <v>428</v>
      </c>
      <c r="C1242" t="s">
        <v>249</v>
      </c>
      <c r="H1242" s="5">
        <v>72477</v>
      </c>
    </row>
    <row r="1243" spans="1:8" x14ac:dyDescent="0.55000000000000004">
      <c r="A1243">
        <v>2020</v>
      </c>
      <c r="B1243" t="s">
        <v>426</v>
      </c>
      <c r="C1243" t="s">
        <v>251</v>
      </c>
      <c r="H1243" s="5">
        <v>183433</v>
      </c>
    </row>
    <row r="1244" spans="1:8" x14ac:dyDescent="0.55000000000000004">
      <c r="A1244">
        <v>2020</v>
      </c>
      <c r="B1244" t="s">
        <v>425</v>
      </c>
      <c r="C1244" t="s">
        <v>252</v>
      </c>
      <c r="H1244" s="5">
        <v>77969</v>
      </c>
    </row>
    <row r="1245" spans="1:8" x14ac:dyDescent="0.55000000000000004">
      <c r="A1245">
        <v>2020</v>
      </c>
      <c r="B1245" t="s">
        <v>424</v>
      </c>
      <c r="C1245" t="s">
        <v>253</v>
      </c>
      <c r="H1245" s="5">
        <v>92207</v>
      </c>
    </row>
    <row r="1246" spans="1:8" x14ac:dyDescent="0.55000000000000004">
      <c r="A1246">
        <v>2020</v>
      </c>
      <c r="B1246" t="s">
        <v>423</v>
      </c>
      <c r="C1246" t="s">
        <v>254</v>
      </c>
      <c r="H1246" s="5">
        <v>0</v>
      </c>
    </row>
    <row r="1247" spans="1:8" x14ac:dyDescent="0.55000000000000004">
      <c r="A1247">
        <v>2020</v>
      </c>
      <c r="B1247" t="s">
        <v>422</v>
      </c>
      <c r="C1247" t="s">
        <v>255</v>
      </c>
      <c r="H1247" s="5">
        <v>23588</v>
      </c>
    </row>
    <row r="1248" spans="1:8" x14ac:dyDescent="0.55000000000000004">
      <c r="A1248">
        <v>2020</v>
      </c>
      <c r="B1248" t="s">
        <v>420</v>
      </c>
      <c r="C1248" t="s">
        <v>256</v>
      </c>
      <c r="H1248" s="5">
        <v>0</v>
      </c>
    </row>
    <row r="1249" spans="1:8" x14ac:dyDescent="0.55000000000000004">
      <c r="A1249">
        <v>2020</v>
      </c>
      <c r="B1249" t="s">
        <v>419</v>
      </c>
      <c r="C1249" t="s">
        <v>257</v>
      </c>
      <c r="H1249" s="5">
        <v>30746</v>
      </c>
    </row>
    <row r="1250" spans="1:8" x14ac:dyDescent="0.55000000000000004">
      <c r="A1250">
        <v>2020</v>
      </c>
      <c r="B1250" t="s">
        <v>418</v>
      </c>
      <c r="C1250" t="s">
        <v>258</v>
      </c>
      <c r="H1250" s="5">
        <v>62714</v>
      </c>
    </row>
    <row r="1251" spans="1:8" x14ac:dyDescent="0.55000000000000004">
      <c r="A1251">
        <v>2020</v>
      </c>
      <c r="B1251" t="s">
        <v>417</v>
      </c>
      <c r="C1251" t="s">
        <v>259</v>
      </c>
      <c r="H1251" s="5">
        <v>107394</v>
      </c>
    </row>
    <row r="1252" spans="1:8" x14ac:dyDescent="0.55000000000000004">
      <c r="A1252">
        <v>2020</v>
      </c>
      <c r="B1252" t="s">
        <v>416</v>
      </c>
      <c r="C1252" t="s">
        <v>260</v>
      </c>
      <c r="H1252" s="5">
        <v>0</v>
      </c>
    </row>
    <row r="1253" spans="1:8" x14ac:dyDescent="0.55000000000000004">
      <c r="A1253">
        <v>2020</v>
      </c>
      <c r="B1253" t="s">
        <v>415</v>
      </c>
      <c r="C1253" t="s">
        <v>261</v>
      </c>
      <c r="H1253" s="5">
        <v>0</v>
      </c>
    </row>
    <row r="1254" spans="1:8" x14ac:dyDescent="0.55000000000000004">
      <c r="A1254">
        <v>2020</v>
      </c>
      <c r="B1254" t="s">
        <v>414</v>
      </c>
      <c r="C1254" t="s">
        <v>262</v>
      </c>
      <c r="H1254" s="5">
        <v>162046</v>
      </c>
    </row>
    <row r="1255" spans="1:8" x14ac:dyDescent="0.55000000000000004">
      <c r="A1255">
        <v>2020</v>
      </c>
      <c r="B1255" t="s">
        <v>413</v>
      </c>
      <c r="C1255" t="s">
        <v>263</v>
      </c>
      <c r="H1255" s="5">
        <v>0</v>
      </c>
    </row>
    <row r="1256" spans="1:8" x14ac:dyDescent="0.55000000000000004">
      <c r="A1256">
        <v>2020</v>
      </c>
      <c r="B1256" t="s">
        <v>411</v>
      </c>
      <c r="C1256" t="s">
        <v>264</v>
      </c>
      <c r="H1256" s="5">
        <v>0</v>
      </c>
    </row>
    <row r="1257" spans="1:8" x14ac:dyDescent="0.55000000000000004">
      <c r="A1257">
        <v>2020</v>
      </c>
      <c r="B1257" t="s">
        <v>412</v>
      </c>
      <c r="C1257" t="s">
        <v>340</v>
      </c>
      <c r="H1257" s="5">
        <v>133011</v>
      </c>
    </row>
    <row r="1258" spans="1:8" x14ac:dyDescent="0.55000000000000004">
      <c r="A1258">
        <v>2020</v>
      </c>
      <c r="B1258" t="s">
        <v>409</v>
      </c>
      <c r="C1258" t="s">
        <v>266</v>
      </c>
      <c r="H1258" s="5">
        <v>58793</v>
      </c>
    </row>
    <row r="1259" spans="1:8" x14ac:dyDescent="0.55000000000000004">
      <c r="A1259">
        <v>2020</v>
      </c>
      <c r="B1259" t="s">
        <v>405</v>
      </c>
      <c r="C1259" t="s">
        <v>270</v>
      </c>
      <c r="H1259" s="5">
        <v>44522</v>
      </c>
    </row>
    <row r="1260" spans="1:8" x14ac:dyDescent="0.55000000000000004">
      <c r="A1260">
        <v>2020</v>
      </c>
      <c r="B1260" t="s">
        <v>407</v>
      </c>
      <c r="C1260" t="s">
        <v>268</v>
      </c>
      <c r="H1260" s="5">
        <v>18975</v>
      </c>
    </row>
    <row r="1261" spans="1:8" x14ac:dyDescent="0.55000000000000004">
      <c r="A1261">
        <v>2020</v>
      </c>
      <c r="B1261" t="s">
        <v>406</v>
      </c>
      <c r="C1261" t="s">
        <v>1232</v>
      </c>
      <c r="H1261" s="5">
        <v>47250</v>
      </c>
    </row>
    <row r="1262" spans="1:8" x14ac:dyDescent="0.55000000000000004">
      <c r="A1262">
        <v>2020</v>
      </c>
      <c r="B1262" t="s">
        <v>404</v>
      </c>
      <c r="C1262" t="s">
        <v>271</v>
      </c>
      <c r="H1262" s="5">
        <v>43779</v>
      </c>
    </row>
    <row r="1263" spans="1:8" x14ac:dyDescent="0.55000000000000004">
      <c r="A1263">
        <v>2020</v>
      </c>
      <c r="B1263" t="s">
        <v>403</v>
      </c>
      <c r="C1263" t="s">
        <v>272</v>
      </c>
      <c r="H1263" s="5">
        <v>0</v>
      </c>
    </row>
    <row r="1264" spans="1:8" x14ac:dyDescent="0.55000000000000004">
      <c r="A1264">
        <v>2020</v>
      </c>
      <c r="B1264" t="s">
        <v>410</v>
      </c>
      <c r="C1264" t="s">
        <v>265</v>
      </c>
      <c r="H1264" s="5">
        <v>103433</v>
      </c>
    </row>
    <row r="1265" spans="1:8" x14ac:dyDescent="0.55000000000000004">
      <c r="A1265">
        <v>2020</v>
      </c>
      <c r="B1265" t="s">
        <v>408</v>
      </c>
      <c r="C1265" t="s">
        <v>1233</v>
      </c>
      <c r="H1265" s="5">
        <v>249751</v>
      </c>
    </row>
    <row r="1266" spans="1:8" x14ac:dyDescent="0.55000000000000004">
      <c r="A1266">
        <v>2020</v>
      </c>
      <c r="B1266" t="s">
        <v>402</v>
      </c>
      <c r="C1266" t="s">
        <v>273</v>
      </c>
      <c r="H1266" s="5">
        <v>0</v>
      </c>
    </row>
    <row r="1267" spans="1:8" x14ac:dyDescent="0.55000000000000004">
      <c r="A1267">
        <v>2020</v>
      </c>
      <c r="B1267" t="s">
        <v>401</v>
      </c>
      <c r="C1267" t="s">
        <v>274</v>
      </c>
      <c r="H1267" s="5">
        <v>0</v>
      </c>
    </row>
    <row r="1268" spans="1:8" x14ac:dyDescent="0.55000000000000004">
      <c r="A1268">
        <v>2020</v>
      </c>
      <c r="B1268" t="s">
        <v>400</v>
      </c>
      <c r="C1268" t="s">
        <v>275</v>
      </c>
      <c r="H1268" s="5">
        <v>0</v>
      </c>
    </row>
    <row r="1269" spans="1:8" x14ac:dyDescent="0.55000000000000004">
      <c r="A1269">
        <v>2020</v>
      </c>
      <c r="B1269" t="s">
        <v>427</v>
      </c>
      <c r="C1269" t="s">
        <v>250</v>
      </c>
      <c r="H1269" s="5">
        <v>165875</v>
      </c>
    </row>
    <row r="1270" spans="1:8" x14ac:dyDescent="0.55000000000000004">
      <c r="A1270">
        <v>2020</v>
      </c>
      <c r="B1270" t="s">
        <v>399</v>
      </c>
      <c r="C1270" t="s">
        <v>276</v>
      </c>
      <c r="H1270" s="5">
        <v>10792</v>
      </c>
    </row>
    <row r="1271" spans="1:8" x14ac:dyDescent="0.55000000000000004">
      <c r="A1271">
        <v>2020</v>
      </c>
      <c r="B1271" t="s">
        <v>398</v>
      </c>
      <c r="C1271" t="s">
        <v>277</v>
      </c>
      <c r="H1271" s="5">
        <v>0</v>
      </c>
    </row>
    <row r="1272" spans="1:8" x14ac:dyDescent="0.55000000000000004">
      <c r="A1272">
        <v>2020</v>
      </c>
      <c r="B1272" t="s">
        <v>397</v>
      </c>
      <c r="C1272" t="s">
        <v>278</v>
      </c>
      <c r="H1272" s="5">
        <v>0</v>
      </c>
    </row>
    <row r="1273" spans="1:8" x14ac:dyDescent="0.55000000000000004">
      <c r="A1273">
        <v>2020</v>
      </c>
      <c r="B1273" t="s">
        <v>396</v>
      </c>
      <c r="C1273" t="s">
        <v>279</v>
      </c>
      <c r="H1273" s="5">
        <v>14940</v>
      </c>
    </row>
    <row r="1274" spans="1:8" x14ac:dyDescent="0.55000000000000004">
      <c r="A1274">
        <v>2020</v>
      </c>
      <c r="B1274" t="s">
        <v>394</v>
      </c>
      <c r="C1274" t="s">
        <v>341</v>
      </c>
      <c r="H1274" s="5">
        <v>71812</v>
      </c>
    </row>
    <row r="1275" spans="1:8" x14ac:dyDescent="0.55000000000000004">
      <c r="A1275">
        <v>2020</v>
      </c>
      <c r="B1275" t="s">
        <v>393</v>
      </c>
      <c r="C1275" t="s">
        <v>281</v>
      </c>
      <c r="H1275" s="5">
        <v>0</v>
      </c>
    </row>
    <row r="1276" spans="1:8" x14ac:dyDescent="0.55000000000000004">
      <c r="A1276">
        <v>2020</v>
      </c>
      <c r="B1276" t="s">
        <v>392</v>
      </c>
      <c r="C1276" t="s">
        <v>282</v>
      </c>
      <c r="H1276" s="5">
        <v>73709</v>
      </c>
    </row>
    <row r="1277" spans="1:8" x14ac:dyDescent="0.55000000000000004">
      <c r="A1277">
        <v>2020</v>
      </c>
      <c r="B1277" t="s">
        <v>391</v>
      </c>
      <c r="C1277" t="s">
        <v>283</v>
      </c>
      <c r="H1277" s="5">
        <v>72311</v>
      </c>
    </row>
    <row r="1278" spans="1:8" x14ac:dyDescent="0.55000000000000004">
      <c r="A1278">
        <v>2020</v>
      </c>
      <c r="B1278" t="s">
        <v>390</v>
      </c>
      <c r="C1278" t="s">
        <v>284</v>
      </c>
      <c r="H1278" s="5">
        <v>69313</v>
      </c>
    </row>
    <row r="1279" spans="1:8" x14ac:dyDescent="0.55000000000000004">
      <c r="A1279">
        <v>2020</v>
      </c>
      <c r="B1279" t="s">
        <v>389</v>
      </c>
      <c r="C1279" t="s">
        <v>285</v>
      </c>
      <c r="H1279" s="5">
        <v>0</v>
      </c>
    </row>
    <row r="1280" spans="1:8" x14ac:dyDescent="0.55000000000000004">
      <c r="A1280">
        <v>2020</v>
      </c>
      <c r="B1280" t="s">
        <v>388</v>
      </c>
      <c r="C1280" t="s">
        <v>286</v>
      </c>
      <c r="H1280" s="5">
        <v>65969</v>
      </c>
    </row>
    <row r="1281" spans="1:8" x14ac:dyDescent="0.55000000000000004">
      <c r="A1281">
        <v>2020</v>
      </c>
      <c r="B1281" t="s">
        <v>387</v>
      </c>
      <c r="C1281" t="s">
        <v>287</v>
      </c>
      <c r="H1281" s="5">
        <v>35472</v>
      </c>
    </row>
    <row r="1282" spans="1:8" x14ac:dyDescent="0.55000000000000004">
      <c r="A1282">
        <v>2020</v>
      </c>
      <c r="B1282" t="s">
        <v>386</v>
      </c>
      <c r="C1282" t="s">
        <v>288</v>
      </c>
      <c r="H1282" s="5">
        <v>20239</v>
      </c>
    </row>
    <row r="1283" spans="1:8" x14ac:dyDescent="0.55000000000000004">
      <c r="A1283">
        <v>2020</v>
      </c>
      <c r="B1283" t="s">
        <v>385</v>
      </c>
      <c r="C1283" t="s">
        <v>289</v>
      </c>
      <c r="H1283" s="5">
        <v>31063</v>
      </c>
    </row>
    <row r="1284" spans="1:8" x14ac:dyDescent="0.55000000000000004">
      <c r="A1284">
        <v>2020</v>
      </c>
      <c r="B1284" t="s">
        <v>384</v>
      </c>
      <c r="C1284" t="s">
        <v>290</v>
      </c>
      <c r="H1284" s="5">
        <v>71479</v>
      </c>
    </row>
    <row r="1285" spans="1:8" x14ac:dyDescent="0.55000000000000004">
      <c r="A1285">
        <v>2020</v>
      </c>
      <c r="B1285" t="s">
        <v>383</v>
      </c>
      <c r="C1285" t="s">
        <v>291</v>
      </c>
      <c r="H1285" s="5">
        <v>106935</v>
      </c>
    </row>
    <row r="1286" spans="1:8" x14ac:dyDescent="0.55000000000000004">
      <c r="A1286">
        <v>2020</v>
      </c>
      <c r="B1286" t="s">
        <v>382</v>
      </c>
      <c r="C1286" t="s">
        <v>292</v>
      </c>
      <c r="H1286" s="5">
        <v>0</v>
      </c>
    </row>
    <row r="1287" spans="1:8" x14ac:dyDescent="0.55000000000000004">
      <c r="A1287">
        <v>2020</v>
      </c>
      <c r="B1287" t="s">
        <v>380</v>
      </c>
      <c r="C1287" t="s">
        <v>1234</v>
      </c>
      <c r="H1287" s="5">
        <v>326963</v>
      </c>
    </row>
    <row r="1288" spans="1:8" x14ac:dyDescent="0.55000000000000004">
      <c r="A1288">
        <v>2020</v>
      </c>
      <c r="B1288" t="s">
        <v>379</v>
      </c>
      <c r="C1288" t="s">
        <v>295</v>
      </c>
      <c r="H1288" s="5">
        <v>0</v>
      </c>
    </row>
    <row r="1289" spans="1:8" x14ac:dyDescent="0.55000000000000004">
      <c r="A1289">
        <v>2020</v>
      </c>
      <c r="B1289" t="s">
        <v>378</v>
      </c>
      <c r="C1289" t="s">
        <v>296</v>
      </c>
      <c r="H1289" s="5">
        <v>135951</v>
      </c>
    </row>
    <row r="1290" spans="1:8" x14ac:dyDescent="0.55000000000000004">
      <c r="A1290">
        <v>2020</v>
      </c>
      <c r="B1290" t="s">
        <v>377</v>
      </c>
      <c r="C1290" t="s">
        <v>297</v>
      </c>
      <c r="H1290" s="5">
        <v>0</v>
      </c>
    </row>
    <row r="1291" spans="1:8" x14ac:dyDescent="0.55000000000000004">
      <c r="A1291">
        <v>2020</v>
      </c>
      <c r="B1291" t="s">
        <v>376</v>
      </c>
      <c r="C1291" t="s">
        <v>298</v>
      </c>
      <c r="H1291" s="5">
        <v>0</v>
      </c>
    </row>
    <row r="1292" spans="1:8" x14ac:dyDescent="0.55000000000000004">
      <c r="A1292">
        <v>2020</v>
      </c>
      <c r="B1292" t="s">
        <v>374</v>
      </c>
      <c r="C1292" t="s">
        <v>299</v>
      </c>
      <c r="H1292" s="5">
        <v>0</v>
      </c>
    </row>
    <row r="1293" spans="1:8" x14ac:dyDescent="0.55000000000000004">
      <c r="A1293">
        <v>2020</v>
      </c>
      <c r="B1293" t="s">
        <v>373</v>
      </c>
      <c r="C1293" t="s">
        <v>300</v>
      </c>
      <c r="H1293" s="5">
        <v>0</v>
      </c>
    </row>
    <row r="1294" spans="1:8" x14ac:dyDescent="0.55000000000000004">
      <c r="A1294">
        <v>2020</v>
      </c>
      <c r="B1294" t="s">
        <v>372</v>
      </c>
      <c r="C1294" t="s">
        <v>301</v>
      </c>
      <c r="H1294" s="5">
        <v>0</v>
      </c>
    </row>
    <row r="1295" spans="1:8" x14ac:dyDescent="0.55000000000000004">
      <c r="A1295">
        <v>2020</v>
      </c>
      <c r="B1295" t="s">
        <v>371</v>
      </c>
      <c r="C1295" t="s">
        <v>302</v>
      </c>
      <c r="H1295" s="5">
        <v>277052</v>
      </c>
    </row>
    <row r="1296" spans="1:8" x14ac:dyDescent="0.55000000000000004">
      <c r="A1296">
        <v>2020</v>
      </c>
      <c r="B1296" t="s">
        <v>370</v>
      </c>
      <c r="C1296" t="s">
        <v>303</v>
      </c>
      <c r="H1296" s="5">
        <v>0</v>
      </c>
    </row>
    <row r="1297" spans="1:8" x14ac:dyDescent="0.55000000000000004">
      <c r="A1297">
        <v>2020</v>
      </c>
      <c r="B1297" t="s">
        <v>369</v>
      </c>
      <c r="C1297" t="s">
        <v>304</v>
      </c>
      <c r="H1297" s="5">
        <v>0</v>
      </c>
    </row>
    <row r="1298" spans="1:8" x14ac:dyDescent="0.55000000000000004">
      <c r="A1298">
        <v>2020</v>
      </c>
      <c r="B1298" t="s">
        <v>368</v>
      </c>
      <c r="C1298" t="s">
        <v>305</v>
      </c>
      <c r="H1298" s="5">
        <v>131664</v>
      </c>
    </row>
    <row r="1299" spans="1:8" x14ac:dyDescent="0.55000000000000004">
      <c r="A1299">
        <v>2020</v>
      </c>
      <c r="B1299" t="s">
        <v>367</v>
      </c>
      <c r="C1299" t="s">
        <v>306</v>
      </c>
      <c r="H1299" s="5">
        <v>155611</v>
      </c>
    </row>
    <row r="1300" spans="1:8" x14ac:dyDescent="0.55000000000000004">
      <c r="A1300">
        <v>2020</v>
      </c>
      <c r="B1300" t="s">
        <v>366</v>
      </c>
      <c r="C1300" t="s">
        <v>307</v>
      </c>
      <c r="H1300" s="5">
        <v>46417</v>
      </c>
    </row>
    <row r="1301" spans="1:8" x14ac:dyDescent="0.55000000000000004">
      <c r="A1301">
        <v>2020</v>
      </c>
      <c r="B1301" t="s">
        <v>365</v>
      </c>
      <c r="C1301" t="s">
        <v>308</v>
      </c>
      <c r="H1301" s="5">
        <v>8411</v>
      </c>
    </row>
    <row r="1302" spans="1:8" x14ac:dyDescent="0.55000000000000004">
      <c r="A1302">
        <v>2020</v>
      </c>
      <c r="B1302" t="s">
        <v>364</v>
      </c>
      <c r="C1302" t="s">
        <v>1235</v>
      </c>
      <c r="H1302" s="5">
        <v>0</v>
      </c>
    </row>
    <row r="1303" spans="1:8" x14ac:dyDescent="0.55000000000000004">
      <c r="A1303">
        <v>2020</v>
      </c>
      <c r="B1303" t="s">
        <v>363</v>
      </c>
      <c r="C1303" t="s">
        <v>310</v>
      </c>
      <c r="H1303" s="5">
        <v>0</v>
      </c>
    </row>
    <row r="1304" spans="1:8" x14ac:dyDescent="0.55000000000000004">
      <c r="A1304">
        <v>2020</v>
      </c>
      <c r="B1304" t="s">
        <v>395</v>
      </c>
      <c r="C1304" t="s">
        <v>280</v>
      </c>
      <c r="H1304" s="5">
        <v>21270</v>
      </c>
    </row>
    <row r="1305" spans="1:8" x14ac:dyDescent="0.55000000000000004">
      <c r="A1305">
        <v>2020</v>
      </c>
      <c r="B1305" t="s">
        <v>362</v>
      </c>
      <c r="C1305" t="s">
        <v>1236</v>
      </c>
      <c r="H1305" s="5">
        <v>86002</v>
      </c>
    </row>
    <row r="1306" spans="1:8" x14ac:dyDescent="0.55000000000000004">
      <c r="A1306">
        <v>2020</v>
      </c>
      <c r="B1306" t="s">
        <v>361</v>
      </c>
      <c r="C1306" t="s">
        <v>312</v>
      </c>
      <c r="H1306" s="5">
        <v>0</v>
      </c>
    </row>
    <row r="1307" spans="1:8" x14ac:dyDescent="0.55000000000000004">
      <c r="A1307">
        <v>2020</v>
      </c>
      <c r="B1307" t="s">
        <v>421</v>
      </c>
      <c r="C1307" t="s">
        <v>1196</v>
      </c>
      <c r="H1307" s="5">
        <v>208449</v>
      </c>
    </row>
    <row r="1308" spans="1:8" x14ac:dyDescent="0.55000000000000004">
      <c r="A1308">
        <v>2020</v>
      </c>
      <c r="B1308" t="s">
        <v>644</v>
      </c>
      <c r="C1308" t="s">
        <v>51</v>
      </c>
      <c r="H1308" s="5">
        <v>6602</v>
      </c>
    </row>
    <row r="1309" spans="1:8" x14ac:dyDescent="0.55000000000000004">
      <c r="A1309">
        <v>2020</v>
      </c>
      <c r="B1309" t="s">
        <v>359</v>
      </c>
      <c r="C1309" t="s">
        <v>314</v>
      </c>
      <c r="H1309" s="5">
        <v>55354</v>
      </c>
    </row>
    <row r="1310" spans="1:8" x14ac:dyDescent="0.55000000000000004">
      <c r="A1310">
        <v>2020</v>
      </c>
      <c r="B1310" t="s">
        <v>358</v>
      </c>
      <c r="C1310" t="s">
        <v>315</v>
      </c>
      <c r="H1310" s="5">
        <v>0</v>
      </c>
    </row>
    <row r="1311" spans="1:8" x14ac:dyDescent="0.55000000000000004">
      <c r="A1311">
        <v>2020</v>
      </c>
      <c r="B1311" t="s">
        <v>357</v>
      </c>
      <c r="C1311" t="s">
        <v>316</v>
      </c>
      <c r="H1311" s="5">
        <v>143685</v>
      </c>
    </row>
    <row r="1312" spans="1:8" x14ac:dyDescent="0.55000000000000004">
      <c r="A1312">
        <v>2020</v>
      </c>
      <c r="B1312" t="s">
        <v>356</v>
      </c>
      <c r="C1312" t="s">
        <v>317</v>
      </c>
      <c r="H1312" s="5">
        <v>74262</v>
      </c>
    </row>
    <row r="1313" spans="1:8" x14ac:dyDescent="0.55000000000000004">
      <c r="A1313">
        <v>2020</v>
      </c>
      <c r="B1313" t="s">
        <v>355</v>
      </c>
      <c r="C1313" t="s">
        <v>318</v>
      </c>
      <c r="H1313" s="5">
        <v>0</v>
      </c>
    </row>
    <row r="1314" spans="1:8" x14ac:dyDescent="0.55000000000000004">
      <c r="A1314">
        <v>2020</v>
      </c>
      <c r="B1314" t="s">
        <v>354</v>
      </c>
      <c r="C1314" t="s">
        <v>319</v>
      </c>
      <c r="H1314" s="5">
        <v>24918</v>
      </c>
    </row>
    <row r="1315" spans="1:8" x14ac:dyDescent="0.55000000000000004">
      <c r="A1315">
        <v>2020</v>
      </c>
      <c r="B1315" t="s">
        <v>360</v>
      </c>
      <c r="C1315" t="s">
        <v>1237</v>
      </c>
      <c r="H1315" s="5">
        <v>447049</v>
      </c>
    </row>
    <row r="1316" spans="1:8" x14ac:dyDescent="0.55000000000000004">
      <c r="A1316">
        <v>2020</v>
      </c>
      <c r="B1316" t="s">
        <v>353</v>
      </c>
      <c r="C1316" t="s">
        <v>320</v>
      </c>
      <c r="H1316" s="5">
        <v>192000</v>
      </c>
    </row>
    <row r="1317" spans="1:8" x14ac:dyDescent="0.55000000000000004">
      <c r="A1317">
        <v>2020</v>
      </c>
      <c r="B1317" t="s">
        <v>352</v>
      </c>
      <c r="C1317" t="s">
        <v>321</v>
      </c>
      <c r="H1317" s="5">
        <v>0</v>
      </c>
    </row>
    <row r="1318" spans="1:8" x14ac:dyDescent="0.55000000000000004">
      <c r="A1318">
        <v>2020</v>
      </c>
      <c r="B1318" t="s">
        <v>351</v>
      </c>
      <c r="C1318" t="s">
        <v>322</v>
      </c>
      <c r="H1318" s="5">
        <v>0</v>
      </c>
    </row>
    <row r="1319" spans="1:8" x14ac:dyDescent="0.55000000000000004">
      <c r="A1319">
        <v>2020</v>
      </c>
      <c r="B1319" t="s">
        <v>350</v>
      </c>
      <c r="C1319" t="s">
        <v>323</v>
      </c>
      <c r="H1319" s="5">
        <v>0</v>
      </c>
    </row>
    <row r="1320" spans="1:8" x14ac:dyDescent="0.55000000000000004">
      <c r="A1320">
        <v>2020</v>
      </c>
      <c r="B1320" t="s">
        <v>349</v>
      </c>
      <c r="C1320" t="s">
        <v>324</v>
      </c>
      <c r="H1320" s="5">
        <v>0</v>
      </c>
    </row>
    <row r="1321" spans="1:8" x14ac:dyDescent="0.55000000000000004">
      <c r="A1321">
        <v>2020</v>
      </c>
      <c r="B1321" t="s">
        <v>348</v>
      </c>
      <c r="C1321" t="s">
        <v>325</v>
      </c>
      <c r="H1321" s="5">
        <v>24787</v>
      </c>
    </row>
    <row r="1322" spans="1:8" x14ac:dyDescent="0.55000000000000004">
      <c r="A1322">
        <v>2020</v>
      </c>
      <c r="B1322" t="s">
        <v>347</v>
      </c>
      <c r="C1322" t="s">
        <v>326</v>
      </c>
      <c r="H1322" s="5">
        <v>0</v>
      </c>
    </row>
    <row r="1323" spans="1:8" x14ac:dyDescent="0.55000000000000004">
      <c r="A1323">
        <v>2020</v>
      </c>
      <c r="B1323" t="s">
        <v>346</v>
      </c>
      <c r="C1323" t="s">
        <v>327</v>
      </c>
      <c r="H1323" s="5">
        <v>79880</v>
      </c>
    </row>
    <row r="1324" spans="1:8" x14ac:dyDescent="0.55000000000000004">
      <c r="A1324">
        <v>2020</v>
      </c>
      <c r="B1324" t="s">
        <v>345</v>
      </c>
      <c r="C1324" t="s">
        <v>328</v>
      </c>
      <c r="H1324" s="5">
        <v>521</v>
      </c>
    </row>
    <row r="1325" spans="1:8" x14ac:dyDescent="0.55000000000000004">
      <c r="A1325">
        <v>2021</v>
      </c>
      <c r="B1325" t="s">
        <v>682</v>
      </c>
      <c r="C1325" t="s">
        <v>18</v>
      </c>
      <c r="H1325" s="5">
        <f>INDEX(FinalPayment!$F$2:$H$328,MATCH(RawTransportationData!$B1325,FinalPayment!$F$2:$F$328,0),3)</f>
        <v>189488</v>
      </c>
    </row>
    <row r="1326" spans="1:8" x14ac:dyDescent="0.55000000000000004">
      <c r="A1326">
        <v>2021</v>
      </c>
      <c r="B1326" t="s">
        <v>681</v>
      </c>
      <c r="C1326" t="s">
        <v>1208</v>
      </c>
      <c r="H1326" s="5">
        <f>INDEX(FinalPayment!$F$2:$H$328,MATCH(RawTransportationData!$B1326,FinalPayment!$F$2:$F$328,0),3)</f>
        <v>78472</v>
      </c>
    </row>
    <row r="1327" spans="1:8" x14ac:dyDescent="0.55000000000000004">
      <c r="A1327">
        <v>2021</v>
      </c>
      <c r="B1327" t="s">
        <v>683</v>
      </c>
      <c r="C1327" t="s">
        <v>17</v>
      </c>
      <c r="H1327" s="5">
        <f>INDEX(FinalPayment!$F$2:$H$328,MATCH(RawTransportationData!$B1327,FinalPayment!$F$2:$F$328,0),3)</f>
        <v>182394</v>
      </c>
    </row>
    <row r="1328" spans="1:8" x14ac:dyDescent="0.55000000000000004">
      <c r="A1328">
        <v>2021</v>
      </c>
      <c r="B1328" t="s">
        <v>661</v>
      </c>
      <c r="C1328" t="s">
        <v>691</v>
      </c>
      <c r="H1328" s="5">
        <f>INDEX(FinalPayment!$F$2:$H$328,MATCH(RawTransportationData!$B1328,FinalPayment!$F$2:$F$328,0),3)</f>
        <v>94990</v>
      </c>
    </row>
    <row r="1329" spans="1:8" x14ac:dyDescent="0.55000000000000004">
      <c r="A1329">
        <v>2021</v>
      </c>
      <c r="B1329" t="s">
        <v>680</v>
      </c>
      <c r="C1329" t="s">
        <v>1209</v>
      </c>
      <c r="H1329" s="5">
        <f>INDEX(FinalPayment!$F$2:$H$328,MATCH(RawTransportationData!$B1329,FinalPayment!$F$2:$F$328,0),3)</f>
        <v>153938</v>
      </c>
    </row>
    <row r="1330" spans="1:8" x14ac:dyDescent="0.55000000000000004">
      <c r="A1330">
        <v>2021</v>
      </c>
      <c r="B1330" t="s">
        <v>679</v>
      </c>
      <c r="C1330" t="s">
        <v>21</v>
      </c>
      <c r="H1330" s="5">
        <f>INDEX(FinalPayment!$F$2:$H$328,MATCH(RawTransportationData!$B1330,FinalPayment!$F$2:$F$328,0),3)</f>
        <v>114037</v>
      </c>
    </row>
    <row r="1331" spans="1:8" x14ac:dyDescent="0.55000000000000004">
      <c r="A1331">
        <v>2021</v>
      </c>
      <c r="B1331" t="s">
        <v>678</v>
      </c>
      <c r="C1331" t="s">
        <v>22</v>
      </c>
      <c r="H1331" s="5">
        <f>INDEX(FinalPayment!$F$2:$H$328,MATCH(RawTransportationData!$B1331,FinalPayment!$F$2:$F$328,0),3)</f>
        <v>30328</v>
      </c>
    </row>
    <row r="1332" spans="1:8" x14ac:dyDescent="0.55000000000000004">
      <c r="A1332">
        <v>2021</v>
      </c>
      <c r="B1332" t="s">
        <v>677</v>
      </c>
      <c r="C1332" t="s">
        <v>23</v>
      </c>
      <c r="H1332" s="5">
        <f>INDEX(FinalPayment!$F$2:$H$328,MATCH(RawTransportationData!$B1332,FinalPayment!$F$2:$F$328,0),3)</f>
        <v>146140</v>
      </c>
    </row>
    <row r="1333" spans="1:8" x14ac:dyDescent="0.55000000000000004">
      <c r="A1333">
        <v>2021</v>
      </c>
      <c r="B1333" t="s">
        <v>676</v>
      </c>
      <c r="C1333" t="s">
        <v>24</v>
      </c>
      <c r="H1333" s="5">
        <f>INDEX(FinalPayment!$F$2:$H$328,MATCH(RawTransportationData!$B1333,FinalPayment!$F$2:$F$328,0),3)</f>
        <v>44110</v>
      </c>
    </row>
    <row r="1334" spans="1:8" x14ac:dyDescent="0.55000000000000004">
      <c r="A1334">
        <v>2021</v>
      </c>
      <c r="B1334" t="s">
        <v>675</v>
      </c>
      <c r="C1334" t="s">
        <v>25</v>
      </c>
      <c r="H1334" s="5">
        <f>INDEX(FinalPayment!$F$2:$H$328,MATCH(RawTransportationData!$B1334,FinalPayment!$F$2:$F$328,0),3)</f>
        <v>138972</v>
      </c>
    </row>
    <row r="1335" spans="1:8" x14ac:dyDescent="0.55000000000000004">
      <c r="A1335">
        <v>2021</v>
      </c>
      <c r="B1335" t="s">
        <v>674</v>
      </c>
      <c r="C1335" t="s">
        <v>26</v>
      </c>
      <c r="H1335" s="5">
        <f>INDEX(FinalPayment!$F$2:$H$328,MATCH(RawTransportationData!$B1335,FinalPayment!$F$2:$F$328,0),3)</f>
        <v>337781</v>
      </c>
    </row>
    <row r="1336" spans="1:8" x14ac:dyDescent="0.55000000000000004">
      <c r="A1336">
        <v>2021</v>
      </c>
      <c r="B1336" t="s">
        <v>672</v>
      </c>
      <c r="C1336" t="s">
        <v>1210</v>
      </c>
      <c r="H1336" s="5">
        <f>INDEX(FinalPayment!$F$2:$H$328,MATCH(RawTransportationData!$B1336,FinalPayment!$F$2:$F$328,0),3)</f>
        <v>53422</v>
      </c>
    </row>
    <row r="1337" spans="1:8" x14ac:dyDescent="0.55000000000000004">
      <c r="A1337">
        <v>2021</v>
      </c>
      <c r="B1337" t="s">
        <v>671</v>
      </c>
      <c r="C1337" t="s">
        <v>28</v>
      </c>
      <c r="H1337" s="5">
        <f>INDEX(FinalPayment!$F$2:$H$328,MATCH(RawTransportationData!$B1337,FinalPayment!$F$2:$F$328,0),3)</f>
        <v>855668</v>
      </c>
    </row>
    <row r="1338" spans="1:8" x14ac:dyDescent="0.55000000000000004">
      <c r="A1338">
        <v>2021</v>
      </c>
      <c r="B1338" t="s">
        <v>670</v>
      </c>
      <c r="C1338" t="s">
        <v>29</v>
      </c>
      <c r="H1338" s="5">
        <f>INDEX(FinalPayment!$F$2:$H$328,MATCH(RawTransportationData!$B1338,FinalPayment!$F$2:$F$328,0),3)</f>
        <v>1037</v>
      </c>
    </row>
    <row r="1339" spans="1:8" x14ac:dyDescent="0.55000000000000004">
      <c r="A1339">
        <v>2021</v>
      </c>
      <c r="B1339" t="s">
        <v>669</v>
      </c>
      <c r="C1339" t="s">
        <v>30</v>
      </c>
      <c r="H1339" s="5">
        <f>INDEX(FinalPayment!$F$2:$H$328,MATCH(RawTransportationData!$B1339,FinalPayment!$F$2:$F$328,0),3)</f>
        <v>70634</v>
      </c>
    </row>
    <row r="1340" spans="1:8" x14ac:dyDescent="0.55000000000000004">
      <c r="A1340">
        <v>2021</v>
      </c>
      <c r="B1340" t="s">
        <v>668</v>
      </c>
      <c r="C1340" t="s">
        <v>31</v>
      </c>
      <c r="H1340" s="5">
        <f>INDEX(FinalPayment!$F$2:$H$328,MATCH(RawTransportationData!$B1340,FinalPayment!$F$2:$F$328,0),3)</f>
        <v>9804</v>
      </c>
    </row>
    <row r="1341" spans="1:8" x14ac:dyDescent="0.55000000000000004">
      <c r="A1341">
        <v>2021</v>
      </c>
      <c r="B1341" t="s">
        <v>667</v>
      </c>
      <c r="C1341" t="s">
        <v>32</v>
      </c>
      <c r="H1341" s="5">
        <f>INDEX(FinalPayment!$F$2:$H$328,MATCH(RawTransportationData!$B1341,FinalPayment!$F$2:$F$328,0),3)</f>
        <v>39176</v>
      </c>
    </row>
    <row r="1342" spans="1:8" x14ac:dyDescent="0.55000000000000004">
      <c r="A1342">
        <v>2021</v>
      </c>
      <c r="B1342" t="s">
        <v>665</v>
      </c>
      <c r="C1342" t="s">
        <v>33</v>
      </c>
      <c r="H1342" s="5">
        <f>INDEX(FinalPayment!$F$2:$H$328,MATCH(RawTransportationData!$B1342,FinalPayment!$F$2:$F$328,0),3)</f>
        <v>91304</v>
      </c>
    </row>
    <row r="1343" spans="1:8" x14ac:dyDescent="0.55000000000000004">
      <c r="A1343">
        <v>2021</v>
      </c>
      <c r="B1343" t="s">
        <v>664</v>
      </c>
      <c r="C1343" t="s">
        <v>34</v>
      </c>
      <c r="H1343" s="5">
        <f>INDEX(FinalPayment!$F$2:$H$328,MATCH(RawTransportationData!$B1343,FinalPayment!$F$2:$F$328,0),3)</f>
        <v>1088</v>
      </c>
    </row>
    <row r="1344" spans="1:8" x14ac:dyDescent="0.55000000000000004">
      <c r="A1344">
        <v>2021</v>
      </c>
      <c r="B1344" t="s">
        <v>663</v>
      </c>
      <c r="C1344" t="s">
        <v>35</v>
      </c>
      <c r="H1344" s="5">
        <f>INDEX(FinalPayment!$F$2:$H$328,MATCH(RawTransportationData!$B1344,FinalPayment!$F$2:$F$328,0),3)</f>
        <v>24485</v>
      </c>
    </row>
    <row r="1345" spans="1:8" x14ac:dyDescent="0.55000000000000004">
      <c r="A1345">
        <v>2021</v>
      </c>
      <c r="B1345" t="s">
        <v>660</v>
      </c>
      <c r="C1345" t="s">
        <v>37</v>
      </c>
      <c r="H1345" s="5">
        <f>INDEX(FinalPayment!$F$2:$H$328,MATCH(RawTransportationData!$B1345,FinalPayment!$F$2:$F$328,0),3)</f>
        <v>58368</v>
      </c>
    </row>
    <row r="1346" spans="1:8" x14ac:dyDescent="0.55000000000000004">
      <c r="A1346">
        <v>2021</v>
      </c>
      <c r="B1346" t="s">
        <v>658</v>
      </c>
      <c r="C1346" t="s">
        <v>39</v>
      </c>
      <c r="H1346" s="5">
        <f>INDEX(FinalPayment!$F$2:$H$328,MATCH(RawTransportationData!$B1346,FinalPayment!$F$2:$F$328,0),3)</f>
        <v>35994</v>
      </c>
    </row>
    <row r="1347" spans="1:8" x14ac:dyDescent="0.55000000000000004">
      <c r="A1347">
        <v>2021</v>
      </c>
      <c r="B1347" t="s">
        <v>657</v>
      </c>
      <c r="C1347" t="s">
        <v>40</v>
      </c>
      <c r="H1347" s="5">
        <f>INDEX(FinalPayment!$F$2:$H$328,MATCH(RawTransportationData!$B1347,FinalPayment!$F$2:$F$328,0),3)</f>
        <v>134430</v>
      </c>
    </row>
    <row r="1348" spans="1:8" x14ac:dyDescent="0.55000000000000004">
      <c r="A1348">
        <v>2021</v>
      </c>
      <c r="B1348" t="s">
        <v>656</v>
      </c>
      <c r="C1348" t="s">
        <v>41</v>
      </c>
      <c r="H1348" s="5">
        <f>INDEX(FinalPayment!$F$2:$H$328,MATCH(RawTransportationData!$B1348,FinalPayment!$F$2:$F$328,0),3)</f>
        <v>35837</v>
      </c>
    </row>
    <row r="1349" spans="1:8" x14ac:dyDescent="0.55000000000000004">
      <c r="A1349">
        <v>2021</v>
      </c>
      <c r="B1349" t="s">
        <v>655</v>
      </c>
      <c r="C1349" t="s">
        <v>42</v>
      </c>
      <c r="H1349" s="5">
        <f>INDEX(FinalPayment!$F$2:$H$328,MATCH(RawTransportationData!$B1349,FinalPayment!$F$2:$F$328,0),3)</f>
        <v>53973</v>
      </c>
    </row>
    <row r="1350" spans="1:8" x14ac:dyDescent="0.55000000000000004">
      <c r="A1350">
        <v>2021</v>
      </c>
      <c r="B1350" t="s">
        <v>654</v>
      </c>
      <c r="C1350" t="s">
        <v>43</v>
      </c>
      <c r="H1350" s="5">
        <f>INDEX(FinalPayment!$F$2:$H$328,MATCH(RawTransportationData!$B1350,FinalPayment!$F$2:$F$328,0),3)</f>
        <v>41866</v>
      </c>
    </row>
    <row r="1351" spans="1:8" x14ac:dyDescent="0.55000000000000004">
      <c r="A1351">
        <v>2021</v>
      </c>
      <c r="B1351" t="s">
        <v>653</v>
      </c>
      <c r="C1351" t="s">
        <v>44</v>
      </c>
      <c r="H1351" s="5">
        <f>INDEX(FinalPayment!$F$2:$H$328,MATCH(RawTransportationData!$B1351,FinalPayment!$F$2:$F$328,0),3)</f>
        <v>648</v>
      </c>
    </row>
    <row r="1352" spans="1:8" x14ac:dyDescent="0.55000000000000004">
      <c r="A1352">
        <v>2021</v>
      </c>
      <c r="B1352" t="s">
        <v>652</v>
      </c>
      <c r="C1352" t="s">
        <v>45</v>
      </c>
      <c r="H1352" s="5">
        <f>INDEX(FinalPayment!$F$2:$H$328,MATCH(RawTransportationData!$B1352,FinalPayment!$F$2:$F$328,0),3)</f>
        <v>56079</v>
      </c>
    </row>
    <row r="1353" spans="1:8" x14ac:dyDescent="0.55000000000000004">
      <c r="A1353">
        <v>2021</v>
      </c>
      <c r="B1353" t="s">
        <v>651</v>
      </c>
      <c r="C1353" t="s">
        <v>46</v>
      </c>
      <c r="H1353" s="5">
        <f>INDEX(FinalPayment!$F$2:$H$328,MATCH(RawTransportationData!$B1353,FinalPayment!$F$2:$F$328,0),3)</f>
        <v>345541</v>
      </c>
    </row>
    <row r="1354" spans="1:8" x14ac:dyDescent="0.55000000000000004">
      <c r="A1354">
        <v>2021</v>
      </c>
      <c r="B1354" t="s">
        <v>650</v>
      </c>
      <c r="C1354" t="s">
        <v>47</v>
      </c>
      <c r="H1354" s="5">
        <f>INDEX(FinalPayment!$F$2:$H$328,MATCH(RawTransportationData!$B1354,FinalPayment!$F$2:$F$328,0),3)</f>
        <v>3426</v>
      </c>
    </row>
    <row r="1355" spans="1:8" x14ac:dyDescent="0.55000000000000004">
      <c r="A1355">
        <v>2021</v>
      </c>
      <c r="B1355" t="s">
        <v>647</v>
      </c>
      <c r="C1355" t="s">
        <v>48</v>
      </c>
      <c r="H1355" s="5">
        <f>INDEX(FinalPayment!$F$2:$H$328,MATCH(RawTransportationData!$B1355,FinalPayment!$F$2:$F$328,0),3)</f>
        <v>1754</v>
      </c>
    </row>
    <row r="1356" spans="1:8" x14ac:dyDescent="0.55000000000000004">
      <c r="A1356">
        <v>2021</v>
      </c>
      <c r="B1356" t="s">
        <v>646</v>
      </c>
      <c r="C1356" t="s">
        <v>49</v>
      </c>
      <c r="H1356" s="5">
        <f>INDEX(FinalPayment!$F$2:$H$328,MATCH(RawTransportationData!$B1356,FinalPayment!$F$2:$F$328,0),3)</f>
        <v>1683</v>
      </c>
    </row>
    <row r="1357" spans="1:8" x14ac:dyDescent="0.55000000000000004">
      <c r="A1357">
        <v>2021</v>
      </c>
      <c r="B1357" t="s">
        <v>645</v>
      </c>
      <c r="C1357" t="s">
        <v>50</v>
      </c>
      <c r="H1357" s="5">
        <f>INDEX(FinalPayment!$F$2:$H$328,MATCH(RawTransportationData!$B1357,FinalPayment!$F$2:$F$328,0),3)</f>
        <v>20891</v>
      </c>
    </row>
    <row r="1358" spans="1:8" x14ac:dyDescent="0.55000000000000004">
      <c r="A1358">
        <v>2021</v>
      </c>
      <c r="B1358" t="s">
        <v>586</v>
      </c>
      <c r="C1358" t="s">
        <v>102</v>
      </c>
      <c r="H1358" s="5">
        <f>INDEX(FinalPayment!$F$2:$H$328,MATCH(RawTransportationData!$B1358,FinalPayment!$F$2:$F$328,0),3)</f>
        <v>89121</v>
      </c>
    </row>
    <row r="1359" spans="1:8" x14ac:dyDescent="0.55000000000000004">
      <c r="A1359">
        <v>2021</v>
      </c>
      <c r="B1359" t="s">
        <v>643</v>
      </c>
      <c r="C1359" t="s">
        <v>52</v>
      </c>
      <c r="H1359" s="5">
        <f>INDEX(FinalPayment!$F$2:$H$328,MATCH(RawTransportationData!$B1359,FinalPayment!$F$2:$F$328,0),3)</f>
        <v>1599</v>
      </c>
    </row>
    <row r="1360" spans="1:8" x14ac:dyDescent="0.55000000000000004">
      <c r="A1360">
        <v>2021</v>
      </c>
      <c r="B1360" t="s">
        <v>641</v>
      </c>
      <c r="C1360" t="s">
        <v>54</v>
      </c>
      <c r="H1360" s="5">
        <f>INDEX(FinalPayment!$F$2:$H$328,MATCH(RawTransportationData!$B1360,FinalPayment!$F$2:$F$328,0),3)</f>
        <v>3384</v>
      </c>
    </row>
    <row r="1361" spans="1:8" x14ac:dyDescent="0.55000000000000004">
      <c r="A1361">
        <v>2021</v>
      </c>
      <c r="B1361" t="s">
        <v>638</v>
      </c>
      <c r="C1361" t="s">
        <v>55</v>
      </c>
      <c r="H1361" s="5">
        <f>INDEX(FinalPayment!$F$2:$H$328,MATCH(RawTransportationData!$B1361,FinalPayment!$F$2:$F$328,0),3)</f>
        <v>45899</v>
      </c>
    </row>
    <row r="1362" spans="1:8" x14ac:dyDescent="0.55000000000000004">
      <c r="A1362">
        <v>2021</v>
      </c>
      <c r="B1362" t="s">
        <v>637</v>
      </c>
      <c r="C1362" t="s">
        <v>56</v>
      </c>
      <c r="H1362" s="5">
        <f>INDEX(FinalPayment!$F$2:$H$328,MATCH(RawTransportationData!$B1362,FinalPayment!$F$2:$F$328,0),3)</f>
        <v>86135</v>
      </c>
    </row>
    <row r="1363" spans="1:8" x14ac:dyDescent="0.55000000000000004">
      <c r="A1363">
        <v>2021</v>
      </c>
      <c r="B1363" t="s">
        <v>640</v>
      </c>
      <c r="C1363" t="s">
        <v>639</v>
      </c>
      <c r="H1363" s="5">
        <f>INDEX(FinalPayment!$F$2:$H$328,MATCH(RawTransportationData!$B1363,FinalPayment!$F$2:$F$328,0),3)</f>
        <v>140139</v>
      </c>
    </row>
    <row r="1364" spans="1:8" x14ac:dyDescent="0.55000000000000004">
      <c r="A1364">
        <v>2021</v>
      </c>
      <c r="B1364" t="s">
        <v>636</v>
      </c>
      <c r="C1364" t="s">
        <v>57</v>
      </c>
      <c r="H1364" s="5">
        <f>INDEX(FinalPayment!$F$2:$H$328,MATCH(RawTransportationData!$B1364,FinalPayment!$F$2:$F$328,0),3)</f>
        <v>672</v>
      </c>
    </row>
    <row r="1365" spans="1:8" x14ac:dyDescent="0.55000000000000004">
      <c r="A1365">
        <v>2021</v>
      </c>
      <c r="B1365" t="s">
        <v>635</v>
      </c>
      <c r="C1365" t="s">
        <v>58</v>
      </c>
      <c r="H1365" s="5">
        <f>INDEX(FinalPayment!$F$2:$H$328,MATCH(RawTransportationData!$B1365,FinalPayment!$F$2:$F$328,0),3)</f>
        <v>276571</v>
      </c>
    </row>
    <row r="1366" spans="1:8" x14ac:dyDescent="0.55000000000000004">
      <c r="A1366">
        <v>2021</v>
      </c>
      <c r="B1366" t="s">
        <v>634</v>
      </c>
      <c r="C1366" t="s">
        <v>59</v>
      </c>
      <c r="H1366" s="5">
        <f>INDEX(FinalPayment!$F$2:$H$328,MATCH(RawTransportationData!$B1366,FinalPayment!$F$2:$F$328,0),3)</f>
        <v>70301</v>
      </c>
    </row>
    <row r="1367" spans="1:8" x14ac:dyDescent="0.55000000000000004">
      <c r="A1367">
        <v>2021</v>
      </c>
      <c r="B1367" t="s">
        <v>633</v>
      </c>
      <c r="C1367" t="s">
        <v>60</v>
      </c>
      <c r="H1367" s="5">
        <f>INDEX(FinalPayment!$F$2:$H$328,MATCH(RawTransportationData!$B1367,FinalPayment!$F$2:$F$328,0),3)</f>
        <v>135622</v>
      </c>
    </row>
    <row r="1368" spans="1:8" x14ac:dyDescent="0.55000000000000004">
      <c r="A1368">
        <v>2021</v>
      </c>
      <c r="B1368" t="s">
        <v>632</v>
      </c>
      <c r="C1368" t="s">
        <v>61</v>
      </c>
      <c r="H1368" s="5">
        <f>INDEX(FinalPayment!$F$2:$H$328,MATCH(RawTransportationData!$B1368,FinalPayment!$F$2:$F$328,0),3)</f>
        <v>4286</v>
      </c>
    </row>
    <row r="1369" spans="1:8" x14ac:dyDescent="0.55000000000000004">
      <c r="A1369">
        <v>2021</v>
      </c>
      <c r="B1369" t="s">
        <v>631</v>
      </c>
      <c r="C1369" t="s">
        <v>62</v>
      </c>
      <c r="H1369" s="5">
        <f>INDEX(FinalPayment!$F$2:$H$328,MATCH(RawTransportationData!$B1369,FinalPayment!$F$2:$F$328,0),3)</f>
        <v>296155</v>
      </c>
    </row>
    <row r="1370" spans="1:8" x14ac:dyDescent="0.55000000000000004">
      <c r="A1370">
        <v>2021</v>
      </c>
      <c r="B1370" t="s">
        <v>630</v>
      </c>
      <c r="C1370" t="s">
        <v>63</v>
      </c>
      <c r="H1370" s="5">
        <f>INDEX(FinalPayment!$F$2:$H$328,MATCH(RawTransportationData!$B1370,FinalPayment!$F$2:$F$328,0),3)</f>
        <v>1090</v>
      </c>
    </row>
    <row r="1371" spans="1:8" x14ac:dyDescent="0.55000000000000004">
      <c r="A1371">
        <v>2021</v>
      </c>
      <c r="B1371" t="s">
        <v>629</v>
      </c>
      <c r="C1371" t="s">
        <v>64</v>
      </c>
      <c r="H1371" s="5">
        <f>INDEX(FinalPayment!$F$2:$H$328,MATCH(RawTransportationData!$B1371,FinalPayment!$F$2:$F$328,0),3)</f>
        <v>1125</v>
      </c>
    </row>
    <row r="1372" spans="1:8" x14ac:dyDescent="0.55000000000000004">
      <c r="A1372">
        <v>2021</v>
      </c>
      <c r="B1372" t="s">
        <v>624</v>
      </c>
      <c r="C1372" t="s">
        <v>67</v>
      </c>
      <c r="H1372" s="5">
        <f>INDEX(FinalPayment!$F$2:$H$328,MATCH(RawTransportationData!$B1372,FinalPayment!$F$2:$F$328,0),3)</f>
        <v>376</v>
      </c>
    </row>
    <row r="1373" spans="1:8" x14ac:dyDescent="0.55000000000000004">
      <c r="A1373">
        <v>2021</v>
      </c>
      <c r="B1373" t="s">
        <v>627</v>
      </c>
      <c r="C1373" t="s">
        <v>1211</v>
      </c>
      <c r="H1373" s="5">
        <f>INDEX(FinalPayment!$F$2:$H$328,MATCH(RawTransportationData!$B1373,FinalPayment!$F$2:$F$328,0),3)</f>
        <v>142671</v>
      </c>
    </row>
    <row r="1374" spans="1:8" x14ac:dyDescent="0.55000000000000004">
      <c r="A1374">
        <v>2021</v>
      </c>
      <c r="B1374" t="s">
        <v>626</v>
      </c>
      <c r="C1374" t="s">
        <v>1212</v>
      </c>
      <c r="H1374" s="5">
        <f>INDEX(FinalPayment!$F$2:$H$328,MATCH(RawTransportationData!$B1374,FinalPayment!$F$2:$F$328,0),3)</f>
        <v>1205</v>
      </c>
    </row>
    <row r="1375" spans="1:8" x14ac:dyDescent="0.55000000000000004">
      <c r="A1375">
        <v>2021</v>
      </c>
      <c r="B1375" t="s">
        <v>623</v>
      </c>
      <c r="C1375" t="s">
        <v>68</v>
      </c>
      <c r="H1375" s="5">
        <f>INDEX(FinalPayment!$F$2:$H$328,MATCH(RawTransportationData!$B1375,FinalPayment!$F$2:$F$328,0),3)</f>
        <v>461156</v>
      </c>
    </row>
    <row r="1376" spans="1:8" x14ac:dyDescent="0.55000000000000004">
      <c r="A1376">
        <v>2021</v>
      </c>
      <c r="B1376" t="s">
        <v>628</v>
      </c>
      <c r="C1376" t="s">
        <v>65</v>
      </c>
      <c r="H1376" s="5">
        <f>INDEX(FinalPayment!$F$2:$H$328,MATCH(RawTransportationData!$B1376,FinalPayment!$F$2:$F$328,0),3)</f>
        <v>252936</v>
      </c>
    </row>
    <row r="1377" spans="1:8" x14ac:dyDescent="0.55000000000000004">
      <c r="A1377">
        <v>2021</v>
      </c>
      <c r="B1377" t="s">
        <v>622</v>
      </c>
      <c r="C1377" t="s">
        <v>69</v>
      </c>
      <c r="H1377" s="5">
        <f>INDEX(FinalPayment!$F$2:$H$328,MATCH(RawTransportationData!$B1377,FinalPayment!$F$2:$F$328,0),3)</f>
        <v>634</v>
      </c>
    </row>
    <row r="1378" spans="1:8" x14ac:dyDescent="0.55000000000000004">
      <c r="A1378">
        <v>2021</v>
      </c>
      <c r="B1378" t="s">
        <v>468</v>
      </c>
      <c r="C1378" t="s">
        <v>332</v>
      </c>
      <c r="H1378" s="5">
        <f>INDEX(FinalPayment!$F$2:$H$328,MATCH(RawTransportationData!$B1378,FinalPayment!$F$2:$F$328,0),3)</f>
        <v>136046</v>
      </c>
    </row>
    <row r="1379" spans="1:8" x14ac:dyDescent="0.55000000000000004">
      <c r="A1379">
        <v>2021</v>
      </c>
      <c r="B1379" t="s">
        <v>621</v>
      </c>
      <c r="C1379" t="s">
        <v>70</v>
      </c>
      <c r="H1379" s="5">
        <f>INDEX(FinalPayment!$F$2:$H$328,MATCH(RawTransportationData!$B1379,FinalPayment!$F$2:$F$328,0),3)</f>
        <v>103440</v>
      </c>
    </row>
    <row r="1380" spans="1:8" x14ac:dyDescent="0.55000000000000004">
      <c r="A1380">
        <v>2021</v>
      </c>
      <c r="B1380" t="s">
        <v>620</v>
      </c>
      <c r="C1380" t="s">
        <v>71</v>
      </c>
      <c r="H1380" s="5">
        <f>INDEX(FinalPayment!$F$2:$H$328,MATCH(RawTransportationData!$B1380,FinalPayment!$F$2:$F$328,0),3)</f>
        <v>1259</v>
      </c>
    </row>
    <row r="1381" spans="1:8" x14ac:dyDescent="0.55000000000000004">
      <c r="A1381">
        <v>2021</v>
      </c>
      <c r="B1381" t="s">
        <v>619</v>
      </c>
      <c r="C1381" t="s">
        <v>72</v>
      </c>
      <c r="H1381" s="5">
        <f>INDEX(FinalPayment!$F$2:$H$328,MATCH(RawTransportationData!$B1381,FinalPayment!$F$2:$F$328,0),3)</f>
        <v>159704</v>
      </c>
    </row>
    <row r="1382" spans="1:8" x14ac:dyDescent="0.55000000000000004">
      <c r="A1382">
        <v>2021</v>
      </c>
      <c r="B1382" t="s">
        <v>618</v>
      </c>
      <c r="C1382" t="s">
        <v>73</v>
      </c>
      <c r="H1382" s="5">
        <f>INDEX(FinalPayment!$F$2:$H$328,MATCH(RawTransportationData!$B1382,FinalPayment!$F$2:$F$328,0),3)</f>
        <v>830</v>
      </c>
    </row>
    <row r="1383" spans="1:8" x14ac:dyDescent="0.55000000000000004">
      <c r="A1383">
        <v>2021</v>
      </c>
      <c r="B1383" t="s">
        <v>617</v>
      </c>
      <c r="C1383" t="s">
        <v>74</v>
      </c>
      <c r="H1383" s="5">
        <f>INDEX(FinalPayment!$F$2:$H$328,MATCH(RawTransportationData!$B1383,FinalPayment!$F$2:$F$328,0),3)</f>
        <v>809</v>
      </c>
    </row>
    <row r="1384" spans="1:8" x14ac:dyDescent="0.55000000000000004">
      <c r="A1384">
        <v>2021</v>
      </c>
      <c r="B1384" t="s">
        <v>616</v>
      </c>
      <c r="C1384" t="s">
        <v>344</v>
      </c>
      <c r="H1384" s="5">
        <f>INDEX(FinalPayment!$F$2:$H$328,MATCH(RawTransportationData!$B1384,FinalPayment!$F$2:$F$328,0),3)</f>
        <v>334408</v>
      </c>
    </row>
    <row r="1385" spans="1:8" x14ac:dyDescent="0.55000000000000004">
      <c r="A1385">
        <v>2021</v>
      </c>
      <c r="B1385" t="s">
        <v>615</v>
      </c>
      <c r="C1385" t="s">
        <v>75</v>
      </c>
      <c r="H1385" s="5">
        <f>INDEX(FinalPayment!$F$2:$H$328,MATCH(RawTransportationData!$B1385,FinalPayment!$F$2:$F$328,0),3)</f>
        <v>99489</v>
      </c>
    </row>
    <row r="1386" spans="1:8" x14ac:dyDescent="0.55000000000000004">
      <c r="A1386">
        <v>2021</v>
      </c>
      <c r="B1386" t="s">
        <v>614</v>
      </c>
      <c r="C1386" t="s">
        <v>76</v>
      </c>
      <c r="H1386" s="5">
        <f>INDEX(FinalPayment!$F$2:$H$328,MATCH(RawTransportationData!$B1386,FinalPayment!$F$2:$F$328,0),3)</f>
        <v>254</v>
      </c>
    </row>
    <row r="1387" spans="1:8" x14ac:dyDescent="0.55000000000000004">
      <c r="A1387">
        <v>2021</v>
      </c>
      <c r="B1387" t="s">
        <v>613</v>
      </c>
      <c r="C1387" t="s">
        <v>77</v>
      </c>
      <c r="H1387" s="5">
        <f>INDEX(FinalPayment!$F$2:$H$328,MATCH(RawTransportationData!$B1387,FinalPayment!$F$2:$F$328,0),3)</f>
        <v>61008</v>
      </c>
    </row>
    <row r="1388" spans="1:8" x14ac:dyDescent="0.55000000000000004">
      <c r="A1388">
        <v>2021</v>
      </c>
      <c r="B1388" t="s">
        <v>547</v>
      </c>
      <c r="C1388" t="s">
        <v>136</v>
      </c>
      <c r="H1388" s="5">
        <f>INDEX(FinalPayment!$F$2:$H$328,MATCH(RawTransportationData!$B1388,FinalPayment!$F$2:$F$328,0),3)</f>
        <v>139727</v>
      </c>
    </row>
    <row r="1389" spans="1:8" x14ac:dyDescent="0.55000000000000004">
      <c r="A1389">
        <v>2021</v>
      </c>
      <c r="B1389" t="s">
        <v>612</v>
      </c>
      <c r="C1389" t="s">
        <v>1213</v>
      </c>
      <c r="H1389" s="5">
        <f>INDEX(FinalPayment!$F$2:$H$328,MATCH(RawTransportationData!$B1389,FinalPayment!$F$2:$F$328,0),3)</f>
        <v>54085</v>
      </c>
    </row>
    <row r="1390" spans="1:8" x14ac:dyDescent="0.55000000000000004">
      <c r="A1390">
        <v>2021</v>
      </c>
      <c r="B1390" t="s">
        <v>611</v>
      </c>
      <c r="C1390" t="s">
        <v>79</v>
      </c>
      <c r="H1390" s="5">
        <f>INDEX(FinalPayment!$F$2:$H$328,MATCH(RawTransportationData!$B1390,FinalPayment!$F$2:$F$328,0),3)</f>
        <v>998</v>
      </c>
    </row>
    <row r="1391" spans="1:8" x14ac:dyDescent="0.55000000000000004">
      <c r="A1391">
        <v>2021</v>
      </c>
      <c r="B1391" t="s">
        <v>610</v>
      </c>
      <c r="C1391" t="s">
        <v>80</v>
      </c>
      <c r="H1391" s="5">
        <f>INDEX(FinalPayment!$F$2:$H$328,MATCH(RawTransportationData!$B1391,FinalPayment!$F$2:$F$328,0),3)</f>
        <v>3055</v>
      </c>
    </row>
    <row r="1392" spans="1:8" x14ac:dyDescent="0.55000000000000004">
      <c r="A1392">
        <v>2021</v>
      </c>
      <c r="B1392" t="s">
        <v>609</v>
      </c>
      <c r="C1392" t="s">
        <v>81</v>
      </c>
      <c r="H1392" s="5">
        <f>INDEX(FinalPayment!$F$2:$H$328,MATCH(RawTransportationData!$B1392,FinalPayment!$F$2:$F$328,0),3)</f>
        <v>622</v>
      </c>
    </row>
    <row r="1393" spans="1:8" x14ac:dyDescent="0.55000000000000004">
      <c r="A1393">
        <v>2021</v>
      </c>
      <c r="B1393" t="s">
        <v>608</v>
      </c>
      <c r="C1393" t="s">
        <v>1214</v>
      </c>
      <c r="H1393" s="5">
        <f>INDEX(FinalPayment!$F$2:$H$328,MATCH(RawTransportationData!$B1393,FinalPayment!$F$2:$F$328,0),3)</f>
        <v>465846</v>
      </c>
    </row>
    <row r="1394" spans="1:8" x14ac:dyDescent="0.55000000000000004">
      <c r="A1394">
        <v>2021</v>
      </c>
      <c r="B1394" t="s">
        <v>607</v>
      </c>
      <c r="C1394" t="s">
        <v>83</v>
      </c>
      <c r="H1394" s="5">
        <f>INDEX(FinalPayment!$F$2:$H$328,MATCH(RawTransportationData!$B1394,FinalPayment!$F$2:$F$328,0),3)</f>
        <v>376</v>
      </c>
    </row>
    <row r="1395" spans="1:8" x14ac:dyDescent="0.55000000000000004">
      <c r="A1395">
        <v>2021</v>
      </c>
      <c r="B1395" t="s">
        <v>606</v>
      </c>
      <c r="C1395" t="s">
        <v>1215</v>
      </c>
      <c r="H1395" s="5">
        <f>INDEX(FinalPayment!$F$2:$H$328,MATCH(RawTransportationData!$B1395,FinalPayment!$F$2:$F$328,0),3)</f>
        <v>29364</v>
      </c>
    </row>
    <row r="1396" spans="1:8" x14ac:dyDescent="0.55000000000000004">
      <c r="A1396">
        <v>2021</v>
      </c>
      <c r="B1396" t="s">
        <v>604</v>
      </c>
      <c r="C1396" t="s">
        <v>84</v>
      </c>
      <c r="H1396" s="5">
        <f>INDEX(FinalPayment!$F$2:$H$328,MATCH(RawTransportationData!$B1396,FinalPayment!$F$2:$F$328,0),3)</f>
        <v>22435</v>
      </c>
    </row>
    <row r="1397" spans="1:8" x14ac:dyDescent="0.55000000000000004">
      <c r="A1397">
        <v>2021</v>
      </c>
      <c r="B1397" t="s">
        <v>603</v>
      </c>
      <c r="C1397" t="s">
        <v>85</v>
      </c>
      <c r="H1397" s="5">
        <f>INDEX(FinalPayment!$F$2:$H$328,MATCH(RawTransportationData!$B1397,FinalPayment!$F$2:$F$328,0),3)</f>
        <v>67341</v>
      </c>
    </row>
    <row r="1398" spans="1:8" x14ac:dyDescent="0.55000000000000004">
      <c r="A1398">
        <v>2021</v>
      </c>
      <c r="B1398" t="s">
        <v>602</v>
      </c>
      <c r="C1398" t="s">
        <v>86</v>
      </c>
      <c r="H1398" s="5">
        <f>INDEX(FinalPayment!$F$2:$H$328,MATCH(RawTransportationData!$B1398,FinalPayment!$F$2:$F$328,0),3)</f>
        <v>243620</v>
      </c>
    </row>
    <row r="1399" spans="1:8" x14ac:dyDescent="0.55000000000000004">
      <c r="A1399">
        <v>2021</v>
      </c>
      <c r="B1399" t="s">
        <v>601</v>
      </c>
      <c r="C1399" t="s">
        <v>87</v>
      </c>
      <c r="H1399" s="5">
        <f>INDEX(FinalPayment!$F$2:$H$328,MATCH(RawTransportationData!$B1399,FinalPayment!$F$2:$F$328,0),3)</f>
        <v>7411</v>
      </c>
    </row>
    <row r="1400" spans="1:8" x14ac:dyDescent="0.55000000000000004">
      <c r="A1400">
        <v>2021</v>
      </c>
      <c r="B1400" t="s">
        <v>600</v>
      </c>
      <c r="C1400" t="s">
        <v>88</v>
      </c>
      <c r="H1400" s="5">
        <f>INDEX(FinalPayment!$F$2:$H$328,MATCH(RawTransportationData!$B1400,FinalPayment!$F$2:$F$328,0),3)</f>
        <v>1184</v>
      </c>
    </row>
    <row r="1401" spans="1:8" x14ac:dyDescent="0.55000000000000004">
      <c r="A1401">
        <v>2021</v>
      </c>
      <c r="B1401" t="s">
        <v>599</v>
      </c>
      <c r="C1401" t="s">
        <v>89</v>
      </c>
      <c r="H1401" s="5">
        <f>INDEX(FinalPayment!$F$2:$H$328,MATCH(RawTransportationData!$B1401,FinalPayment!$F$2:$F$328,0),3)</f>
        <v>2401</v>
      </c>
    </row>
    <row r="1402" spans="1:8" x14ac:dyDescent="0.55000000000000004">
      <c r="A1402">
        <v>2021</v>
      </c>
      <c r="B1402" t="s">
        <v>598</v>
      </c>
      <c r="C1402" t="s">
        <v>90</v>
      </c>
      <c r="H1402" s="5">
        <f>INDEX(FinalPayment!$F$2:$H$328,MATCH(RawTransportationData!$B1402,FinalPayment!$F$2:$F$328,0),3)</f>
        <v>72909</v>
      </c>
    </row>
    <row r="1403" spans="1:8" x14ac:dyDescent="0.55000000000000004">
      <c r="A1403">
        <v>2021</v>
      </c>
      <c r="B1403" t="s">
        <v>597</v>
      </c>
      <c r="C1403" t="s">
        <v>91</v>
      </c>
      <c r="H1403" s="5">
        <f>INDEX(FinalPayment!$F$2:$H$328,MATCH(RawTransportationData!$B1403,FinalPayment!$F$2:$F$328,0),3)</f>
        <v>12321</v>
      </c>
    </row>
    <row r="1404" spans="1:8" x14ac:dyDescent="0.55000000000000004">
      <c r="A1404">
        <v>2021</v>
      </c>
      <c r="B1404" t="s">
        <v>596</v>
      </c>
      <c r="C1404" t="s">
        <v>92</v>
      </c>
      <c r="H1404" s="5">
        <f>INDEX(FinalPayment!$F$2:$H$328,MATCH(RawTransportationData!$B1404,FinalPayment!$F$2:$F$328,0),3)</f>
        <v>498139</v>
      </c>
    </row>
    <row r="1405" spans="1:8" x14ac:dyDescent="0.55000000000000004">
      <c r="A1405">
        <v>2021</v>
      </c>
      <c r="B1405" t="s">
        <v>595</v>
      </c>
      <c r="C1405" t="s">
        <v>1216</v>
      </c>
      <c r="H1405" s="5">
        <f>INDEX(FinalPayment!$F$2:$H$328,MATCH(RawTransportationData!$B1405,FinalPayment!$F$2:$F$328,0),3)</f>
        <v>351781</v>
      </c>
    </row>
    <row r="1406" spans="1:8" x14ac:dyDescent="0.55000000000000004">
      <c r="A1406">
        <v>2021</v>
      </c>
      <c r="B1406" t="s">
        <v>594</v>
      </c>
      <c r="C1406" t="s">
        <v>94</v>
      </c>
      <c r="H1406" s="5">
        <f>INDEX(FinalPayment!$F$2:$H$328,MATCH(RawTransportationData!$B1406,FinalPayment!$F$2:$F$328,0),3)</f>
        <v>118809</v>
      </c>
    </row>
    <row r="1407" spans="1:8" x14ac:dyDescent="0.55000000000000004">
      <c r="A1407">
        <v>2021</v>
      </c>
      <c r="B1407" t="s">
        <v>593</v>
      </c>
      <c r="C1407" t="s">
        <v>95</v>
      </c>
      <c r="H1407" s="5">
        <f>INDEX(FinalPayment!$F$2:$H$328,MATCH(RawTransportationData!$B1407,FinalPayment!$F$2:$F$328,0),3)</f>
        <v>104716</v>
      </c>
    </row>
    <row r="1408" spans="1:8" x14ac:dyDescent="0.55000000000000004">
      <c r="A1408">
        <v>2021</v>
      </c>
      <c r="B1408" t="s">
        <v>592</v>
      </c>
      <c r="C1408" t="s">
        <v>96</v>
      </c>
      <c r="H1408" s="5">
        <f>INDEX(FinalPayment!$F$2:$H$328,MATCH(RawTransportationData!$B1408,FinalPayment!$F$2:$F$328,0),3)</f>
        <v>637</v>
      </c>
    </row>
    <row r="1409" spans="1:8" x14ac:dyDescent="0.55000000000000004">
      <c r="A1409">
        <v>2021</v>
      </c>
      <c r="B1409" t="s">
        <v>591</v>
      </c>
      <c r="C1409" t="s">
        <v>1217</v>
      </c>
      <c r="H1409" s="5">
        <f>INDEX(FinalPayment!$F$2:$H$328,MATCH(RawTransportationData!$B1409,FinalPayment!$F$2:$F$328,0),3)</f>
        <v>26837</v>
      </c>
    </row>
    <row r="1410" spans="1:8" x14ac:dyDescent="0.55000000000000004">
      <c r="A1410">
        <v>2021</v>
      </c>
      <c r="B1410" t="s">
        <v>590</v>
      </c>
      <c r="C1410" t="s">
        <v>98</v>
      </c>
      <c r="H1410" s="5">
        <f>INDEX(FinalPayment!$F$2:$H$328,MATCH(RawTransportationData!$B1410,FinalPayment!$F$2:$F$328,0),3)</f>
        <v>29258</v>
      </c>
    </row>
    <row r="1411" spans="1:8" x14ac:dyDescent="0.55000000000000004">
      <c r="A1411">
        <v>2021</v>
      </c>
      <c r="B1411" t="s">
        <v>589</v>
      </c>
      <c r="C1411" t="s">
        <v>99</v>
      </c>
      <c r="H1411" s="5">
        <f>INDEX(FinalPayment!$F$2:$H$328,MATCH(RawTransportationData!$B1411,FinalPayment!$F$2:$F$328,0),3)</f>
        <v>710</v>
      </c>
    </row>
    <row r="1412" spans="1:8" x14ac:dyDescent="0.55000000000000004">
      <c r="A1412">
        <v>2021</v>
      </c>
      <c r="B1412" t="s">
        <v>588</v>
      </c>
      <c r="C1412" t="s">
        <v>100</v>
      </c>
      <c r="H1412" s="5">
        <f>INDEX(FinalPayment!$F$2:$H$328,MATCH(RawTransportationData!$B1412,FinalPayment!$F$2:$F$328,0),3)</f>
        <v>8536</v>
      </c>
    </row>
    <row r="1413" spans="1:8" x14ac:dyDescent="0.55000000000000004">
      <c r="A1413">
        <v>2021</v>
      </c>
      <c r="B1413" t="s">
        <v>587</v>
      </c>
      <c r="C1413" t="s">
        <v>101</v>
      </c>
      <c r="H1413" s="5">
        <f>INDEX(FinalPayment!$F$2:$H$328,MATCH(RawTransportationData!$B1413,FinalPayment!$F$2:$F$328,0),3)</f>
        <v>333</v>
      </c>
    </row>
    <row r="1414" spans="1:8" x14ac:dyDescent="0.55000000000000004">
      <c r="A1414">
        <v>2021</v>
      </c>
      <c r="B1414" t="s">
        <v>585</v>
      </c>
      <c r="C1414" t="s">
        <v>103</v>
      </c>
      <c r="H1414" s="5">
        <f>INDEX(FinalPayment!$F$2:$H$328,MATCH(RawTransportationData!$B1414,FinalPayment!$F$2:$F$328,0),3)</f>
        <v>17764</v>
      </c>
    </row>
    <row r="1415" spans="1:8" x14ac:dyDescent="0.55000000000000004">
      <c r="A1415">
        <v>2021</v>
      </c>
      <c r="B1415" t="s">
        <v>584</v>
      </c>
      <c r="C1415" t="s">
        <v>104</v>
      </c>
      <c r="H1415" s="5">
        <f>INDEX(FinalPayment!$F$2:$H$328,MATCH(RawTransportationData!$B1415,FinalPayment!$F$2:$F$328,0),3)</f>
        <v>732</v>
      </c>
    </row>
    <row r="1416" spans="1:8" x14ac:dyDescent="0.55000000000000004">
      <c r="A1416">
        <v>2021</v>
      </c>
      <c r="B1416" t="s">
        <v>583</v>
      </c>
      <c r="C1416" t="s">
        <v>105</v>
      </c>
      <c r="H1416" s="5">
        <f>INDEX(FinalPayment!$F$2:$H$328,MATCH(RawTransportationData!$B1416,FinalPayment!$F$2:$F$328,0),3)</f>
        <v>471</v>
      </c>
    </row>
    <row r="1417" spans="1:8" x14ac:dyDescent="0.55000000000000004">
      <c r="A1417">
        <v>2021</v>
      </c>
      <c r="B1417" t="s">
        <v>582</v>
      </c>
      <c r="C1417" t="s">
        <v>106</v>
      </c>
      <c r="H1417" s="5">
        <f>INDEX(FinalPayment!$F$2:$H$328,MATCH(RawTransportationData!$B1417,FinalPayment!$F$2:$F$328,0),3)</f>
        <v>67900</v>
      </c>
    </row>
    <row r="1418" spans="1:8" x14ac:dyDescent="0.55000000000000004">
      <c r="A1418">
        <v>2021</v>
      </c>
      <c r="B1418" t="s">
        <v>580</v>
      </c>
      <c r="C1418" t="s">
        <v>107</v>
      </c>
      <c r="H1418" s="5">
        <f>INDEX(FinalPayment!$F$2:$H$328,MATCH(RawTransportationData!$B1418,FinalPayment!$F$2:$F$328,0),3)</f>
        <v>225547</v>
      </c>
    </row>
    <row r="1419" spans="1:8" x14ac:dyDescent="0.55000000000000004">
      <c r="A1419">
        <v>2021</v>
      </c>
      <c r="B1419" t="s">
        <v>502</v>
      </c>
      <c r="C1419" t="s">
        <v>331</v>
      </c>
      <c r="H1419" s="5">
        <f>INDEX(FinalPayment!$F$2:$H$328,MATCH(RawTransportationData!$B1419,FinalPayment!$F$2:$F$328,0),3)</f>
        <v>198504</v>
      </c>
    </row>
    <row r="1420" spans="1:8" x14ac:dyDescent="0.55000000000000004">
      <c r="A1420">
        <v>2021</v>
      </c>
      <c r="B1420" t="s">
        <v>375</v>
      </c>
      <c r="C1420" t="s">
        <v>333</v>
      </c>
      <c r="H1420" s="5">
        <f>INDEX(FinalPayment!$F$2:$H$328,MATCH(RawTransportationData!$B1420,FinalPayment!$F$2:$F$328,0),3)</f>
        <v>136548</v>
      </c>
    </row>
    <row r="1421" spans="1:8" x14ac:dyDescent="0.55000000000000004">
      <c r="A1421">
        <v>2021</v>
      </c>
      <c r="B1421" t="s">
        <v>579</v>
      </c>
      <c r="C1421" t="s">
        <v>108</v>
      </c>
      <c r="H1421" s="5">
        <f>INDEX(FinalPayment!$F$2:$H$328,MATCH(RawTransportationData!$B1421,FinalPayment!$F$2:$F$328,0),3)</f>
        <v>152880</v>
      </c>
    </row>
    <row r="1422" spans="1:8" x14ac:dyDescent="0.55000000000000004">
      <c r="A1422">
        <v>2021</v>
      </c>
      <c r="B1422" t="s">
        <v>578</v>
      </c>
      <c r="C1422" t="s">
        <v>109</v>
      </c>
      <c r="H1422" s="5">
        <f>INDEX(FinalPayment!$F$2:$H$328,MATCH(RawTransportationData!$B1422,FinalPayment!$F$2:$F$328,0),3)</f>
        <v>126918</v>
      </c>
    </row>
    <row r="1423" spans="1:8" x14ac:dyDescent="0.55000000000000004">
      <c r="A1423">
        <v>2021</v>
      </c>
      <c r="B1423" t="s">
        <v>581</v>
      </c>
      <c r="C1423" t="s">
        <v>336</v>
      </c>
      <c r="H1423" s="5">
        <f>INDEX(FinalPayment!$F$2:$H$328,MATCH(RawTransportationData!$B1423,FinalPayment!$F$2:$F$328,0),3)</f>
        <v>140949</v>
      </c>
    </row>
    <row r="1424" spans="1:8" x14ac:dyDescent="0.55000000000000004">
      <c r="A1424">
        <v>2021</v>
      </c>
      <c r="B1424" t="s">
        <v>649</v>
      </c>
      <c r="C1424" t="s">
        <v>1218</v>
      </c>
      <c r="H1424" s="5">
        <f>INDEX(FinalPayment!$F$2:$H$328,MATCH(RawTransportationData!$B1424,FinalPayment!$F$2:$F$328,0),3)</f>
        <v>389480</v>
      </c>
    </row>
    <row r="1425" spans="1:8" x14ac:dyDescent="0.55000000000000004">
      <c r="A1425">
        <v>2021</v>
      </c>
      <c r="B1425" t="s">
        <v>576</v>
      </c>
      <c r="C1425" t="s">
        <v>111</v>
      </c>
      <c r="H1425" s="5">
        <f>INDEX(FinalPayment!$F$2:$H$328,MATCH(RawTransportationData!$B1425,FinalPayment!$F$2:$F$328,0),3)</f>
        <v>151694</v>
      </c>
    </row>
    <row r="1426" spans="1:8" x14ac:dyDescent="0.55000000000000004">
      <c r="A1426">
        <v>2021</v>
      </c>
      <c r="B1426" t="s">
        <v>575</v>
      </c>
      <c r="C1426" t="s">
        <v>112</v>
      </c>
      <c r="H1426" s="5">
        <f>INDEX(FinalPayment!$F$2:$H$328,MATCH(RawTransportationData!$B1426,FinalPayment!$F$2:$F$328,0),3)</f>
        <v>33492</v>
      </c>
    </row>
    <row r="1427" spans="1:8" x14ac:dyDescent="0.55000000000000004">
      <c r="A1427">
        <v>2021</v>
      </c>
      <c r="B1427" t="s">
        <v>574</v>
      </c>
      <c r="C1427" t="s">
        <v>113</v>
      </c>
      <c r="H1427" s="5">
        <f>INDEX(FinalPayment!$F$2:$H$328,MATCH(RawTransportationData!$B1427,FinalPayment!$F$2:$F$328,0),3)</f>
        <v>29960</v>
      </c>
    </row>
    <row r="1428" spans="1:8" x14ac:dyDescent="0.55000000000000004">
      <c r="A1428">
        <v>2021</v>
      </c>
      <c r="B1428" t="s">
        <v>573</v>
      </c>
      <c r="C1428" t="s">
        <v>114</v>
      </c>
      <c r="H1428" s="5">
        <f>INDEX(FinalPayment!$F$2:$H$328,MATCH(RawTransportationData!$B1428,FinalPayment!$F$2:$F$328,0),3)</f>
        <v>59079</v>
      </c>
    </row>
    <row r="1429" spans="1:8" x14ac:dyDescent="0.55000000000000004">
      <c r="A1429">
        <v>2021</v>
      </c>
      <c r="B1429" t="s">
        <v>572</v>
      </c>
      <c r="C1429" t="s">
        <v>115</v>
      </c>
      <c r="H1429" s="5">
        <f>INDEX(FinalPayment!$F$2:$H$328,MATCH(RawTransportationData!$B1429,FinalPayment!$F$2:$F$328,0),3)</f>
        <v>156</v>
      </c>
    </row>
    <row r="1430" spans="1:8" x14ac:dyDescent="0.55000000000000004">
      <c r="A1430">
        <v>2021</v>
      </c>
      <c r="B1430" t="s">
        <v>571</v>
      </c>
      <c r="C1430" t="s">
        <v>1219</v>
      </c>
      <c r="H1430" s="5">
        <f>INDEX(FinalPayment!$F$2:$H$328,MATCH(RawTransportationData!$B1430,FinalPayment!$F$2:$F$328,0),3)</f>
        <v>1039</v>
      </c>
    </row>
    <row r="1431" spans="1:8" x14ac:dyDescent="0.55000000000000004">
      <c r="A1431">
        <v>2021</v>
      </c>
      <c r="B1431" t="s">
        <v>570</v>
      </c>
      <c r="C1431" t="s">
        <v>1220</v>
      </c>
      <c r="H1431" s="5">
        <f>INDEX(FinalPayment!$F$2:$H$328,MATCH(RawTransportationData!$B1431,FinalPayment!$F$2:$F$328,0),3)</f>
        <v>102677</v>
      </c>
    </row>
    <row r="1432" spans="1:8" x14ac:dyDescent="0.55000000000000004">
      <c r="A1432">
        <v>2021</v>
      </c>
      <c r="B1432" t="s">
        <v>568</v>
      </c>
      <c r="C1432" t="s">
        <v>117</v>
      </c>
      <c r="H1432" s="5">
        <f>INDEX(FinalPayment!$F$2:$H$328,MATCH(RawTransportationData!$B1432,FinalPayment!$F$2:$F$328,0),3)</f>
        <v>42259</v>
      </c>
    </row>
    <row r="1433" spans="1:8" x14ac:dyDescent="0.55000000000000004">
      <c r="A1433">
        <v>2021</v>
      </c>
      <c r="B1433" t="s">
        <v>567</v>
      </c>
      <c r="C1433" t="s">
        <v>118</v>
      </c>
      <c r="H1433" s="5">
        <f>INDEX(FinalPayment!$F$2:$H$328,MATCH(RawTransportationData!$B1433,FinalPayment!$F$2:$F$328,0),3)</f>
        <v>39890</v>
      </c>
    </row>
    <row r="1434" spans="1:8" x14ac:dyDescent="0.55000000000000004">
      <c r="A1434">
        <v>2021</v>
      </c>
      <c r="B1434" t="s">
        <v>566</v>
      </c>
      <c r="C1434" t="s">
        <v>119</v>
      </c>
      <c r="H1434" s="5">
        <f>INDEX(FinalPayment!$F$2:$H$328,MATCH(RawTransportationData!$B1434,FinalPayment!$F$2:$F$328,0),3)</f>
        <v>2996</v>
      </c>
    </row>
    <row r="1435" spans="1:8" x14ac:dyDescent="0.55000000000000004">
      <c r="A1435">
        <v>2021</v>
      </c>
      <c r="B1435" t="s">
        <v>565</v>
      </c>
      <c r="C1435" t="s">
        <v>120</v>
      </c>
      <c r="H1435" s="5">
        <f>INDEX(FinalPayment!$F$2:$H$328,MATCH(RawTransportationData!$B1435,FinalPayment!$F$2:$F$328,0),3)</f>
        <v>1723</v>
      </c>
    </row>
    <row r="1436" spans="1:8" x14ac:dyDescent="0.55000000000000004">
      <c r="A1436">
        <v>2021</v>
      </c>
      <c r="B1436" t="s">
        <v>564</v>
      </c>
      <c r="C1436" t="s">
        <v>121</v>
      </c>
      <c r="H1436" s="5">
        <f>INDEX(FinalPayment!$F$2:$H$328,MATCH(RawTransportationData!$B1436,FinalPayment!$F$2:$F$328,0),3)</f>
        <v>25233</v>
      </c>
    </row>
    <row r="1437" spans="1:8" x14ac:dyDescent="0.55000000000000004">
      <c r="A1437">
        <v>2021</v>
      </c>
      <c r="B1437" t="s">
        <v>563</v>
      </c>
      <c r="C1437" t="s">
        <v>122</v>
      </c>
      <c r="H1437" s="5">
        <f>INDEX(FinalPayment!$F$2:$H$328,MATCH(RawTransportationData!$B1437,FinalPayment!$F$2:$F$328,0),3)</f>
        <v>120253</v>
      </c>
    </row>
    <row r="1438" spans="1:8" x14ac:dyDescent="0.55000000000000004">
      <c r="A1438">
        <v>2021</v>
      </c>
      <c r="B1438" t="s">
        <v>562</v>
      </c>
      <c r="C1438" t="s">
        <v>561</v>
      </c>
      <c r="H1438" s="5">
        <f>INDEX(FinalPayment!$F$2:$H$328,MATCH(RawTransportationData!$B1438,FinalPayment!$F$2:$F$328,0),3)</f>
        <v>119321</v>
      </c>
    </row>
    <row r="1439" spans="1:8" x14ac:dyDescent="0.55000000000000004">
      <c r="A1439">
        <v>2021</v>
      </c>
      <c r="B1439" t="s">
        <v>560</v>
      </c>
      <c r="C1439" t="s">
        <v>123</v>
      </c>
      <c r="H1439" s="5">
        <f>INDEX(FinalPayment!$F$2:$H$328,MATCH(RawTransportationData!$B1439,FinalPayment!$F$2:$F$328,0),3)</f>
        <v>106646</v>
      </c>
    </row>
    <row r="1440" spans="1:8" x14ac:dyDescent="0.55000000000000004">
      <c r="A1440">
        <v>2021</v>
      </c>
      <c r="B1440" t="s">
        <v>559</v>
      </c>
      <c r="C1440" t="s">
        <v>124</v>
      </c>
      <c r="H1440" s="5">
        <f>INDEX(FinalPayment!$F$2:$H$328,MATCH(RawTransportationData!$B1440,FinalPayment!$F$2:$F$328,0),3)</f>
        <v>1254</v>
      </c>
    </row>
    <row r="1441" spans="1:8" x14ac:dyDescent="0.55000000000000004">
      <c r="A1441">
        <v>2021</v>
      </c>
      <c r="B1441" t="s">
        <v>558</v>
      </c>
      <c r="C1441" t="s">
        <v>125</v>
      </c>
      <c r="H1441" s="5">
        <f>INDEX(FinalPayment!$F$2:$H$328,MATCH(RawTransportationData!$B1441,FinalPayment!$F$2:$F$328,0),3)</f>
        <v>23063</v>
      </c>
    </row>
    <row r="1442" spans="1:8" x14ac:dyDescent="0.55000000000000004">
      <c r="A1442">
        <v>2021</v>
      </c>
      <c r="B1442" t="s">
        <v>557</v>
      </c>
      <c r="C1442" t="s">
        <v>126</v>
      </c>
      <c r="H1442" s="5">
        <f>INDEX(FinalPayment!$F$2:$H$328,MATCH(RawTransportationData!$B1442,FinalPayment!$F$2:$F$328,0),3)</f>
        <v>42431</v>
      </c>
    </row>
    <row r="1443" spans="1:8" x14ac:dyDescent="0.55000000000000004">
      <c r="A1443">
        <v>2021</v>
      </c>
      <c r="B1443" t="s">
        <v>556</v>
      </c>
      <c r="C1443" t="s">
        <v>127</v>
      </c>
      <c r="H1443" s="5">
        <f>INDEX(FinalPayment!$F$2:$H$328,MATCH(RawTransportationData!$B1443,FinalPayment!$F$2:$F$328,0),3)</f>
        <v>1643</v>
      </c>
    </row>
    <row r="1444" spans="1:8" x14ac:dyDescent="0.55000000000000004">
      <c r="A1444">
        <v>2021</v>
      </c>
      <c r="B1444" t="s">
        <v>555</v>
      </c>
      <c r="C1444" t="s">
        <v>128</v>
      </c>
      <c r="H1444" s="5">
        <f>INDEX(FinalPayment!$F$2:$H$328,MATCH(RawTransportationData!$B1444,FinalPayment!$F$2:$F$328,0),3)</f>
        <v>225</v>
      </c>
    </row>
    <row r="1445" spans="1:8" x14ac:dyDescent="0.55000000000000004">
      <c r="A1445">
        <v>2021</v>
      </c>
      <c r="B1445" t="s">
        <v>552</v>
      </c>
      <c r="C1445" t="s">
        <v>131</v>
      </c>
      <c r="H1445" s="5">
        <f>INDEX(FinalPayment!$F$2:$H$328,MATCH(RawTransportationData!$B1445,FinalPayment!$F$2:$F$328,0),3)</f>
        <v>113346</v>
      </c>
    </row>
    <row r="1446" spans="1:8" x14ac:dyDescent="0.55000000000000004">
      <c r="A1446">
        <v>2021</v>
      </c>
      <c r="B1446" t="s">
        <v>554</v>
      </c>
      <c r="C1446" t="s">
        <v>129</v>
      </c>
      <c r="H1446" s="5">
        <f>INDEX(FinalPayment!$F$2:$H$328,MATCH(RawTransportationData!$B1446,FinalPayment!$F$2:$F$328,0),3)</f>
        <v>55145</v>
      </c>
    </row>
    <row r="1447" spans="1:8" x14ac:dyDescent="0.55000000000000004">
      <c r="A1447">
        <v>2021</v>
      </c>
      <c r="B1447" t="s">
        <v>525</v>
      </c>
      <c r="C1447" t="s">
        <v>342</v>
      </c>
      <c r="H1447" s="5">
        <f>INDEX(FinalPayment!$F$2:$H$328,MATCH(RawTransportationData!$B1447,FinalPayment!$F$2:$F$328,0),3)</f>
        <v>262232</v>
      </c>
    </row>
    <row r="1448" spans="1:8" x14ac:dyDescent="0.55000000000000004">
      <c r="A1448">
        <v>2021</v>
      </c>
      <c r="B1448" t="s">
        <v>551</v>
      </c>
      <c r="C1448" t="s">
        <v>132</v>
      </c>
      <c r="H1448" s="5">
        <f>INDEX(FinalPayment!$F$2:$H$328,MATCH(RawTransportationData!$B1448,FinalPayment!$F$2:$F$328,0),3)</f>
        <v>1320</v>
      </c>
    </row>
    <row r="1449" spans="1:8" x14ac:dyDescent="0.55000000000000004">
      <c r="A1449">
        <v>2021</v>
      </c>
      <c r="B1449" t="s">
        <v>550</v>
      </c>
      <c r="C1449" t="s">
        <v>133</v>
      </c>
      <c r="H1449" s="5">
        <f>INDEX(FinalPayment!$F$2:$H$328,MATCH(RawTransportationData!$B1449,FinalPayment!$F$2:$F$328,0),3)</f>
        <v>244070</v>
      </c>
    </row>
    <row r="1450" spans="1:8" x14ac:dyDescent="0.55000000000000004">
      <c r="A1450">
        <v>2021</v>
      </c>
      <c r="B1450" t="s">
        <v>549</v>
      </c>
      <c r="C1450" t="s">
        <v>134</v>
      </c>
      <c r="H1450" s="5">
        <f>INDEX(FinalPayment!$F$2:$H$328,MATCH(RawTransportationData!$B1450,FinalPayment!$F$2:$F$328,0),3)</f>
        <v>535</v>
      </c>
    </row>
    <row r="1451" spans="1:8" x14ac:dyDescent="0.55000000000000004">
      <c r="A1451">
        <v>2021</v>
      </c>
      <c r="B1451" t="s">
        <v>548</v>
      </c>
      <c r="C1451" t="s">
        <v>135</v>
      </c>
      <c r="H1451" s="5">
        <f>INDEX(FinalPayment!$F$2:$H$328,MATCH(RawTransportationData!$B1451,FinalPayment!$F$2:$F$328,0),3)</f>
        <v>86640</v>
      </c>
    </row>
    <row r="1452" spans="1:8" x14ac:dyDescent="0.55000000000000004">
      <c r="A1452">
        <v>2021</v>
      </c>
      <c r="B1452" t="s">
        <v>545</v>
      </c>
      <c r="C1452" t="s">
        <v>138</v>
      </c>
      <c r="H1452" s="5">
        <f>INDEX(FinalPayment!$F$2:$H$328,MATCH(RawTransportationData!$B1452,FinalPayment!$F$2:$F$328,0),3)</f>
        <v>186</v>
      </c>
    </row>
    <row r="1453" spans="1:8" x14ac:dyDescent="0.55000000000000004">
      <c r="A1453">
        <v>2021</v>
      </c>
      <c r="B1453" t="s">
        <v>544</v>
      </c>
      <c r="C1453" t="s">
        <v>139</v>
      </c>
      <c r="H1453" s="5">
        <f>INDEX(FinalPayment!$F$2:$H$328,MATCH(RawTransportationData!$B1453,FinalPayment!$F$2:$F$328,0),3)</f>
        <v>975</v>
      </c>
    </row>
    <row r="1454" spans="1:8" x14ac:dyDescent="0.55000000000000004">
      <c r="A1454">
        <v>2021</v>
      </c>
      <c r="B1454" t="s">
        <v>543</v>
      </c>
      <c r="C1454" t="s">
        <v>140</v>
      </c>
      <c r="H1454" s="5">
        <f>INDEX(FinalPayment!$F$2:$H$328,MATCH(RawTransportationData!$B1454,FinalPayment!$F$2:$F$328,0),3)</f>
        <v>1162</v>
      </c>
    </row>
    <row r="1455" spans="1:8" x14ac:dyDescent="0.55000000000000004">
      <c r="A1455">
        <v>2021</v>
      </c>
      <c r="B1455" t="s">
        <v>541</v>
      </c>
      <c r="C1455" t="s">
        <v>142</v>
      </c>
      <c r="H1455" s="5">
        <f>INDEX(FinalPayment!$F$2:$H$328,MATCH(RawTransportationData!$B1455,FinalPayment!$F$2:$F$328,0),3)</f>
        <v>45684</v>
      </c>
    </row>
    <row r="1456" spans="1:8" x14ac:dyDescent="0.55000000000000004">
      <c r="A1456">
        <v>2021</v>
      </c>
      <c r="B1456" t="s">
        <v>540</v>
      </c>
      <c r="C1456" t="s">
        <v>143</v>
      </c>
      <c r="H1456" s="5">
        <f>INDEX(FinalPayment!$F$2:$H$328,MATCH(RawTransportationData!$B1456,FinalPayment!$F$2:$F$328,0),3)</f>
        <v>512</v>
      </c>
    </row>
    <row r="1457" spans="1:8" x14ac:dyDescent="0.55000000000000004">
      <c r="A1457">
        <v>2021</v>
      </c>
      <c r="B1457" t="s">
        <v>539</v>
      </c>
      <c r="C1457" t="s">
        <v>144</v>
      </c>
      <c r="H1457" s="5">
        <f>INDEX(FinalPayment!$F$2:$H$328,MATCH(RawTransportationData!$B1457,FinalPayment!$F$2:$F$328,0),3)</f>
        <v>61719</v>
      </c>
    </row>
    <row r="1458" spans="1:8" x14ac:dyDescent="0.55000000000000004">
      <c r="A1458">
        <v>2021</v>
      </c>
      <c r="B1458" t="s">
        <v>538</v>
      </c>
      <c r="C1458" t="s">
        <v>145</v>
      </c>
      <c r="H1458" s="5">
        <f>INDEX(FinalPayment!$F$2:$H$328,MATCH(RawTransportationData!$B1458,FinalPayment!$F$2:$F$328,0),3)</f>
        <v>171869</v>
      </c>
    </row>
    <row r="1459" spans="1:8" x14ac:dyDescent="0.55000000000000004">
      <c r="A1459">
        <v>2021</v>
      </c>
      <c r="B1459" t="s">
        <v>546</v>
      </c>
      <c r="C1459" t="s">
        <v>825</v>
      </c>
      <c r="H1459" s="5">
        <f>INDEX(FinalPayment!$F$2:$H$328,MATCH(RawTransportationData!$B1459,FinalPayment!$F$2:$F$328,0),3)</f>
        <v>288</v>
      </c>
    </row>
    <row r="1460" spans="1:8" x14ac:dyDescent="0.55000000000000004">
      <c r="A1460">
        <v>2021</v>
      </c>
      <c r="B1460" t="s">
        <v>537</v>
      </c>
      <c r="C1460" t="s">
        <v>146</v>
      </c>
      <c r="H1460" s="5">
        <f>INDEX(FinalPayment!$F$2:$H$328,MATCH(RawTransportationData!$B1460,FinalPayment!$F$2:$F$328,0),3)</f>
        <v>287524</v>
      </c>
    </row>
    <row r="1461" spans="1:8" x14ac:dyDescent="0.55000000000000004">
      <c r="A1461">
        <v>2021</v>
      </c>
      <c r="B1461" t="s">
        <v>536</v>
      </c>
      <c r="C1461" t="s">
        <v>147</v>
      </c>
      <c r="H1461" s="5">
        <f>INDEX(FinalPayment!$F$2:$H$328,MATCH(RawTransportationData!$B1461,FinalPayment!$F$2:$F$328,0),3)</f>
        <v>64453</v>
      </c>
    </row>
    <row r="1462" spans="1:8" x14ac:dyDescent="0.55000000000000004">
      <c r="A1462">
        <v>2021</v>
      </c>
      <c r="B1462" t="s">
        <v>535</v>
      </c>
      <c r="C1462" t="s">
        <v>148</v>
      </c>
      <c r="H1462" s="5">
        <f>INDEX(FinalPayment!$F$2:$H$328,MATCH(RawTransportationData!$B1462,FinalPayment!$F$2:$F$328,0),3)</f>
        <v>565</v>
      </c>
    </row>
    <row r="1463" spans="1:8" x14ac:dyDescent="0.55000000000000004">
      <c r="A1463">
        <v>2021</v>
      </c>
      <c r="B1463" t="s">
        <v>534</v>
      </c>
      <c r="C1463" t="s">
        <v>149</v>
      </c>
      <c r="H1463" s="5">
        <f>INDEX(FinalPayment!$F$2:$H$328,MATCH(RawTransportationData!$B1463,FinalPayment!$F$2:$F$328,0),3)</f>
        <v>992</v>
      </c>
    </row>
    <row r="1464" spans="1:8" x14ac:dyDescent="0.55000000000000004">
      <c r="A1464">
        <v>2021</v>
      </c>
      <c r="B1464" t="s">
        <v>527</v>
      </c>
      <c r="C1464" t="s">
        <v>330</v>
      </c>
      <c r="H1464" s="5">
        <f>INDEX(FinalPayment!$F$2:$H$328,MATCH(RawTransportationData!$B1464,FinalPayment!$F$2:$F$328,0),3)</f>
        <v>181976</v>
      </c>
    </row>
    <row r="1465" spans="1:8" x14ac:dyDescent="0.55000000000000004">
      <c r="A1465">
        <v>2021</v>
      </c>
      <c r="B1465" t="s">
        <v>533</v>
      </c>
      <c r="C1465" t="s">
        <v>150</v>
      </c>
      <c r="H1465" s="5">
        <f>INDEX(FinalPayment!$F$2:$H$328,MATCH(RawTransportationData!$B1465,FinalPayment!$F$2:$F$328,0),3)</f>
        <v>1174</v>
      </c>
    </row>
    <row r="1466" spans="1:8" x14ac:dyDescent="0.55000000000000004">
      <c r="A1466">
        <v>2021</v>
      </c>
      <c r="B1466" t="s">
        <v>532</v>
      </c>
      <c r="C1466" t="s">
        <v>151</v>
      </c>
      <c r="H1466" s="5">
        <f>INDEX(FinalPayment!$F$2:$H$328,MATCH(RawTransportationData!$B1466,FinalPayment!$F$2:$F$328,0),3)</f>
        <v>2862</v>
      </c>
    </row>
    <row r="1467" spans="1:8" x14ac:dyDescent="0.55000000000000004">
      <c r="A1467">
        <v>2021</v>
      </c>
      <c r="B1467" t="s">
        <v>531</v>
      </c>
      <c r="C1467" t="s">
        <v>152</v>
      </c>
      <c r="H1467" s="5">
        <f>INDEX(FinalPayment!$F$2:$H$328,MATCH(RawTransportationData!$B1467,FinalPayment!$F$2:$F$328,0),3)</f>
        <v>264592</v>
      </c>
    </row>
    <row r="1468" spans="1:8" x14ac:dyDescent="0.55000000000000004">
      <c r="A1468">
        <v>2021</v>
      </c>
      <c r="B1468" t="s">
        <v>530</v>
      </c>
      <c r="C1468" t="s">
        <v>153</v>
      </c>
      <c r="H1468" s="5">
        <f>INDEX(FinalPayment!$F$2:$H$328,MATCH(RawTransportationData!$B1468,FinalPayment!$F$2:$F$328,0),3)</f>
        <v>11689</v>
      </c>
    </row>
    <row r="1469" spans="1:8" x14ac:dyDescent="0.55000000000000004">
      <c r="A1469">
        <v>2021</v>
      </c>
      <c r="B1469" t="s">
        <v>529</v>
      </c>
      <c r="C1469" t="s">
        <v>154</v>
      </c>
      <c r="H1469" s="5">
        <f>INDEX(FinalPayment!$F$2:$H$328,MATCH(RawTransportationData!$B1469,FinalPayment!$F$2:$F$328,0),3)</f>
        <v>862</v>
      </c>
    </row>
    <row r="1470" spans="1:8" x14ac:dyDescent="0.55000000000000004">
      <c r="A1470">
        <v>2021</v>
      </c>
      <c r="B1470" t="s">
        <v>528</v>
      </c>
      <c r="C1470" t="s">
        <v>155</v>
      </c>
      <c r="H1470" s="5">
        <f>INDEX(FinalPayment!$F$2:$H$328,MATCH(RawTransportationData!$B1470,FinalPayment!$F$2:$F$328,0),3)</f>
        <v>450</v>
      </c>
    </row>
    <row r="1471" spans="1:8" x14ac:dyDescent="0.55000000000000004">
      <c r="A1471">
        <v>2021</v>
      </c>
      <c r="B1471" t="s">
        <v>526</v>
      </c>
      <c r="C1471" t="s">
        <v>1221</v>
      </c>
      <c r="H1471" s="5">
        <f>INDEX(FinalPayment!$F$2:$H$328,MATCH(RawTransportationData!$B1471,FinalPayment!$F$2:$F$328,0),3)</f>
        <v>354</v>
      </c>
    </row>
    <row r="1472" spans="1:8" x14ac:dyDescent="0.55000000000000004">
      <c r="A1472">
        <v>2021</v>
      </c>
      <c r="B1472" t="s">
        <v>524</v>
      </c>
      <c r="C1472" t="s">
        <v>157</v>
      </c>
      <c r="H1472" s="5">
        <f>INDEX(FinalPayment!$F$2:$H$328,MATCH(RawTransportationData!$B1472,FinalPayment!$F$2:$F$328,0),3)</f>
        <v>752</v>
      </c>
    </row>
    <row r="1473" spans="1:8" x14ac:dyDescent="0.55000000000000004">
      <c r="A1473">
        <v>2021</v>
      </c>
      <c r="B1473" t="s">
        <v>523</v>
      </c>
      <c r="C1473" t="s">
        <v>158</v>
      </c>
      <c r="H1473" s="5">
        <f>INDEX(FinalPayment!$F$2:$H$328,MATCH(RawTransportationData!$B1473,FinalPayment!$F$2:$F$328,0),3)</f>
        <v>369596</v>
      </c>
    </row>
    <row r="1474" spans="1:8" x14ac:dyDescent="0.55000000000000004">
      <c r="A1474">
        <v>2021</v>
      </c>
      <c r="B1474" t="s">
        <v>522</v>
      </c>
      <c r="C1474" t="s">
        <v>159</v>
      </c>
      <c r="H1474" s="5">
        <f>INDEX(FinalPayment!$F$2:$H$328,MATCH(RawTransportationData!$B1474,FinalPayment!$F$2:$F$328,0),3)</f>
        <v>1534</v>
      </c>
    </row>
    <row r="1475" spans="1:8" x14ac:dyDescent="0.55000000000000004">
      <c r="A1475">
        <v>2021</v>
      </c>
      <c r="B1475" t="s">
        <v>521</v>
      </c>
      <c r="C1475" t="s">
        <v>160</v>
      </c>
      <c r="H1475" s="5">
        <f>INDEX(FinalPayment!$F$2:$H$328,MATCH(RawTransportationData!$B1475,FinalPayment!$F$2:$F$328,0),3)</f>
        <v>80778</v>
      </c>
    </row>
    <row r="1476" spans="1:8" x14ac:dyDescent="0.55000000000000004">
      <c r="A1476">
        <v>2021</v>
      </c>
      <c r="B1476" t="s">
        <v>520</v>
      </c>
      <c r="C1476" t="s">
        <v>161</v>
      </c>
      <c r="H1476" s="5">
        <f>INDEX(FinalPayment!$F$2:$H$328,MATCH(RawTransportationData!$B1476,FinalPayment!$F$2:$F$328,0),3)</f>
        <v>360</v>
      </c>
    </row>
    <row r="1477" spans="1:8" x14ac:dyDescent="0.55000000000000004">
      <c r="A1477">
        <v>2021</v>
      </c>
      <c r="B1477" t="s">
        <v>519</v>
      </c>
      <c r="C1477" t="s">
        <v>162</v>
      </c>
      <c r="H1477" s="5">
        <f>INDEX(FinalPayment!$F$2:$H$328,MATCH(RawTransportationData!$B1477,FinalPayment!$F$2:$F$328,0),3)</f>
        <v>1439</v>
      </c>
    </row>
    <row r="1478" spans="1:8" x14ac:dyDescent="0.55000000000000004">
      <c r="A1478">
        <v>2021</v>
      </c>
      <c r="B1478" t="s">
        <v>518</v>
      </c>
      <c r="C1478" t="s">
        <v>163</v>
      </c>
      <c r="H1478" s="5">
        <f>INDEX(FinalPayment!$F$2:$H$328,MATCH(RawTransportationData!$B1478,FinalPayment!$F$2:$F$328,0),3)</f>
        <v>137249</v>
      </c>
    </row>
    <row r="1479" spans="1:8" x14ac:dyDescent="0.55000000000000004">
      <c r="A1479">
        <v>2021</v>
      </c>
      <c r="B1479" t="s">
        <v>517</v>
      </c>
      <c r="C1479" t="s">
        <v>164</v>
      </c>
      <c r="H1479" s="5">
        <f>INDEX(FinalPayment!$F$2:$H$328,MATCH(RawTransportationData!$B1479,FinalPayment!$F$2:$F$328,0),3)</f>
        <v>48191</v>
      </c>
    </row>
    <row r="1480" spans="1:8" x14ac:dyDescent="0.55000000000000004">
      <c r="A1480">
        <v>2021</v>
      </c>
      <c r="B1480" t="s">
        <v>516</v>
      </c>
      <c r="C1480" t="s">
        <v>165</v>
      </c>
      <c r="H1480" s="5">
        <f>INDEX(FinalPayment!$F$2:$H$328,MATCH(RawTransportationData!$B1480,FinalPayment!$F$2:$F$328,0),3)</f>
        <v>209</v>
      </c>
    </row>
    <row r="1481" spans="1:8" x14ac:dyDescent="0.55000000000000004">
      <c r="A1481">
        <v>2021</v>
      </c>
      <c r="B1481" t="s">
        <v>515</v>
      </c>
      <c r="C1481" t="s">
        <v>166</v>
      </c>
      <c r="H1481" s="5">
        <f>INDEX(FinalPayment!$F$2:$H$328,MATCH(RawTransportationData!$B1481,FinalPayment!$F$2:$F$328,0),3)</f>
        <v>177593</v>
      </c>
    </row>
    <row r="1482" spans="1:8" x14ac:dyDescent="0.55000000000000004">
      <c r="A1482">
        <v>2021</v>
      </c>
      <c r="B1482" t="s">
        <v>514</v>
      </c>
      <c r="C1482" t="s">
        <v>167</v>
      </c>
      <c r="H1482" s="5">
        <f>INDEX(FinalPayment!$F$2:$H$328,MATCH(RawTransportationData!$B1482,FinalPayment!$F$2:$F$328,0),3)</f>
        <v>1845</v>
      </c>
    </row>
    <row r="1483" spans="1:8" x14ac:dyDescent="0.55000000000000004">
      <c r="A1483">
        <v>2021</v>
      </c>
      <c r="B1483" t="s">
        <v>513</v>
      </c>
      <c r="C1483" t="s">
        <v>168</v>
      </c>
      <c r="H1483" s="5">
        <f>INDEX(FinalPayment!$F$2:$H$328,MATCH(RawTransportationData!$B1483,FinalPayment!$F$2:$F$328,0),3)</f>
        <v>366</v>
      </c>
    </row>
    <row r="1484" spans="1:8" x14ac:dyDescent="0.55000000000000004">
      <c r="A1484">
        <v>2021</v>
      </c>
      <c r="B1484" t="s">
        <v>512</v>
      </c>
      <c r="C1484" t="s">
        <v>169</v>
      </c>
      <c r="H1484" s="5">
        <f>INDEX(FinalPayment!$F$2:$H$328,MATCH(RawTransportationData!$B1484,FinalPayment!$F$2:$F$328,0),3)</f>
        <v>151140</v>
      </c>
    </row>
    <row r="1485" spans="1:8" x14ac:dyDescent="0.55000000000000004">
      <c r="A1485">
        <v>2021</v>
      </c>
      <c r="B1485" t="s">
        <v>510</v>
      </c>
      <c r="C1485" t="s">
        <v>171</v>
      </c>
      <c r="H1485" s="5">
        <f>INDEX(FinalPayment!$F$2:$H$328,MATCH(RawTransportationData!$B1485,FinalPayment!$F$2:$F$328,0),3)</f>
        <v>6186</v>
      </c>
    </row>
    <row r="1486" spans="1:8" x14ac:dyDescent="0.55000000000000004">
      <c r="A1486">
        <v>2021</v>
      </c>
      <c r="B1486" t="s">
        <v>509</v>
      </c>
      <c r="C1486" t="s">
        <v>172</v>
      </c>
      <c r="H1486" s="5">
        <f>INDEX(FinalPayment!$F$2:$H$328,MATCH(RawTransportationData!$B1486,FinalPayment!$F$2:$F$328,0),3)</f>
        <v>521</v>
      </c>
    </row>
    <row r="1487" spans="1:8" x14ac:dyDescent="0.55000000000000004">
      <c r="A1487">
        <v>2021</v>
      </c>
      <c r="B1487" t="s">
        <v>508</v>
      </c>
      <c r="C1487" t="s">
        <v>173</v>
      </c>
      <c r="H1487" s="5">
        <f>INDEX(FinalPayment!$F$2:$H$328,MATCH(RawTransportationData!$B1487,FinalPayment!$F$2:$F$328,0),3)</f>
        <v>37460</v>
      </c>
    </row>
    <row r="1488" spans="1:8" x14ac:dyDescent="0.55000000000000004">
      <c r="A1488">
        <v>2021</v>
      </c>
      <c r="B1488" t="s">
        <v>507</v>
      </c>
      <c r="C1488" t="s">
        <v>174</v>
      </c>
      <c r="H1488" s="5">
        <f>INDEX(FinalPayment!$F$2:$H$328,MATCH(RawTransportationData!$B1488,FinalPayment!$F$2:$F$328,0),3)</f>
        <v>298</v>
      </c>
    </row>
    <row r="1489" spans="1:8" x14ac:dyDescent="0.55000000000000004">
      <c r="A1489">
        <v>2021</v>
      </c>
      <c r="B1489" t="s">
        <v>506</v>
      </c>
      <c r="C1489" t="s">
        <v>175</v>
      </c>
      <c r="H1489" s="5">
        <f>INDEX(FinalPayment!$F$2:$H$328,MATCH(RawTransportationData!$B1489,FinalPayment!$F$2:$F$328,0),3)</f>
        <v>194044</v>
      </c>
    </row>
    <row r="1490" spans="1:8" x14ac:dyDescent="0.55000000000000004">
      <c r="A1490">
        <v>2021</v>
      </c>
      <c r="B1490" t="s">
        <v>505</v>
      </c>
      <c r="C1490" t="s">
        <v>1222</v>
      </c>
      <c r="H1490" s="5">
        <f>INDEX(FinalPayment!$F$2:$H$328,MATCH(RawTransportationData!$B1490,FinalPayment!$F$2:$F$328,0),3)</f>
        <v>64640</v>
      </c>
    </row>
    <row r="1491" spans="1:8" x14ac:dyDescent="0.55000000000000004">
      <c r="A1491">
        <v>2021</v>
      </c>
      <c r="B1491" t="s">
        <v>504</v>
      </c>
      <c r="C1491" t="s">
        <v>177</v>
      </c>
      <c r="H1491" s="5">
        <f>INDEX(FinalPayment!$F$2:$H$328,MATCH(RawTransportationData!$B1491,FinalPayment!$F$2:$F$328,0),3)</f>
        <v>57722</v>
      </c>
    </row>
    <row r="1492" spans="1:8" x14ac:dyDescent="0.55000000000000004">
      <c r="A1492">
        <v>2021</v>
      </c>
      <c r="B1492" t="s">
        <v>503</v>
      </c>
      <c r="C1492" t="s">
        <v>178</v>
      </c>
      <c r="H1492" s="5">
        <f>INDEX(FinalPayment!$F$2:$H$328,MATCH(RawTransportationData!$B1492,FinalPayment!$F$2:$F$328,0),3)</f>
        <v>542</v>
      </c>
    </row>
    <row r="1493" spans="1:8" x14ac:dyDescent="0.55000000000000004">
      <c r="A1493">
        <v>2021</v>
      </c>
      <c r="B1493" t="s">
        <v>501</v>
      </c>
      <c r="C1493" t="s">
        <v>1223</v>
      </c>
      <c r="H1493" s="5">
        <f>INDEX(FinalPayment!$F$2:$H$328,MATCH(RawTransportationData!$B1493,FinalPayment!$F$2:$F$328,0),3)</f>
        <v>349535</v>
      </c>
    </row>
    <row r="1494" spans="1:8" x14ac:dyDescent="0.55000000000000004">
      <c r="A1494">
        <v>2021</v>
      </c>
      <c r="B1494" t="s">
        <v>500</v>
      </c>
      <c r="C1494" t="s">
        <v>337</v>
      </c>
      <c r="H1494" s="5">
        <f>INDEX(FinalPayment!$F$2:$H$328,MATCH(RawTransportationData!$B1494,FinalPayment!$F$2:$F$328,0),3)</f>
        <v>264933</v>
      </c>
    </row>
    <row r="1495" spans="1:8" x14ac:dyDescent="0.55000000000000004">
      <c r="A1495">
        <v>2021</v>
      </c>
      <c r="B1495" t="s">
        <v>499</v>
      </c>
      <c r="C1495" t="s">
        <v>180</v>
      </c>
      <c r="H1495" s="5">
        <f>INDEX(FinalPayment!$F$2:$H$328,MATCH(RawTransportationData!$B1495,FinalPayment!$F$2:$F$328,0),3)</f>
        <v>7529</v>
      </c>
    </row>
    <row r="1496" spans="1:8" x14ac:dyDescent="0.55000000000000004">
      <c r="A1496">
        <v>2021</v>
      </c>
      <c r="B1496" t="s">
        <v>498</v>
      </c>
      <c r="C1496" t="s">
        <v>181</v>
      </c>
      <c r="H1496" s="5">
        <f>INDEX(FinalPayment!$F$2:$H$328,MATCH(RawTransportationData!$B1496,FinalPayment!$F$2:$F$328,0),3)</f>
        <v>116212</v>
      </c>
    </row>
    <row r="1497" spans="1:8" x14ac:dyDescent="0.55000000000000004">
      <c r="A1497">
        <v>2021</v>
      </c>
      <c r="B1497" t="s">
        <v>497</v>
      </c>
      <c r="C1497" t="s">
        <v>1224</v>
      </c>
      <c r="H1497" s="5">
        <f>INDEX(FinalPayment!$F$2:$H$328,MATCH(RawTransportationData!$B1497,FinalPayment!$F$2:$F$328,0),3)</f>
        <v>54406</v>
      </c>
    </row>
    <row r="1498" spans="1:8" x14ac:dyDescent="0.55000000000000004">
      <c r="A1498">
        <v>2021</v>
      </c>
      <c r="B1498" t="s">
        <v>496</v>
      </c>
      <c r="C1498" t="s">
        <v>1225</v>
      </c>
      <c r="H1498" s="5">
        <f>INDEX(FinalPayment!$F$2:$H$328,MATCH(RawTransportationData!$B1498,FinalPayment!$F$2:$F$328,0),3)</f>
        <v>1581</v>
      </c>
    </row>
    <row r="1499" spans="1:8" x14ac:dyDescent="0.55000000000000004">
      <c r="A1499">
        <v>2021</v>
      </c>
      <c r="B1499" t="s">
        <v>495</v>
      </c>
      <c r="C1499" t="s">
        <v>184</v>
      </c>
      <c r="H1499" s="5">
        <f>INDEX(FinalPayment!$F$2:$H$328,MATCH(RawTransportationData!$B1499,FinalPayment!$F$2:$F$328,0),3)</f>
        <v>4388</v>
      </c>
    </row>
    <row r="1500" spans="1:8" x14ac:dyDescent="0.55000000000000004">
      <c r="A1500">
        <v>2021</v>
      </c>
      <c r="B1500" t="s">
        <v>494</v>
      </c>
      <c r="C1500" t="s">
        <v>185</v>
      </c>
      <c r="H1500" s="5">
        <f>INDEX(FinalPayment!$F$2:$H$328,MATCH(RawTransportationData!$B1500,FinalPayment!$F$2:$F$328,0),3)</f>
        <v>55715</v>
      </c>
    </row>
    <row r="1501" spans="1:8" x14ac:dyDescent="0.55000000000000004">
      <c r="A1501">
        <v>2021</v>
      </c>
      <c r="B1501" t="s">
        <v>493</v>
      </c>
      <c r="C1501" t="s">
        <v>186</v>
      </c>
      <c r="H1501" s="5">
        <f>INDEX(FinalPayment!$F$2:$H$328,MATCH(RawTransportationData!$B1501,FinalPayment!$F$2:$F$328,0),3)</f>
        <v>2937</v>
      </c>
    </row>
    <row r="1502" spans="1:8" x14ac:dyDescent="0.55000000000000004">
      <c r="A1502">
        <v>2021</v>
      </c>
      <c r="B1502" t="s">
        <v>491</v>
      </c>
      <c r="C1502" t="s">
        <v>188</v>
      </c>
      <c r="H1502" s="5">
        <f>INDEX(FinalPayment!$F$2:$H$328,MATCH(RawTransportationData!$B1502,FinalPayment!$F$2:$F$328,0),3)</f>
        <v>247569</v>
      </c>
    </row>
    <row r="1503" spans="1:8" x14ac:dyDescent="0.55000000000000004">
      <c r="A1503">
        <v>2021</v>
      </c>
      <c r="B1503" t="s">
        <v>490</v>
      </c>
      <c r="C1503" t="s">
        <v>189</v>
      </c>
      <c r="H1503" s="5">
        <f>INDEX(FinalPayment!$F$2:$H$328,MATCH(RawTransportationData!$B1503,FinalPayment!$F$2:$F$328,0),3)</f>
        <v>282</v>
      </c>
    </row>
    <row r="1504" spans="1:8" x14ac:dyDescent="0.55000000000000004">
      <c r="A1504">
        <v>2021</v>
      </c>
      <c r="B1504" t="s">
        <v>486</v>
      </c>
      <c r="C1504" t="s">
        <v>1226</v>
      </c>
      <c r="H1504" s="5">
        <f>INDEX(FinalPayment!$F$2:$H$328,MATCH(RawTransportationData!$B1504,FinalPayment!$F$2:$F$328,0),3)</f>
        <v>193989</v>
      </c>
    </row>
    <row r="1505" spans="1:8" x14ac:dyDescent="0.55000000000000004">
      <c r="A1505">
        <v>2021</v>
      </c>
      <c r="B1505" t="s">
        <v>489</v>
      </c>
      <c r="C1505" t="s">
        <v>190</v>
      </c>
      <c r="H1505" s="5">
        <f>INDEX(FinalPayment!$F$2:$H$328,MATCH(RawTransportationData!$B1505,FinalPayment!$F$2:$F$328,0),3)</f>
        <v>240487</v>
      </c>
    </row>
    <row r="1506" spans="1:8" x14ac:dyDescent="0.55000000000000004">
      <c r="A1506">
        <v>2021</v>
      </c>
      <c r="B1506" t="s">
        <v>488</v>
      </c>
      <c r="C1506" t="s">
        <v>191</v>
      </c>
      <c r="H1506" s="5">
        <f>INDEX(FinalPayment!$F$2:$H$328,MATCH(RawTransportationData!$B1506,FinalPayment!$F$2:$F$328,0),3)</f>
        <v>240178</v>
      </c>
    </row>
    <row r="1507" spans="1:8" x14ac:dyDescent="0.55000000000000004">
      <c r="A1507">
        <v>2021</v>
      </c>
      <c r="B1507" t="s">
        <v>487</v>
      </c>
      <c r="C1507" t="s">
        <v>192</v>
      </c>
      <c r="H1507" s="5">
        <f>INDEX(FinalPayment!$F$2:$H$328,MATCH(RawTransportationData!$B1507,FinalPayment!$F$2:$F$328,0),3)</f>
        <v>24051</v>
      </c>
    </row>
    <row r="1508" spans="1:8" x14ac:dyDescent="0.55000000000000004">
      <c r="A1508">
        <v>2021</v>
      </c>
      <c r="B1508" t="s">
        <v>492</v>
      </c>
      <c r="C1508" t="s">
        <v>1227</v>
      </c>
      <c r="H1508" s="5">
        <f>INDEX(FinalPayment!$F$2:$H$328,MATCH(RawTransportationData!$B1508,FinalPayment!$F$2:$F$328,0),3)</f>
        <v>1185</v>
      </c>
    </row>
    <row r="1509" spans="1:8" x14ac:dyDescent="0.55000000000000004">
      <c r="A1509">
        <v>2021</v>
      </c>
      <c r="B1509" t="s">
        <v>485</v>
      </c>
      <c r="C1509" t="s">
        <v>194</v>
      </c>
      <c r="H1509" s="5">
        <f>INDEX(FinalPayment!$F$2:$H$328,MATCH(RawTransportationData!$B1509,FinalPayment!$F$2:$F$328,0),3)</f>
        <v>399</v>
      </c>
    </row>
    <row r="1510" spans="1:8" x14ac:dyDescent="0.55000000000000004">
      <c r="A1510">
        <v>2021</v>
      </c>
      <c r="B1510" t="s">
        <v>484</v>
      </c>
      <c r="C1510" t="s">
        <v>195</v>
      </c>
      <c r="H1510" s="5">
        <f>INDEX(FinalPayment!$F$2:$H$328,MATCH(RawTransportationData!$B1510,FinalPayment!$F$2:$F$328,0),3)</f>
        <v>24971</v>
      </c>
    </row>
    <row r="1511" spans="1:8" x14ac:dyDescent="0.55000000000000004">
      <c r="A1511">
        <v>2021</v>
      </c>
      <c r="B1511" t="s">
        <v>483</v>
      </c>
      <c r="C1511" t="s">
        <v>196</v>
      </c>
      <c r="H1511" s="5">
        <f>INDEX(FinalPayment!$F$2:$H$328,MATCH(RawTransportationData!$B1511,FinalPayment!$F$2:$F$328,0),3)</f>
        <v>26380</v>
      </c>
    </row>
    <row r="1512" spans="1:8" x14ac:dyDescent="0.55000000000000004">
      <c r="A1512">
        <v>2021</v>
      </c>
      <c r="B1512" t="s">
        <v>482</v>
      </c>
      <c r="C1512" t="s">
        <v>197</v>
      </c>
      <c r="H1512" s="5">
        <f>INDEX(FinalPayment!$F$2:$H$328,MATCH(RawTransportationData!$B1512,FinalPayment!$F$2:$F$328,0),3)</f>
        <v>41101</v>
      </c>
    </row>
    <row r="1513" spans="1:8" x14ac:dyDescent="0.55000000000000004">
      <c r="A1513">
        <v>2021</v>
      </c>
      <c r="B1513" t="s">
        <v>481</v>
      </c>
      <c r="C1513" t="s">
        <v>198</v>
      </c>
      <c r="H1513" s="5">
        <f>INDEX(FinalPayment!$F$2:$H$328,MATCH(RawTransportationData!$B1513,FinalPayment!$F$2:$F$328,0),3)</f>
        <v>168</v>
      </c>
    </row>
    <row r="1514" spans="1:8" x14ac:dyDescent="0.55000000000000004">
      <c r="A1514">
        <v>2021</v>
      </c>
      <c r="B1514" t="s">
        <v>480</v>
      </c>
      <c r="C1514" t="s">
        <v>199</v>
      </c>
      <c r="H1514" s="5">
        <f>INDEX(FinalPayment!$F$2:$H$328,MATCH(RawTransportationData!$B1514,FinalPayment!$F$2:$F$328,0),3)</f>
        <v>35805</v>
      </c>
    </row>
    <row r="1515" spans="1:8" x14ac:dyDescent="0.55000000000000004">
      <c r="A1515">
        <v>2021</v>
      </c>
      <c r="B1515" t="s">
        <v>479</v>
      </c>
      <c r="C1515" t="s">
        <v>200</v>
      </c>
      <c r="H1515" s="5">
        <f>INDEX(FinalPayment!$F$2:$H$328,MATCH(RawTransportationData!$B1515,FinalPayment!$F$2:$F$328,0),3)</f>
        <v>152906</v>
      </c>
    </row>
    <row r="1516" spans="1:8" x14ac:dyDescent="0.55000000000000004">
      <c r="A1516">
        <v>2021</v>
      </c>
      <c r="B1516" t="s">
        <v>478</v>
      </c>
      <c r="C1516" t="s">
        <v>201</v>
      </c>
      <c r="H1516" s="5">
        <f>INDEX(FinalPayment!$F$2:$H$328,MATCH(RawTransportationData!$B1516,FinalPayment!$F$2:$F$328,0),3)</f>
        <v>1573</v>
      </c>
    </row>
    <row r="1517" spans="1:8" x14ac:dyDescent="0.55000000000000004">
      <c r="A1517">
        <v>2021</v>
      </c>
      <c r="B1517" t="s">
        <v>477</v>
      </c>
      <c r="C1517" t="s">
        <v>202</v>
      </c>
      <c r="H1517" s="5">
        <f>INDEX(FinalPayment!$F$2:$H$328,MATCH(RawTransportationData!$B1517,FinalPayment!$F$2:$F$328,0),3)</f>
        <v>918</v>
      </c>
    </row>
    <row r="1518" spans="1:8" x14ac:dyDescent="0.55000000000000004">
      <c r="A1518">
        <v>2021</v>
      </c>
      <c r="B1518" t="s">
        <v>476</v>
      </c>
      <c r="C1518" t="s">
        <v>203</v>
      </c>
      <c r="H1518" s="5">
        <f>INDEX(FinalPayment!$F$2:$H$328,MATCH(RawTransportationData!$B1518,FinalPayment!$F$2:$F$328,0),3)</f>
        <v>47117</v>
      </c>
    </row>
    <row r="1519" spans="1:8" x14ac:dyDescent="0.55000000000000004">
      <c r="A1519">
        <v>2021</v>
      </c>
      <c r="B1519" t="s">
        <v>475</v>
      </c>
      <c r="C1519" t="s">
        <v>204</v>
      </c>
      <c r="H1519" s="5">
        <f>INDEX(FinalPayment!$F$2:$H$328,MATCH(RawTransportationData!$B1519,FinalPayment!$F$2:$F$328,0),3)</f>
        <v>4006</v>
      </c>
    </row>
    <row r="1520" spans="1:8" x14ac:dyDescent="0.55000000000000004">
      <c r="A1520">
        <v>2021</v>
      </c>
      <c r="B1520" t="s">
        <v>474</v>
      </c>
      <c r="C1520" t="s">
        <v>205</v>
      </c>
      <c r="H1520" s="5">
        <f>INDEX(FinalPayment!$F$2:$H$328,MATCH(RawTransportationData!$B1520,FinalPayment!$F$2:$F$328,0),3)</f>
        <v>75946</v>
      </c>
    </row>
    <row r="1521" spans="1:8" x14ac:dyDescent="0.55000000000000004">
      <c r="A1521">
        <v>2021</v>
      </c>
      <c r="B1521" t="s">
        <v>473</v>
      </c>
      <c r="C1521" t="s">
        <v>206</v>
      </c>
      <c r="H1521" s="5">
        <f>INDEX(FinalPayment!$F$2:$H$328,MATCH(RawTransportationData!$B1521,FinalPayment!$F$2:$F$328,0),3)</f>
        <v>1213</v>
      </c>
    </row>
    <row r="1522" spans="1:8" x14ac:dyDescent="0.55000000000000004">
      <c r="A1522">
        <v>2021</v>
      </c>
      <c r="B1522" t="s">
        <v>471</v>
      </c>
      <c r="C1522" t="s">
        <v>208</v>
      </c>
      <c r="H1522" s="5">
        <f>INDEX(FinalPayment!$F$2:$H$328,MATCH(RawTransportationData!$B1522,FinalPayment!$F$2:$F$328,0),3)</f>
        <v>96022</v>
      </c>
    </row>
    <row r="1523" spans="1:8" x14ac:dyDescent="0.55000000000000004">
      <c r="A1523">
        <v>2021</v>
      </c>
      <c r="B1523" t="s">
        <v>470</v>
      </c>
      <c r="C1523" t="s">
        <v>209</v>
      </c>
      <c r="H1523" s="5">
        <f>INDEX(FinalPayment!$F$2:$H$328,MATCH(RawTransportationData!$B1523,FinalPayment!$F$2:$F$328,0),3)</f>
        <v>405</v>
      </c>
    </row>
    <row r="1524" spans="1:8" x14ac:dyDescent="0.55000000000000004">
      <c r="A1524">
        <v>2021</v>
      </c>
      <c r="B1524" t="s">
        <v>472</v>
      </c>
      <c r="C1524" t="s">
        <v>207</v>
      </c>
      <c r="H1524" s="5">
        <f>INDEX(FinalPayment!$F$2:$H$328,MATCH(RawTransportationData!$B1524,FinalPayment!$F$2:$F$328,0),3)</f>
        <v>67242</v>
      </c>
    </row>
    <row r="1525" spans="1:8" x14ac:dyDescent="0.55000000000000004">
      <c r="A1525">
        <v>2021</v>
      </c>
      <c r="B1525" t="s">
        <v>469</v>
      </c>
      <c r="C1525" t="s">
        <v>210</v>
      </c>
      <c r="H1525" s="5">
        <f>INDEX(FinalPayment!$F$2:$H$328,MATCH(RawTransportationData!$B1525,FinalPayment!$F$2:$F$328,0),3)</f>
        <v>2481</v>
      </c>
    </row>
    <row r="1526" spans="1:8" x14ac:dyDescent="0.55000000000000004">
      <c r="A1526">
        <v>2021</v>
      </c>
      <c r="B1526" t="s">
        <v>553</v>
      </c>
      <c r="C1526" t="s">
        <v>130</v>
      </c>
      <c r="H1526" s="5">
        <f>INDEX(FinalPayment!$F$2:$H$328,MATCH(RawTransportationData!$B1526,FinalPayment!$F$2:$F$328,0),3)</f>
        <v>380360</v>
      </c>
    </row>
    <row r="1527" spans="1:8" x14ac:dyDescent="0.55000000000000004">
      <c r="A1527">
        <v>2021</v>
      </c>
      <c r="B1527" t="s">
        <v>673</v>
      </c>
      <c r="C1527" t="s">
        <v>329</v>
      </c>
      <c r="H1527" s="5">
        <f>INDEX(FinalPayment!$F$2:$H$328,MATCH(RawTransportationData!$B1527,FinalPayment!$F$2:$F$328,0),3)</f>
        <v>277519</v>
      </c>
    </row>
    <row r="1528" spans="1:8" x14ac:dyDescent="0.55000000000000004">
      <c r="A1528">
        <v>2021</v>
      </c>
      <c r="B1528" t="s">
        <v>511</v>
      </c>
      <c r="C1528" t="s">
        <v>170</v>
      </c>
      <c r="H1528" s="5">
        <f>INDEX(FinalPayment!$F$2:$H$328,MATCH(RawTransportationData!$B1528,FinalPayment!$F$2:$F$328,0),3)</f>
        <v>53519</v>
      </c>
    </row>
    <row r="1529" spans="1:8" x14ac:dyDescent="0.55000000000000004">
      <c r="A1529">
        <v>2021</v>
      </c>
      <c r="B1529" t="s">
        <v>466</v>
      </c>
      <c r="C1529" t="s">
        <v>1228</v>
      </c>
      <c r="H1529" s="5">
        <f>INDEX(FinalPayment!$F$2:$H$328,MATCH(RawTransportationData!$B1529,FinalPayment!$F$2:$F$328,0),3)</f>
        <v>188953</v>
      </c>
    </row>
    <row r="1530" spans="1:8" x14ac:dyDescent="0.55000000000000004">
      <c r="A1530">
        <v>2021</v>
      </c>
      <c r="B1530" t="s">
        <v>642</v>
      </c>
      <c r="C1530" t="s">
        <v>53</v>
      </c>
      <c r="H1530" s="5">
        <f>INDEX(FinalPayment!$F$2:$H$328,MATCH(RawTransportationData!$B1530,FinalPayment!$F$2:$F$328,0),3)</f>
        <v>12736</v>
      </c>
    </row>
    <row r="1531" spans="1:8" x14ac:dyDescent="0.55000000000000004">
      <c r="A1531">
        <v>2021</v>
      </c>
      <c r="B1531" t="s">
        <v>462</v>
      </c>
      <c r="C1531" t="s">
        <v>216</v>
      </c>
      <c r="H1531" s="5">
        <f>INDEX(FinalPayment!$F$2:$H$328,MATCH(RawTransportationData!$B1531,FinalPayment!$F$2:$F$328,0),3)</f>
        <v>99920</v>
      </c>
    </row>
    <row r="1532" spans="1:8" x14ac:dyDescent="0.55000000000000004">
      <c r="A1532">
        <v>2021</v>
      </c>
      <c r="B1532" t="s">
        <v>463</v>
      </c>
      <c r="C1532" t="s">
        <v>215</v>
      </c>
      <c r="H1532" s="5">
        <f>INDEX(FinalPayment!$F$2:$H$328,MATCH(RawTransportationData!$B1532,FinalPayment!$F$2:$F$328,0),3)</f>
        <v>80847</v>
      </c>
    </row>
    <row r="1533" spans="1:8" x14ac:dyDescent="0.55000000000000004">
      <c r="A1533">
        <v>2021</v>
      </c>
      <c r="B1533" t="s">
        <v>464</v>
      </c>
      <c r="C1533" t="s">
        <v>214</v>
      </c>
      <c r="H1533" s="5">
        <f>INDEX(FinalPayment!$F$2:$H$328,MATCH(RawTransportationData!$B1533,FinalPayment!$F$2:$F$328,0),3)</f>
        <v>32289</v>
      </c>
    </row>
    <row r="1534" spans="1:8" x14ac:dyDescent="0.55000000000000004">
      <c r="A1534">
        <v>2021</v>
      </c>
      <c r="B1534" t="s">
        <v>461</v>
      </c>
      <c r="C1534" t="s">
        <v>217</v>
      </c>
      <c r="H1534" s="5">
        <f>INDEX(FinalPayment!$F$2:$H$328,MATCH(RawTransportationData!$B1534,FinalPayment!$F$2:$F$328,0),3)</f>
        <v>137040</v>
      </c>
    </row>
    <row r="1535" spans="1:8" x14ac:dyDescent="0.55000000000000004">
      <c r="A1535">
        <v>2021</v>
      </c>
      <c r="B1535" t="s">
        <v>460</v>
      </c>
      <c r="C1535" t="s">
        <v>218</v>
      </c>
      <c r="H1535" s="5">
        <f>INDEX(FinalPayment!$F$2:$H$328,MATCH(RawTransportationData!$B1535,FinalPayment!$F$2:$F$328,0),3)</f>
        <v>2519</v>
      </c>
    </row>
    <row r="1536" spans="1:8" x14ac:dyDescent="0.55000000000000004">
      <c r="A1536">
        <v>2021</v>
      </c>
      <c r="B1536" t="s">
        <v>459</v>
      </c>
      <c r="C1536" t="s">
        <v>1229</v>
      </c>
      <c r="H1536" s="5">
        <f>INDEX(FinalPayment!$F$2:$H$328,MATCH(RawTransportationData!$B1536,FinalPayment!$F$2:$F$328,0),3)</f>
        <v>84316</v>
      </c>
    </row>
    <row r="1537" spans="1:8" x14ac:dyDescent="0.55000000000000004">
      <c r="A1537">
        <v>2021</v>
      </c>
      <c r="B1537" t="s">
        <v>666</v>
      </c>
      <c r="C1537" t="s">
        <v>343</v>
      </c>
      <c r="H1537" s="5">
        <f>INDEX(FinalPayment!$F$2:$H$328,MATCH(RawTransportationData!$B1537,FinalPayment!$F$2:$F$328,0),3)</f>
        <v>128469</v>
      </c>
    </row>
    <row r="1538" spans="1:8" x14ac:dyDescent="0.55000000000000004">
      <c r="A1538">
        <v>2021</v>
      </c>
      <c r="B1538" t="s">
        <v>467</v>
      </c>
      <c r="C1538" t="s">
        <v>211</v>
      </c>
      <c r="H1538" s="5">
        <f>INDEX(FinalPayment!$F$2:$H$328,MATCH(RawTransportationData!$B1538,FinalPayment!$F$2:$F$328,0),3)</f>
        <v>149636</v>
      </c>
    </row>
    <row r="1539" spans="1:8" x14ac:dyDescent="0.55000000000000004">
      <c r="A1539">
        <v>2021</v>
      </c>
      <c r="B1539" t="s">
        <v>457</v>
      </c>
      <c r="C1539" t="s">
        <v>221</v>
      </c>
      <c r="H1539" s="5">
        <f>INDEX(FinalPayment!$F$2:$H$328,MATCH(RawTransportationData!$B1539,FinalPayment!$F$2:$F$328,0),3)</f>
        <v>50659</v>
      </c>
    </row>
    <row r="1540" spans="1:8" x14ac:dyDescent="0.55000000000000004">
      <c r="A1540">
        <v>2021</v>
      </c>
      <c r="B1540" t="s">
        <v>456</v>
      </c>
      <c r="C1540" t="s">
        <v>222</v>
      </c>
      <c r="H1540" s="5">
        <f>INDEX(FinalPayment!$F$2:$H$328,MATCH(RawTransportationData!$B1540,FinalPayment!$F$2:$F$328,0),3)</f>
        <v>2450</v>
      </c>
    </row>
    <row r="1541" spans="1:8" x14ac:dyDescent="0.55000000000000004">
      <c r="A1541">
        <v>2021</v>
      </c>
      <c r="B1541" t="s">
        <v>455</v>
      </c>
      <c r="C1541" t="s">
        <v>1230</v>
      </c>
      <c r="H1541" s="5">
        <f>INDEX(FinalPayment!$F$2:$H$328,MATCH(RawTransportationData!$B1541,FinalPayment!$F$2:$F$328,0),3)</f>
        <v>83483</v>
      </c>
    </row>
    <row r="1542" spans="1:8" x14ac:dyDescent="0.55000000000000004">
      <c r="A1542">
        <v>2021</v>
      </c>
      <c r="B1542" t="s">
        <v>454</v>
      </c>
      <c r="C1542" t="s">
        <v>224</v>
      </c>
      <c r="H1542" s="5">
        <f>INDEX(FinalPayment!$F$2:$H$328,MATCH(RawTransportationData!$B1542,FinalPayment!$F$2:$F$328,0),3)</f>
        <v>1078</v>
      </c>
    </row>
    <row r="1543" spans="1:8" x14ac:dyDescent="0.55000000000000004">
      <c r="A1543">
        <v>2021</v>
      </c>
      <c r="B1543" t="s">
        <v>453</v>
      </c>
      <c r="C1543" t="s">
        <v>225</v>
      </c>
      <c r="H1543" s="5">
        <f>INDEX(FinalPayment!$F$2:$H$328,MATCH(RawTransportationData!$B1543,FinalPayment!$F$2:$F$328,0),3)</f>
        <v>12458</v>
      </c>
    </row>
    <row r="1544" spans="1:8" x14ac:dyDescent="0.55000000000000004">
      <c r="A1544">
        <v>2021</v>
      </c>
      <c r="B1544" t="s">
        <v>452</v>
      </c>
      <c r="C1544" t="s">
        <v>226</v>
      </c>
      <c r="H1544" s="5">
        <f>INDEX(FinalPayment!$F$2:$H$328,MATCH(RawTransportationData!$B1544,FinalPayment!$F$2:$F$328,0),3)</f>
        <v>801</v>
      </c>
    </row>
    <row r="1545" spans="1:8" x14ac:dyDescent="0.55000000000000004">
      <c r="A1545">
        <v>2021</v>
      </c>
      <c r="B1545" t="s">
        <v>451</v>
      </c>
      <c r="C1545" t="s">
        <v>1231</v>
      </c>
      <c r="H1545" s="5">
        <f>INDEX(FinalPayment!$F$2:$H$328,MATCH(RawTransportationData!$B1545,FinalPayment!$F$2:$F$328,0),3)</f>
        <v>74276</v>
      </c>
    </row>
    <row r="1546" spans="1:8" x14ac:dyDescent="0.55000000000000004">
      <c r="A1546">
        <v>2021</v>
      </c>
      <c r="B1546" t="s">
        <v>450</v>
      </c>
      <c r="C1546" t="s">
        <v>228</v>
      </c>
      <c r="H1546" s="5">
        <f>INDEX(FinalPayment!$F$2:$H$328,MATCH(RawTransportationData!$B1546,FinalPayment!$F$2:$F$328,0),3)</f>
        <v>32321</v>
      </c>
    </row>
    <row r="1547" spans="1:8" x14ac:dyDescent="0.55000000000000004">
      <c r="A1547">
        <v>2021</v>
      </c>
      <c r="B1547" t="s">
        <v>449</v>
      </c>
      <c r="C1547" t="s">
        <v>229</v>
      </c>
      <c r="H1547" s="5">
        <f>INDEX(FinalPayment!$F$2:$H$328,MATCH(RawTransportationData!$B1547,FinalPayment!$F$2:$F$328,0),3)</f>
        <v>182581</v>
      </c>
    </row>
    <row r="1548" spans="1:8" x14ac:dyDescent="0.55000000000000004">
      <c r="A1548">
        <v>2021</v>
      </c>
      <c r="B1548" t="s">
        <v>448</v>
      </c>
      <c r="C1548" t="s">
        <v>230</v>
      </c>
      <c r="H1548" s="5">
        <f>INDEX(FinalPayment!$F$2:$H$328,MATCH(RawTransportationData!$B1548,FinalPayment!$F$2:$F$328,0),3)</f>
        <v>58395</v>
      </c>
    </row>
    <row r="1549" spans="1:8" x14ac:dyDescent="0.55000000000000004">
      <c r="A1549">
        <v>2021</v>
      </c>
      <c r="B1549" t="s">
        <v>447</v>
      </c>
      <c r="C1549" t="s">
        <v>231</v>
      </c>
      <c r="H1549" s="5">
        <f>INDEX(FinalPayment!$F$2:$H$328,MATCH(RawTransportationData!$B1549,FinalPayment!$F$2:$F$328,0),3)</f>
        <v>3810</v>
      </c>
    </row>
    <row r="1550" spans="1:8" x14ac:dyDescent="0.55000000000000004">
      <c r="A1550">
        <v>2021</v>
      </c>
      <c r="B1550" t="s">
        <v>446</v>
      </c>
      <c r="C1550" t="s">
        <v>232</v>
      </c>
      <c r="H1550" s="5">
        <f>INDEX(FinalPayment!$F$2:$H$328,MATCH(RawTransportationData!$B1550,FinalPayment!$F$2:$F$328,0),3)</f>
        <v>111705</v>
      </c>
    </row>
    <row r="1551" spans="1:8" x14ac:dyDescent="0.55000000000000004">
      <c r="A1551">
        <v>2021</v>
      </c>
      <c r="B1551" t="s">
        <v>445</v>
      </c>
      <c r="C1551" t="s">
        <v>233</v>
      </c>
      <c r="H1551" s="5">
        <f>INDEX(FinalPayment!$F$2:$H$328,MATCH(RawTransportationData!$B1551,FinalPayment!$F$2:$F$328,0),3)</f>
        <v>92229</v>
      </c>
    </row>
    <row r="1552" spans="1:8" x14ac:dyDescent="0.55000000000000004">
      <c r="A1552">
        <v>2021</v>
      </c>
      <c r="B1552" t="s">
        <v>444</v>
      </c>
      <c r="C1552" t="s">
        <v>234</v>
      </c>
      <c r="H1552" s="5">
        <f>INDEX(FinalPayment!$F$2:$H$328,MATCH(RawTransportationData!$B1552,FinalPayment!$F$2:$F$328,0),3)</f>
        <v>41892</v>
      </c>
    </row>
    <row r="1553" spans="1:8" x14ac:dyDescent="0.55000000000000004">
      <c r="A1553">
        <v>2021</v>
      </c>
      <c r="B1553" t="s">
        <v>443</v>
      </c>
      <c r="C1553" t="s">
        <v>235</v>
      </c>
      <c r="H1553" s="5">
        <f>INDEX(FinalPayment!$F$2:$H$328,MATCH(RawTransportationData!$B1553,FinalPayment!$F$2:$F$328,0),3)</f>
        <v>252009</v>
      </c>
    </row>
    <row r="1554" spans="1:8" x14ac:dyDescent="0.55000000000000004">
      <c r="A1554">
        <v>2021</v>
      </c>
      <c r="B1554" t="s">
        <v>442</v>
      </c>
      <c r="C1554" t="s">
        <v>236</v>
      </c>
      <c r="H1554" s="5">
        <f>INDEX(FinalPayment!$F$2:$H$328,MATCH(RawTransportationData!$B1554,FinalPayment!$F$2:$F$328,0),3)</f>
        <v>1764</v>
      </c>
    </row>
    <row r="1555" spans="1:8" x14ac:dyDescent="0.55000000000000004">
      <c r="A1555">
        <v>2021</v>
      </c>
      <c r="B1555" t="s">
        <v>441</v>
      </c>
      <c r="C1555" t="s">
        <v>237</v>
      </c>
      <c r="H1555" s="5">
        <f>INDEX(FinalPayment!$F$2:$H$328,MATCH(RawTransportationData!$B1555,FinalPayment!$F$2:$F$328,0),3)</f>
        <v>1475</v>
      </c>
    </row>
    <row r="1556" spans="1:8" x14ac:dyDescent="0.55000000000000004">
      <c r="A1556">
        <v>2021</v>
      </c>
      <c r="B1556" t="s">
        <v>440</v>
      </c>
      <c r="C1556" t="s">
        <v>238</v>
      </c>
      <c r="H1556" s="5">
        <f>INDEX(FinalPayment!$F$2:$H$328,MATCH(RawTransportationData!$B1556,FinalPayment!$F$2:$F$328,0),3)</f>
        <v>4123</v>
      </c>
    </row>
    <row r="1557" spans="1:8" x14ac:dyDescent="0.55000000000000004">
      <c r="A1557">
        <v>2021</v>
      </c>
      <c r="B1557" t="s">
        <v>439</v>
      </c>
      <c r="C1557" t="s">
        <v>239</v>
      </c>
      <c r="H1557" s="5">
        <f>INDEX(FinalPayment!$F$2:$H$328,MATCH(RawTransportationData!$B1557,FinalPayment!$F$2:$F$328,0),3)</f>
        <v>557</v>
      </c>
    </row>
    <row r="1558" spans="1:8" x14ac:dyDescent="0.55000000000000004">
      <c r="A1558">
        <v>2021</v>
      </c>
      <c r="B1558" t="s">
        <v>438</v>
      </c>
      <c r="C1558" t="s">
        <v>240</v>
      </c>
      <c r="H1558" s="5">
        <f>INDEX(FinalPayment!$F$2:$H$328,MATCH(RawTransportationData!$B1558,FinalPayment!$F$2:$F$328,0),3)</f>
        <v>205987</v>
      </c>
    </row>
    <row r="1559" spans="1:8" x14ac:dyDescent="0.55000000000000004">
      <c r="A1559">
        <v>2021</v>
      </c>
      <c r="B1559" t="s">
        <v>437</v>
      </c>
      <c r="C1559" t="s">
        <v>241</v>
      </c>
      <c r="H1559" s="5">
        <f>INDEX(FinalPayment!$F$2:$H$328,MATCH(RawTransportationData!$B1559,FinalPayment!$F$2:$F$328,0),3)</f>
        <v>597</v>
      </c>
    </row>
    <row r="1560" spans="1:8" x14ac:dyDescent="0.55000000000000004">
      <c r="A1560">
        <v>2021</v>
      </c>
      <c r="B1560" t="s">
        <v>436</v>
      </c>
      <c r="C1560" t="s">
        <v>242</v>
      </c>
      <c r="H1560" s="5">
        <f>INDEX(FinalPayment!$F$2:$H$328,MATCH(RawTransportationData!$B1560,FinalPayment!$F$2:$F$328,0),3)</f>
        <v>243458</v>
      </c>
    </row>
    <row r="1561" spans="1:8" x14ac:dyDescent="0.55000000000000004">
      <c r="A1561">
        <v>2021</v>
      </c>
      <c r="B1561" t="s">
        <v>435</v>
      </c>
      <c r="C1561" t="s">
        <v>243</v>
      </c>
      <c r="H1561" s="5">
        <f>INDEX(FinalPayment!$F$2:$H$328,MATCH(RawTransportationData!$B1561,FinalPayment!$F$2:$F$328,0),3)</f>
        <v>845</v>
      </c>
    </row>
    <row r="1562" spans="1:8" x14ac:dyDescent="0.55000000000000004">
      <c r="A1562">
        <v>2021</v>
      </c>
      <c r="B1562" t="s">
        <v>434</v>
      </c>
      <c r="C1562" t="s">
        <v>244</v>
      </c>
      <c r="H1562" s="5">
        <f>INDEX(FinalPayment!$F$2:$H$328,MATCH(RawTransportationData!$B1562,FinalPayment!$F$2:$F$328,0),3)</f>
        <v>30159</v>
      </c>
    </row>
    <row r="1563" spans="1:8" x14ac:dyDescent="0.55000000000000004">
      <c r="A1563">
        <v>2021</v>
      </c>
      <c r="B1563" t="s">
        <v>433</v>
      </c>
      <c r="C1563" t="s">
        <v>245</v>
      </c>
      <c r="H1563" s="5">
        <f>INDEX(FinalPayment!$F$2:$H$328,MATCH(RawTransportationData!$B1563,FinalPayment!$F$2:$F$328,0),3)</f>
        <v>49276</v>
      </c>
    </row>
    <row r="1564" spans="1:8" x14ac:dyDescent="0.55000000000000004">
      <c r="A1564">
        <v>2021</v>
      </c>
      <c r="B1564" t="s">
        <v>577</v>
      </c>
      <c r="C1564" t="s">
        <v>110</v>
      </c>
      <c r="H1564" s="5">
        <f>INDEX(FinalPayment!$F$2:$H$328,MATCH(RawTransportationData!$B1564,FinalPayment!$F$2:$F$328,0),3)</f>
        <v>110007</v>
      </c>
    </row>
    <row r="1565" spans="1:8" x14ac:dyDescent="0.55000000000000004">
      <c r="A1565">
        <v>2021</v>
      </c>
      <c r="B1565" t="s">
        <v>432</v>
      </c>
      <c r="C1565" t="s">
        <v>246</v>
      </c>
      <c r="H1565" s="5">
        <f>INDEX(FinalPayment!$F$2:$H$328,MATCH(RawTransportationData!$B1565,FinalPayment!$F$2:$F$328,0),3)</f>
        <v>96701</v>
      </c>
    </row>
    <row r="1566" spans="1:8" x14ac:dyDescent="0.55000000000000004">
      <c r="A1566">
        <v>2021</v>
      </c>
      <c r="B1566" t="s">
        <v>431</v>
      </c>
      <c r="C1566" t="s">
        <v>247</v>
      </c>
      <c r="H1566" s="5">
        <f>INDEX(FinalPayment!$F$2:$H$328,MATCH(RawTransportationData!$B1566,FinalPayment!$F$2:$F$328,0),3)</f>
        <v>658</v>
      </c>
    </row>
    <row r="1567" spans="1:8" x14ac:dyDescent="0.55000000000000004">
      <c r="A1567">
        <v>2021</v>
      </c>
      <c r="B1567" t="s">
        <v>430</v>
      </c>
      <c r="C1567" t="s">
        <v>248</v>
      </c>
      <c r="H1567" s="5">
        <f>INDEX(FinalPayment!$F$2:$H$328,MATCH(RawTransportationData!$B1567,FinalPayment!$F$2:$F$328,0),3)</f>
        <v>853</v>
      </c>
    </row>
    <row r="1568" spans="1:8" x14ac:dyDescent="0.55000000000000004">
      <c r="A1568">
        <v>2021</v>
      </c>
      <c r="B1568" t="s">
        <v>429</v>
      </c>
      <c r="C1568" t="s">
        <v>1195</v>
      </c>
      <c r="H1568" s="5">
        <f>INDEX(FinalPayment!$F$2:$H$328,MATCH(RawTransportationData!$B1568,FinalPayment!$F$2:$F$328,0),3)</f>
        <v>76718</v>
      </c>
    </row>
    <row r="1569" spans="1:8" x14ac:dyDescent="0.55000000000000004">
      <c r="A1569">
        <v>2021</v>
      </c>
      <c r="B1569" t="s">
        <v>428</v>
      </c>
      <c r="C1569" t="s">
        <v>249</v>
      </c>
      <c r="H1569" s="5">
        <f>INDEX(FinalPayment!$F$2:$H$328,MATCH(RawTransportationData!$B1569,FinalPayment!$F$2:$F$328,0),3)</f>
        <v>108895</v>
      </c>
    </row>
    <row r="1570" spans="1:8" x14ac:dyDescent="0.55000000000000004">
      <c r="A1570">
        <v>2021</v>
      </c>
      <c r="B1570" t="s">
        <v>426</v>
      </c>
      <c r="C1570" t="s">
        <v>251</v>
      </c>
      <c r="H1570" s="5">
        <f>INDEX(FinalPayment!$F$2:$H$328,MATCH(RawTransportationData!$B1570,FinalPayment!$F$2:$F$328,0),3)</f>
        <v>57057</v>
      </c>
    </row>
    <row r="1571" spans="1:8" x14ac:dyDescent="0.55000000000000004">
      <c r="A1571">
        <v>2021</v>
      </c>
      <c r="B1571" t="s">
        <v>425</v>
      </c>
      <c r="C1571" t="s">
        <v>252</v>
      </c>
      <c r="H1571" s="5">
        <f>INDEX(FinalPayment!$F$2:$H$328,MATCH(RawTransportationData!$B1571,FinalPayment!$F$2:$F$328,0),3)</f>
        <v>80214</v>
      </c>
    </row>
    <row r="1572" spans="1:8" x14ac:dyDescent="0.55000000000000004">
      <c r="A1572">
        <v>2021</v>
      </c>
      <c r="B1572" t="s">
        <v>424</v>
      </c>
      <c r="C1572" t="s">
        <v>253</v>
      </c>
      <c r="H1572" s="5">
        <f>INDEX(FinalPayment!$F$2:$H$328,MATCH(RawTransportationData!$B1572,FinalPayment!$F$2:$F$328,0),3)</f>
        <v>114231</v>
      </c>
    </row>
    <row r="1573" spans="1:8" x14ac:dyDescent="0.55000000000000004">
      <c r="A1573">
        <v>2021</v>
      </c>
      <c r="B1573" t="s">
        <v>423</v>
      </c>
      <c r="C1573" t="s">
        <v>254</v>
      </c>
      <c r="H1573" s="5">
        <f>INDEX(FinalPayment!$F$2:$H$328,MATCH(RawTransportationData!$B1573,FinalPayment!$F$2:$F$328,0),3)</f>
        <v>1178</v>
      </c>
    </row>
    <row r="1574" spans="1:8" x14ac:dyDescent="0.55000000000000004">
      <c r="A1574">
        <v>2021</v>
      </c>
      <c r="B1574" t="s">
        <v>422</v>
      </c>
      <c r="C1574" t="s">
        <v>255</v>
      </c>
      <c r="H1574" s="5">
        <f>INDEX(FinalPayment!$F$2:$H$328,MATCH(RawTransportationData!$B1574,FinalPayment!$F$2:$F$328,0),3)</f>
        <v>22015</v>
      </c>
    </row>
    <row r="1575" spans="1:8" x14ac:dyDescent="0.55000000000000004">
      <c r="A1575">
        <v>2021</v>
      </c>
      <c r="B1575" t="s">
        <v>420</v>
      </c>
      <c r="C1575" t="s">
        <v>256</v>
      </c>
      <c r="H1575" s="5">
        <f>INDEX(FinalPayment!$F$2:$H$328,MATCH(RawTransportationData!$B1575,FinalPayment!$F$2:$F$328,0),3)</f>
        <v>887</v>
      </c>
    </row>
    <row r="1576" spans="1:8" x14ac:dyDescent="0.55000000000000004">
      <c r="A1576">
        <v>2021</v>
      </c>
      <c r="B1576" t="s">
        <v>419</v>
      </c>
      <c r="C1576" t="s">
        <v>257</v>
      </c>
      <c r="H1576" s="5">
        <f>INDEX(FinalPayment!$F$2:$H$328,MATCH(RawTransportationData!$B1576,FinalPayment!$F$2:$F$328,0),3)</f>
        <v>14845</v>
      </c>
    </row>
    <row r="1577" spans="1:8" x14ac:dyDescent="0.55000000000000004">
      <c r="A1577">
        <v>2021</v>
      </c>
      <c r="B1577" t="s">
        <v>418</v>
      </c>
      <c r="C1577" t="s">
        <v>258</v>
      </c>
      <c r="H1577" s="5">
        <f>INDEX(FinalPayment!$F$2:$H$328,MATCH(RawTransportationData!$B1577,FinalPayment!$F$2:$F$328,0),3)</f>
        <v>97307</v>
      </c>
    </row>
    <row r="1578" spans="1:8" x14ac:dyDescent="0.55000000000000004">
      <c r="A1578">
        <v>2021</v>
      </c>
      <c r="B1578" t="s">
        <v>417</v>
      </c>
      <c r="C1578" t="s">
        <v>259</v>
      </c>
      <c r="H1578" s="5">
        <f>INDEX(FinalPayment!$F$2:$H$328,MATCH(RawTransportationData!$B1578,FinalPayment!$F$2:$F$328,0),3)</f>
        <v>137328</v>
      </c>
    </row>
    <row r="1579" spans="1:8" x14ac:dyDescent="0.55000000000000004">
      <c r="A1579">
        <v>2021</v>
      </c>
      <c r="B1579" t="s">
        <v>416</v>
      </c>
      <c r="C1579" t="s">
        <v>260</v>
      </c>
      <c r="H1579" s="5">
        <f>INDEX(FinalPayment!$F$2:$H$328,MATCH(RawTransportationData!$B1579,FinalPayment!$F$2:$F$328,0),3)</f>
        <v>454</v>
      </c>
    </row>
    <row r="1580" spans="1:8" x14ac:dyDescent="0.55000000000000004">
      <c r="A1580">
        <v>2021</v>
      </c>
      <c r="B1580" t="s">
        <v>415</v>
      </c>
      <c r="C1580" t="s">
        <v>261</v>
      </c>
      <c r="H1580" s="5">
        <f>INDEX(FinalPayment!$F$2:$H$328,MATCH(RawTransportationData!$B1580,FinalPayment!$F$2:$F$328,0),3)</f>
        <v>1093</v>
      </c>
    </row>
    <row r="1581" spans="1:8" x14ac:dyDescent="0.55000000000000004">
      <c r="A1581">
        <v>2021</v>
      </c>
      <c r="B1581" t="s">
        <v>414</v>
      </c>
      <c r="C1581" t="s">
        <v>262</v>
      </c>
      <c r="H1581" s="5">
        <f>INDEX(FinalPayment!$F$2:$H$328,MATCH(RawTransportationData!$B1581,FinalPayment!$F$2:$F$328,0),3)</f>
        <v>116011</v>
      </c>
    </row>
    <row r="1582" spans="1:8" x14ac:dyDescent="0.55000000000000004">
      <c r="A1582">
        <v>2021</v>
      </c>
      <c r="B1582" t="s">
        <v>413</v>
      </c>
      <c r="C1582" t="s">
        <v>263</v>
      </c>
      <c r="H1582" s="5">
        <f>INDEX(FinalPayment!$F$2:$H$328,MATCH(RawTransportationData!$B1582,FinalPayment!$F$2:$F$328,0),3)</f>
        <v>11915</v>
      </c>
    </row>
    <row r="1583" spans="1:8" x14ac:dyDescent="0.55000000000000004">
      <c r="A1583">
        <v>2021</v>
      </c>
      <c r="B1583" t="s">
        <v>411</v>
      </c>
      <c r="C1583" t="s">
        <v>264</v>
      </c>
      <c r="H1583" s="5">
        <f>INDEX(FinalPayment!$F$2:$H$328,MATCH(RawTransportationData!$B1583,FinalPayment!$F$2:$F$328,0),3)</f>
        <v>1144</v>
      </c>
    </row>
    <row r="1584" spans="1:8" x14ac:dyDescent="0.55000000000000004">
      <c r="A1584">
        <v>2021</v>
      </c>
      <c r="B1584" t="s">
        <v>412</v>
      </c>
      <c r="C1584" t="s">
        <v>340</v>
      </c>
      <c r="H1584" s="5">
        <f>INDEX(FinalPayment!$F$2:$H$328,MATCH(RawTransportationData!$B1584,FinalPayment!$F$2:$F$328,0),3)</f>
        <v>196554</v>
      </c>
    </row>
    <row r="1585" spans="1:8" x14ac:dyDescent="0.55000000000000004">
      <c r="A1585">
        <v>2021</v>
      </c>
      <c r="B1585" t="s">
        <v>409</v>
      </c>
      <c r="C1585" t="s">
        <v>266</v>
      </c>
      <c r="H1585" s="5">
        <f>INDEX(FinalPayment!$F$2:$H$328,MATCH(RawTransportationData!$B1585,FinalPayment!$F$2:$F$328,0),3)</f>
        <v>148423</v>
      </c>
    </row>
    <row r="1586" spans="1:8" x14ac:dyDescent="0.55000000000000004">
      <c r="A1586">
        <v>2021</v>
      </c>
      <c r="B1586" t="s">
        <v>405</v>
      </c>
      <c r="C1586" t="s">
        <v>270</v>
      </c>
      <c r="H1586" s="5">
        <f>INDEX(FinalPayment!$F$2:$H$328,MATCH(RawTransportationData!$B1586,FinalPayment!$F$2:$F$328,0),3)</f>
        <v>62366</v>
      </c>
    </row>
    <row r="1587" spans="1:8" x14ac:dyDescent="0.55000000000000004">
      <c r="A1587">
        <v>2021</v>
      </c>
      <c r="B1587" t="s">
        <v>407</v>
      </c>
      <c r="C1587" t="s">
        <v>268</v>
      </c>
      <c r="H1587" s="5">
        <f>INDEX(FinalPayment!$F$2:$H$328,MATCH(RawTransportationData!$B1587,FinalPayment!$F$2:$F$328,0),3)</f>
        <v>26319</v>
      </c>
    </row>
    <row r="1588" spans="1:8" x14ac:dyDescent="0.55000000000000004">
      <c r="A1588">
        <v>2021</v>
      </c>
      <c r="B1588" t="s">
        <v>406</v>
      </c>
      <c r="C1588" t="s">
        <v>1232</v>
      </c>
      <c r="H1588" s="5">
        <f>INDEX(FinalPayment!$F$2:$H$328,MATCH(RawTransportationData!$B1588,FinalPayment!$F$2:$F$328,0),3)</f>
        <v>105517</v>
      </c>
    </row>
    <row r="1589" spans="1:8" x14ac:dyDescent="0.55000000000000004">
      <c r="A1589">
        <v>2021</v>
      </c>
      <c r="B1589" t="s">
        <v>404</v>
      </c>
      <c r="C1589" t="s">
        <v>271</v>
      </c>
      <c r="H1589" s="5">
        <f>INDEX(FinalPayment!$F$2:$H$328,MATCH(RawTransportationData!$B1589,FinalPayment!$F$2:$F$328,0),3)</f>
        <v>79430</v>
      </c>
    </row>
    <row r="1590" spans="1:8" x14ac:dyDescent="0.55000000000000004">
      <c r="A1590">
        <v>2021</v>
      </c>
      <c r="B1590" t="s">
        <v>403</v>
      </c>
      <c r="C1590" t="s">
        <v>272</v>
      </c>
      <c r="H1590" s="5">
        <f>INDEX(FinalPayment!$F$2:$H$328,MATCH(RawTransportationData!$B1590,FinalPayment!$F$2:$F$328,0),3)</f>
        <v>5644</v>
      </c>
    </row>
    <row r="1591" spans="1:8" x14ac:dyDescent="0.55000000000000004">
      <c r="A1591">
        <v>2021</v>
      </c>
      <c r="B1591" t="s">
        <v>410</v>
      </c>
      <c r="C1591" t="s">
        <v>265</v>
      </c>
      <c r="H1591" s="5">
        <f>INDEX(FinalPayment!$F$2:$H$328,MATCH(RawTransportationData!$B1591,FinalPayment!$F$2:$F$328,0),3)</f>
        <v>92693</v>
      </c>
    </row>
    <row r="1592" spans="1:8" x14ac:dyDescent="0.55000000000000004">
      <c r="A1592">
        <v>2021</v>
      </c>
      <c r="B1592" t="s">
        <v>408</v>
      </c>
      <c r="C1592" t="s">
        <v>1233</v>
      </c>
      <c r="H1592" s="5">
        <f>INDEX(FinalPayment!$F$2:$H$328,MATCH(RawTransportationData!$B1592,FinalPayment!$F$2:$F$328,0),3)</f>
        <v>245555</v>
      </c>
    </row>
    <row r="1593" spans="1:8" x14ac:dyDescent="0.55000000000000004">
      <c r="A1593">
        <v>2021</v>
      </c>
      <c r="B1593" t="s">
        <v>402</v>
      </c>
      <c r="C1593" t="s">
        <v>273</v>
      </c>
      <c r="H1593" s="5">
        <f>INDEX(FinalPayment!$F$2:$H$328,MATCH(RawTransportationData!$B1593,FinalPayment!$F$2:$F$328,0),3)</f>
        <v>1602</v>
      </c>
    </row>
    <row r="1594" spans="1:8" x14ac:dyDescent="0.55000000000000004">
      <c r="A1594">
        <v>2021</v>
      </c>
      <c r="B1594" t="s">
        <v>401</v>
      </c>
      <c r="C1594" t="s">
        <v>274</v>
      </c>
      <c r="H1594" s="5">
        <f>INDEX(FinalPayment!$F$2:$H$328,MATCH(RawTransportationData!$B1594,FinalPayment!$F$2:$F$328,0),3)</f>
        <v>956</v>
      </c>
    </row>
    <row r="1595" spans="1:8" x14ac:dyDescent="0.55000000000000004">
      <c r="A1595">
        <v>2021</v>
      </c>
      <c r="B1595" t="s">
        <v>400</v>
      </c>
      <c r="C1595" t="s">
        <v>275</v>
      </c>
      <c r="H1595" s="5">
        <f>INDEX(FinalPayment!$F$2:$H$328,MATCH(RawTransportationData!$B1595,FinalPayment!$F$2:$F$328,0),3)</f>
        <v>313</v>
      </c>
    </row>
    <row r="1596" spans="1:8" x14ac:dyDescent="0.55000000000000004">
      <c r="A1596">
        <v>2021</v>
      </c>
      <c r="B1596" t="s">
        <v>427</v>
      </c>
      <c r="C1596" t="s">
        <v>250</v>
      </c>
      <c r="H1596" s="5">
        <f>INDEX(FinalPayment!$F$2:$H$328,MATCH(RawTransportationData!$B1596,FinalPayment!$F$2:$F$328,0),3)</f>
        <v>142802</v>
      </c>
    </row>
    <row r="1597" spans="1:8" x14ac:dyDescent="0.55000000000000004">
      <c r="A1597">
        <v>2021</v>
      </c>
      <c r="B1597" t="s">
        <v>399</v>
      </c>
      <c r="C1597" t="s">
        <v>276</v>
      </c>
      <c r="H1597" s="5">
        <f>INDEX(FinalPayment!$F$2:$H$328,MATCH(RawTransportationData!$B1597,FinalPayment!$F$2:$F$328,0),3)</f>
        <v>141</v>
      </c>
    </row>
    <row r="1598" spans="1:8" x14ac:dyDescent="0.55000000000000004">
      <c r="A1598">
        <v>2021</v>
      </c>
      <c r="B1598" t="s">
        <v>398</v>
      </c>
      <c r="C1598" t="s">
        <v>277</v>
      </c>
      <c r="H1598" s="5">
        <f>INDEX(FinalPayment!$F$2:$H$328,MATCH(RawTransportationData!$B1598,FinalPayment!$F$2:$F$328,0),3)</f>
        <v>27834</v>
      </c>
    </row>
    <row r="1599" spans="1:8" x14ac:dyDescent="0.55000000000000004">
      <c r="A1599">
        <v>2021</v>
      </c>
      <c r="B1599" t="s">
        <v>397</v>
      </c>
      <c r="C1599" t="s">
        <v>278</v>
      </c>
      <c r="H1599" s="5">
        <f>INDEX(FinalPayment!$F$2:$H$328,MATCH(RawTransportationData!$B1599,FinalPayment!$F$2:$F$328,0),3)</f>
        <v>1953</v>
      </c>
    </row>
    <row r="1600" spans="1:8" x14ac:dyDescent="0.55000000000000004">
      <c r="A1600">
        <v>2021</v>
      </c>
      <c r="B1600" t="s">
        <v>396</v>
      </c>
      <c r="C1600" t="s">
        <v>279</v>
      </c>
      <c r="H1600" s="5">
        <f>INDEX(FinalPayment!$F$2:$H$328,MATCH(RawTransportationData!$B1600,FinalPayment!$F$2:$F$328,0),3)</f>
        <v>28650</v>
      </c>
    </row>
    <row r="1601" spans="1:8" x14ac:dyDescent="0.55000000000000004">
      <c r="A1601">
        <v>2021</v>
      </c>
      <c r="B1601" t="s">
        <v>394</v>
      </c>
      <c r="C1601" t="s">
        <v>341</v>
      </c>
      <c r="H1601" s="5">
        <f>INDEX(FinalPayment!$F$2:$H$328,MATCH(RawTransportationData!$B1601,FinalPayment!$F$2:$F$328,0),3)</f>
        <v>161253</v>
      </c>
    </row>
    <row r="1602" spans="1:8" x14ac:dyDescent="0.55000000000000004">
      <c r="A1602">
        <v>2021</v>
      </c>
      <c r="B1602" t="s">
        <v>393</v>
      </c>
      <c r="C1602" t="s">
        <v>281</v>
      </c>
      <c r="H1602" s="5">
        <f>INDEX(FinalPayment!$F$2:$H$328,MATCH(RawTransportationData!$B1602,FinalPayment!$F$2:$F$328,0),3)</f>
        <v>718</v>
      </c>
    </row>
    <row r="1603" spans="1:8" x14ac:dyDescent="0.55000000000000004">
      <c r="A1603">
        <v>2021</v>
      </c>
      <c r="B1603" t="s">
        <v>392</v>
      </c>
      <c r="C1603" t="s">
        <v>282</v>
      </c>
      <c r="H1603" s="5">
        <f>INDEX(FinalPayment!$F$2:$H$328,MATCH(RawTransportationData!$B1603,FinalPayment!$F$2:$F$328,0),3)</f>
        <v>78168</v>
      </c>
    </row>
    <row r="1604" spans="1:8" x14ac:dyDescent="0.55000000000000004">
      <c r="A1604">
        <v>2021</v>
      </c>
      <c r="B1604" t="s">
        <v>391</v>
      </c>
      <c r="C1604" t="s">
        <v>283</v>
      </c>
      <c r="H1604" s="5">
        <f>INDEX(FinalPayment!$F$2:$H$328,MATCH(RawTransportationData!$B1604,FinalPayment!$F$2:$F$328,0),3)</f>
        <v>134186</v>
      </c>
    </row>
    <row r="1605" spans="1:8" x14ac:dyDescent="0.55000000000000004">
      <c r="A1605">
        <v>2021</v>
      </c>
      <c r="B1605" t="s">
        <v>390</v>
      </c>
      <c r="C1605" t="s">
        <v>284</v>
      </c>
      <c r="H1605" s="5">
        <f>INDEX(FinalPayment!$F$2:$H$328,MATCH(RawTransportationData!$B1605,FinalPayment!$F$2:$F$328,0),3)</f>
        <v>56054</v>
      </c>
    </row>
    <row r="1606" spans="1:8" x14ac:dyDescent="0.55000000000000004">
      <c r="A1606">
        <v>2021</v>
      </c>
      <c r="B1606" t="s">
        <v>389</v>
      </c>
      <c r="C1606" t="s">
        <v>285</v>
      </c>
      <c r="H1606" s="5">
        <f>INDEX(FinalPayment!$F$2:$H$328,MATCH(RawTransportationData!$B1606,FinalPayment!$F$2:$F$328,0),3)</f>
        <v>336</v>
      </c>
    </row>
    <row r="1607" spans="1:8" x14ac:dyDescent="0.55000000000000004">
      <c r="A1607">
        <v>2021</v>
      </c>
      <c r="B1607" t="s">
        <v>388</v>
      </c>
      <c r="C1607" t="s">
        <v>286</v>
      </c>
      <c r="H1607" s="5">
        <f>INDEX(FinalPayment!$F$2:$H$328,MATCH(RawTransportationData!$B1607,FinalPayment!$F$2:$F$328,0),3)</f>
        <v>125675</v>
      </c>
    </row>
    <row r="1608" spans="1:8" x14ac:dyDescent="0.55000000000000004">
      <c r="A1608">
        <v>2021</v>
      </c>
      <c r="B1608" t="s">
        <v>387</v>
      </c>
      <c r="C1608" t="s">
        <v>287</v>
      </c>
      <c r="H1608" s="5">
        <f>INDEX(FinalPayment!$F$2:$H$328,MATCH(RawTransportationData!$B1608,FinalPayment!$F$2:$F$328,0),3)</f>
        <v>57162</v>
      </c>
    </row>
    <row r="1609" spans="1:8" x14ac:dyDescent="0.55000000000000004">
      <c r="A1609">
        <v>2021</v>
      </c>
      <c r="B1609" t="s">
        <v>386</v>
      </c>
      <c r="C1609" t="s">
        <v>288</v>
      </c>
      <c r="H1609" s="5">
        <f>INDEX(FinalPayment!$F$2:$H$328,MATCH(RawTransportationData!$B1609,FinalPayment!$F$2:$F$328,0),3)</f>
        <v>67789</v>
      </c>
    </row>
    <row r="1610" spans="1:8" x14ac:dyDescent="0.55000000000000004">
      <c r="A1610">
        <v>2021</v>
      </c>
      <c r="B1610" t="s">
        <v>385</v>
      </c>
      <c r="C1610" t="s">
        <v>289</v>
      </c>
      <c r="H1610" s="5">
        <f>INDEX(FinalPayment!$F$2:$H$328,MATCH(RawTransportationData!$B1610,FinalPayment!$F$2:$F$328,0),3)</f>
        <v>93620</v>
      </c>
    </row>
    <row r="1611" spans="1:8" x14ac:dyDescent="0.55000000000000004">
      <c r="A1611">
        <v>2021</v>
      </c>
      <c r="B1611" t="s">
        <v>384</v>
      </c>
      <c r="C1611" t="s">
        <v>290</v>
      </c>
      <c r="H1611" s="5">
        <f>INDEX(FinalPayment!$F$2:$H$328,MATCH(RawTransportationData!$B1611,FinalPayment!$F$2:$F$328,0),3)</f>
        <v>83876</v>
      </c>
    </row>
    <row r="1612" spans="1:8" x14ac:dyDescent="0.55000000000000004">
      <c r="A1612">
        <v>2021</v>
      </c>
      <c r="B1612" t="s">
        <v>383</v>
      </c>
      <c r="C1612" t="s">
        <v>291</v>
      </c>
      <c r="H1612" s="5">
        <f>INDEX(FinalPayment!$F$2:$H$328,MATCH(RawTransportationData!$B1612,FinalPayment!$F$2:$F$328,0),3)</f>
        <v>81174</v>
      </c>
    </row>
    <row r="1613" spans="1:8" x14ac:dyDescent="0.55000000000000004">
      <c r="A1613">
        <v>2021</v>
      </c>
      <c r="B1613" t="s">
        <v>382</v>
      </c>
      <c r="C1613" t="s">
        <v>292</v>
      </c>
      <c r="H1613" s="5">
        <f>INDEX(FinalPayment!$F$2:$H$328,MATCH(RawTransportationData!$B1613,FinalPayment!$F$2:$F$328,0),3)</f>
        <v>2761</v>
      </c>
    </row>
    <row r="1614" spans="1:8" x14ac:dyDescent="0.55000000000000004">
      <c r="A1614">
        <v>2021</v>
      </c>
      <c r="B1614" t="s">
        <v>380</v>
      </c>
      <c r="C1614" t="s">
        <v>1234</v>
      </c>
      <c r="H1614" s="5">
        <f>INDEX(FinalPayment!$F$2:$H$328,MATCH(RawTransportationData!$B1614,FinalPayment!$F$2:$F$328,0),3)</f>
        <v>565906</v>
      </c>
    </row>
    <row r="1615" spans="1:8" x14ac:dyDescent="0.55000000000000004">
      <c r="A1615">
        <v>2021</v>
      </c>
      <c r="B1615" t="s">
        <v>379</v>
      </c>
      <c r="C1615" t="s">
        <v>295</v>
      </c>
      <c r="H1615" s="5">
        <f>INDEX(FinalPayment!$F$2:$H$328,MATCH(RawTransportationData!$B1615,FinalPayment!$F$2:$F$328,0),3)</f>
        <v>593</v>
      </c>
    </row>
    <row r="1616" spans="1:8" x14ac:dyDescent="0.55000000000000004">
      <c r="A1616">
        <v>2021</v>
      </c>
      <c r="B1616" t="s">
        <v>378</v>
      </c>
      <c r="C1616" t="s">
        <v>296</v>
      </c>
      <c r="H1616" s="5">
        <f>INDEX(FinalPayment!$F$2:$H$328,MATCH(RawTransportationData!$B1616,FinalPayment!$F$2:$F$328,0),3)</f>
        <v>163189</v>
      </c>
    </row>
    <row r="1617" spans="1:8" x14ac:dyDescent="0.55000000000000004">
      <c r="A1617">
        <v>2021</v>
      </c>
      <c r="B1617" t="s">
        <v>377</v>
      </c>
      <c r="C1617" t="s">
        <v>297</v>
      </c>
      <c r="H1617" s="5">
        <f>INDEX(FinalPayment!$F$2:$H$328,MATCH(RawTransportationData!$B1617,FinalPayment!$F$2:$F$328,0),3)</f>
        <v>1232</v>
      </c>
    </row>
    <row r="1618" spans="1:8" x14ac:dyDescent="0.55000000000000004">
      <c r="A1618">
        <v>2021</v>
      </c>
      <c r="B1618" t="s">
        <v>376</v>
      </c>
      <c r="C1618" t="s">
        <v>298</v>
      </c>
      <c r="H1618" s="5">
        <f>INDEX(FinalPayment!$F$2:$H$328,MATCH(RawTransportationData!$B1618,FinalPayment!$F$2:$F$328,0),3)</f>
        <v>395</v>
      </c>
    </row>
    <row r="1619" spans="1:8" x14ac:dyDescent="0.55000000000000004">
      <c r="A1619">
        <v>2021</v>
      </c>
      <c r="B1619" t="s">
        <v>374</v>
      </c>
      <c r="C1619" t="s">
        <v>299</v>
      </c>
      <c r="H1619" s="5">
        <f>INDEX(FinalPayment!$F$2:$H$328,MATCH(RawTransportationData!$B1619,FinalPayment!$F$2:$F$328,0),3)</f>
        <v>507</v>
      </c>
    </row>
    <row r="1620" spans="1:8" x14ac:dyDescent="0.55000000000000004">
      <c r="A1620">
        <v>2021</v>
      </c>
      <c r="B1620" t="s">
        <v>373</v>
      </c>
      <c r="C1620" t="s">
        <v>300</v>
      </c>
      <c r="H1620" s="5">
        <f>INDEX(FinalPayment!$F$2:$H$328,MATCH(RawTransportationData!$B1620,FinalPayment!$F$2:$F$328,0),3)</f>
        <v>555</v>
      </c>
    </row>
    <row r="1621" spans="1:8" x14ac:dyDescent="0.55000000000000004">
      <c r="A1621">
        <v>2021</v>
      </c>
      <c r="B1621" t="s">
        <v>372</v>
      </c>
      <c r="C1621" t="s">
        <v>301</v>
      </c>
      <c r="H1621" s="5">
        <f>INDEX(FinalPayment!$F$2:$H$328,MATCH(RawTransportationData!$B1621,FinalPayment!$F$2:$F$328,0),3)</f>
        <v>1403</v>
      </c>
    </row>
    <row r="1622" spans="1:8" x14ac:dyDescent="0.55000000000000004">
      <c r="A1622">
        <v>2021</v>
      </c>
      <c r="B1622" t="s">
        <v>371</v>
      </c>
      <c r="C1622" t="s">
        <v>302</v>
      </c>
      <c r="H1622" s="5">
        <f>INDEX(FinalPayment!$F$2:$H$328,MATCH(RawTransportationData!$B1622,FinalPayment!$F$2:$F$328,0),3)</f>
        <v>534736</v>
      </c>
    </row>
    <row r="1623" spans="1:8" x14ac:dyDescent="0.55000000000000004">
      <c r="A1623">
        <v>2021</v>
      </c>
      <c r="B1623" t="s">
        <v>370</v>
      </c>
      <c r="C1623" t="s">
        <v>303</v>
      </c>
      <c r="H1623" s="5">
        <f>INDEX(FinalPayment!$F$2:$H$328,MATCH(RawTransportationData!$B1623,FinalPayment!$F$2:$F$328,0),3)</f>
        <v>9166</v>
      </c>
    </row>
    <row r="1624" spans="1:8" x14ac:dyDescent="0.55000000000000004">
      <c r="A1624">
        <v>2021</v>
      </c>
      <c r="B1624" t="s">
        <v>369</v>
      </c>
      <c r="C1624" t="s">
        <v>304</v>
      </c>
      <c r="H1624" s="5">
        <f>INDEX(FinalPayment!$F$2:$H$328,MATCH(RawTransportationData!$B1624,FinalPayment!$F$2:$F$328,0),3)</f>
        <v>1732</v>
      </c>
    </row>
    <row r="1625" spans="1:8" x14ac:dyDescent="0.55000000000000004">
      <c r="A1625">
        <v>2021</v>
      </c>
      <c r="B1625" t="s">
        <v>368</v>
      </c>
      <c r="C1625" t="s">
        <v>305</v>
      </c>
      <c r="H1625" s="5">
        <f>INDEX(FinalPayment!$F$2:$H$328,MATCH(RawTransportationData!$B1625,FinalPayment!$F$2:$F$328,0),3)</f>
        <v>85271</v>
      </c>
    </row>
    <row r="1626" spans="1:8" x14ac:dyDescent="0.55000000000000004">
      <c r="A1626">
        <v>2021</v>
      </c>
      <c r="B1626" t="s">
        <v>367</v>
      </c>
      <c r="C1626" t="s">
        <v>306</v>
      </c>
      <c r="H1626" s="5">
        <f>INDEX(FinalPayment!$F$2:$H$328,MATCH(RawTransportationData!$B1626,FinalPayment!$F$2:$F$328,0),3)</f>
        <v>186983</v>
      </c>
    </row>
    <row r="1627" spans="1:8" x14ac:dyDescent="0.55000000000000004">
      <c r="A1627">
        <v>2021</v>
      </c>
      <c r="B1627" t="s">
        <v>366</v>
      </c>
      <c r="C1627" t="s">
        <v>307</v>
      </c>
      <c r="H1627" s="5">
        <f>INDEX(FinalPayment!$F$2:$H$328,MATCH(RawTransportationData!$B1627,FinalPayment!$F$2:$F$328,0),3)</f>
        <v>118651</v>
      </c>
    </row>
    <row r="1628" spans="1:8" x14ac:dyDescent="0.55000000000000004">
      <c r="A1628">
        <v>2021</v>
      </c>
      <c r="B1628" t="s">
        <v>365</v>
      </c>
      <c r="C1628" t="s">
        <v>308</v>
      </c>
      <c r="H1628" s="5">
        <f>INDEX(FinalPayment!$F$2:$H$328,MATCH(RawTransportationData!$B1628,FinalPayment!$F$2:$F$328,0),3)</f>
        <v>43575</v>
      </c>
    </row>
    <row r="1629" spans="1:8" x14ac:dyDescent="0.55000000000000004">
      <c r="A1629">
        <v>2021</v>
      </c>
      <c r="B1629" t="s">
        <v>364</v>
      </c>
      <c r="C1629" t="s">
        <v>1235</v>
      </c>
      <c r="H1629" s="5">
        <f>INDEX(FinalPayment!$F$2:$H$328,MATCH(RawTransportationData!$B1629,FinalPayment!$F$2:$F$328,0),3)</f>
        <v>387</v>
      </c>
    </row>
    <row r="1630" spans="1:8" x14ac:dyDescent="0.55000000000000004">
      <c r="A1630">
        <v>2021</v>
      </c>
      <c r="B1630" t="s">
        <v>363</v>
      </c>
      <c r="C1630" t="s">
        <v>310</v>
      </c>
      <c r="H1630" s="5">
        <f>INDEX(FinalPayment!$F$2:$H$328,MATCH(RawTransportationData!$B1630,FinalPayment!$F$2:$F$328,0),3)</f>
        <v>22550</v>
      </c>
    </row>
    <row r="1631" spans="1:8" x14ac:dyDescent="0.55000000000000004">
      <c r="A1631">
        <v>2021</v>
      </c>
      <c r="B1631" t="s">
        <v>395</v>
      </c>
      <c r="C1631" t="s">
        <v>280</v>
      </c>
      <c r="H1631" s="5">
        <f>INDEX(FinalPayment!$F$2:$H$328,MATCH(RawTransportationData!$B1631,FinalPayment!$F$2:$F$328,0),3)</f>
        <v>74671</v>
      </c>
    </row>
    <row r="1632" spans="1:8" x14ac:dyDescent="0.55000000000000004">
      <c r="A1632">
        <v>2021</v>
      </c>
      <c r="B1632" t="s">
        <v>362</v>
      </c>
      <c r="C1632" t="s">
        <v>1236</v>
      </c>
      <c r="H1632" s="5">
        <f>INDEX(FinalPayment!$F$2:$H$328,MATCH(RawTransportationData!$B1632,FinalPayment!$F$2:$F$328,0),3)</f>
        <v>15434</v>
      </c>
    </row>
    <row r="1633" spans="1:8" x14ac:dyDescent="0.55000000000000004">
      <c r="A1633">
        <v>2021</v>
      </c>
      <c r="B1633" t="s">
        <v>361</v>
      </c>
      <c r="C1633" t="s">
        <v>312</v>
      </c>
      <c r="H1633" s="5">
        <f>INDEX(FinalPayment!$F$2:$H$328,MATCH(RawTransportationData!$B1633,FinalPayment!$F$2:$F$328,0),3)</f>
        <v>7316</v>
      </c>
    </row>
    <row r="1634" spans="1:8" x14ac:dyDescent="0.55000000000000004">
      <c r="A1634">
        <v>2021</v>
      </c>
      <c r="B1634" t="s">
        <v>421</v>
      </c>
      <c r="C1634" t="s">
        <v>1196</v>
      </c>
      <c r="H1634" s="5">
        <f>INDEX(FinalPayment!$F$2:$H$328,MATCH(RawTransportationData!$B1634,FinalPayment!$F$2:$F$328,0),3)</f>
        <v>181236</v>
      </c>
    </row>
    <row r="1635" spans="1:8" x14ac:dyDescent="0.55000000000000004">
      <c r="A1635">
        <v>2021</v>
      </c>
      <c r="B1635" t="s">
        <v>644</v>
      </c>
      <c r="C1635" t="s">
        <v>51</v>
      </c>
      <c r="H1635" s="5">
        <f>INDEX(FinalPayment!$F$2:$H$328,MATCH(RawTransportationData!$B1635,FinalPayment!$F$2:$F$328,0),3)</f>
        <v>65629</v>
      </c>
    </row>
    <row r="1636" spans="1:8" x14ac:dyDescent="0.55000000000000004">
      <c r="A1636">
        <v>2021</v>
      </c>
      <c r="B1636" t="s">
        <v>359</v>
      </c>
      <c r="C1636" t="s">
        <v>314</v>
      </c>
      <c r="H1636" s="5">
        <f>INDEX(FinalPayment!$F$2:$H$328,MATCH(RawTransportationData!$B1636,FinalPayment!$F$2:$F$328,0),3)</f>
        <v>36924</v>
      </c>
    </row>
    <row r="1637" spans="1:8" x14ac:dyDescent="0.55000000000000004">
      <c r="A1637">
        <v>2021</v>
      </c>
      <c r="B1637" t="s">
        <v>358</v>
      </c>
      <c r="C1637" t="s">
        <v>315</v>
      </c>
      <c r="H1637" s="5">
        <f>INDEX(FinalPayment!$F$2:$H$328,MATCH(RawTransportationData!$B1637,FinalPayment!$F$2:$F$328,0),3)</f>
        <v>1091</v>
      </c>
    </row>
    <row r="1638" spans="1:8" x14ac:dyDescent="0.55000000000000004">
      <c r="A1638">
        <v>2021</v>
      </c>
      <c r="B1638" t="s">
        <v>357</v>
      </c>
      <c r="C1638" t="s">
        <v>316</v>
      </c>
      <c r="H1638" s="5">
        <f>INDEX(FinalPayment!$F$2:$H$328,MATCH(RawTransportationData!$B1638,FinalPayment!$F$2:$F$328,0),3)</f>
        <v>214424</v>
      </c>
    </row>
    <row r="1639" spans="1:8" x14ac:dyDescent="0.55000000000000004">
      <c r="A1639">
        <v>2021</v>
      </c>
      <c r="B1639" t="s">
        <v>356</v>
      </c>
      <c r="C1639" t="s">
        <v>317</v>
      </c>
      <c r="H1639" s="5">
        <f>INDEX(FinalPayment!$F$2:$H$328,MATCH(RawTransportationData!$B1639,FinalPayment!$F$2:$F$328,0),3)</f>
        <v>113712</v>
      </c>
    </row>
    <row r="1640" spans="1:8" x14ac:dyDescent="0.55000000000000004">
      <c r="A1640">
        <v>2021</v>
      </c>
      <c r="B1640" t="s">
        <v>355</v>
      </c>
      <c r="C1640" t="s">
        <v>318</v>
      </c>
      <c r="H1640" s="5">
        <f>INDEX(FinalPayment!$F$2:$H$328,MATCH(RawTransportationData!$B1640,FinalPayment!$F$2:$F$328,0),3)</f>
        <v>47022</v>
      </c>
    </row>
    <row r="1641" spans="1:8" x14ac:dyDescent="0.55000000000000004">
      <c r="A1641">
        <v>2021</v>
      </c>
      <c r="B1641" t="s">
        <v>354</v>
      </c>
      <c r="C1641" t="s">
        <v>319</v>
      </c>
      <c r="H1641" s="5">
        <f>INDEX(FinalPayment!$F$2:$H$328,MATCH(RawTransportationData!$B1641,FinalPayment!$F$2:$F$328,0),3)</f>
        <v>38070</v>
      </c>
    </row>
    <row r="1642" spans="1:8" x14ac:dyDescent="0.55000000000000004">
      <c r="A1642">
        <v>2021</v>
      </c>
      <c r="B1642" t="s">
        <v>360</v>
      </c>
      <c r="C1642" t="s">
        <v>1237</v>
      </c>
      <c r="H1642" s="5">
        <f>INDEX(FinalPayment!$F$2:$H$328,MATCH(RawTransportationData!$B1642,FinalPayment!$F$2:$F$328,0),3)</f>
        <v>519987</v>
      </c>
    </row>
    <row r="1643" spans="1:8" x14ac:dyDescent="0.55000000000000004">
      <c r="A1643">
        <v>2021</v>
      </c>
      <c r="B1643" t="s">
        <v>353</v>
      </c>
      <c r="C1643" t="s">
        <v>320</v>
      </c>
      <c r="H1643" s="5">
        <f>INDEX(FinalPayment!$F$2:$H$328,MATCH(RawTransportationData!$B1643,FinalPayment!$F$2:$F$328,0),3)</f>
        <v>250092</v>
      </c>
    </row>
    <row r="1644" spans="1:8" x14ac:dyDescent="0.55000000000000004">
      <c r="A1644">
        <v>2021</v>
      </c>
      <c r="B1644" t="s">
        <v>352</v>
      </c>
      <c r="C1644" t="s">
        <v>321</v>
      </c>
      <c r="H1644" s="5">
        <f>INDEX(FinalPayment!$F$2:$H$328,MATCH(RawTransportationData!$B1644,FinalPayment!$F$2:$F$328,0),3)</f>
        <v>167</v>
      </c>
    </row>
    <row r="1645" spans="1:8" x14ac:dyDescent="0.55000000000000004">
      <c r="A1645">
        <v>2021</v>
      </c>
      <c r="B1645" t="s">
        <v>351</v>
      </c>
      <c r="C1645" t="s">
        <v>322</v>
      </c>
      <c r="H1645" s="5">
        <f>INDEX(FinalPayment!$F$2:$H$328,MATCH(RawTransportationData!$B1645,FinalPayment!$F$2:$F$328,0),3)</f>
        <v>115442</v>
      </c>
    </row>
    <row r="1646" spans="1:8" x14ac:dyDescent="0.55000000000000004">
      <c r="A1646">
        <v>2021</v>
      </c>
      <c r="B1646" t="s">
        <v>350</v>
      </c>
      <c r="C1646" t="s">
        <v>323</v>
      </c>
      <c r="H1646" s="5">
        <f>INDEX(FinalPayment!$F$2:$H$328,MATCH(RawTransportationData!$B1646,FinalPayment!$F$2:$F$328,0),3)</f>
        <v>686</v>
      </c>
    </row>
    <row r="1647" spans="1:8" x14ac:dyDescent="0.55000000000000004">
      <c r="A1647">
        <v>2021</v>
      </c>
      <c r="B1647" t="s">
        <v>349</v>
      </c>
      <c r="C1647" t="s">
        <v>324</v>
      </c>
      <c r="H1647" s="5">
        <f>INDEX(FinalPayment!$F$2:$H$328,MATCH(RawTransportationData!$B1647,FinalPayment!$F$2:$F$328,0),3)</f>
        <v>263</v>
      </c>
    </row>
    <row r="1648" spans="1:8" x14ac:dyDescent="0.55000000000000004">
      <c r="A1648">
        <v>2021</v>
      </c>
      <c r="B1648" t="s">
        <v>348</v>
      </c>
      <c r="C1648" t="s">
        <v>325</v>
      </c>
      <c r="H1648" s="5">
        <f>INDEX(FinalPayment!$F$2:$H$328,MATCH(RawTransportationData!$B1648,FinalPayment!$F$2:$F$328,0),3)</f>
        <v>176116</v>
      </c>
    </row>
    <row r="1649" spans="1:8" x14ac:dyDescent="0.55000000000000004">
      <c r="A1649">
        <v>2021</v>
      </c>
      <c r="B1649" t="s">
        <v>347</v>
      </c>
      <c r="C1649" t="s">
        <v>326</v>
      </c>
      <c r="H1649" s="5">
        <f>INDEX(FinalPayment!$F$2:$H$328,MATCH(RawTransportationData!$B1649,FinalPayment!$F$2:$F$328,0),3)</f>
        <v>381</v>
      </c>
    </row>
    <row r="1650" spans="1:8" x14ac:dyDescent="0.55000000000000004">
      <c r="A1650">
        <v>2021</v>
      </c>
      <c r="B1650" t="s">
        <v>346</v>
      </c>
      <c r="C1650" t="s">
        <v>327</v>
      </c>
      <c r="H1650" s="5">
        <f>INDEX(FinalPayment!$F$2:$H$328,MATCH(RawTransportationData!$B1650,FinalPayment!$F$2:$F$328,0),3)</f>
        <v>109112</v>
      </c>
    </row>
    <row r="1651" spans="1:8" x14ac:dyDescent="0.55000000000000004">
      <c r="A1651">
        <v>2021</v>
      </c>
      <c r="B1651" t="s">
        <v>345</v>
      </c>
      <c r="C1651" t="s">
        <v>328</v>
      </c>
      <c r="H1651" s="5">
        <f>INDEX(FinalPayment!$F$2:$H$328,MATCH(RawTransportationData!$B1651,FinalPayment!$F$2:$F$328,0),3)</f>
        <v>60405</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9"/>
  <sheetViews>
    <sheetView tabSelected="1" zoomScaleNormal="100" workbookViewId="0">
      <pane xSplit="7" ySplit="3" topLeftCell="K310" activePane="bottomRight" state="frozen"/>
      <selection pane="topRight" activeCell="H1" sqref="H1"/>
      <selection pane="bottomLeft" activeCell="A2" sqref="A2"/>
      <selection pane="bottomRight" activeCell="A424" sqref="A424:XFD424"/>
    </sheetView>
  </sheetViews>
  <sheetFormatPr defaultRowHeight="14.4" x14ac:dyDescent="0.55000000000000004"/>
  <cols>
    <col min="1" max="1" width="9.68359375" bestFit="1" customWidth="1"/>
    <col min="2" max="2" width="4.578125" bestFit="1" customWidth="1"/>
    <col min="3" max="3" width="5" bestFit="1" customWidth="1"/>
    <col min="4" max="5" width="8.68359375" bestFit="1" customWidth="1"/>
    <col min="6" max="6" width="14.68359375" bestFit="1" customWidth="1"/>
    <col min="7" max="7" width="35.41796875" bestFit="1" customWidth="1"/>
    <col min="8" max="8" width="26.83984375" style="82" hidden="1" customWidth="1"/>
    <col min="9" max="9" width="13.41796875" style="82" customWidth="1"/>
    <col min="10" max="10" width="11.26171875" style="5" customWidth="1"/>
    <col min="11" max="11" width="11.26171875" customWidth="1"/>
    <col min="12" max="12" width="15.83984375" customWidth="1"/>
    <col min="13" max="13" width="18.83984375" customWidth="1"/>
    <col min="14" max="14" width="21.578125" customWidth="1"/>
    <col min="15" max="15" width="1.41796875" style="39" customWidth="1"/>
    <col min="16" max="16" width="20.26171875" style="82" hidden="1" customWidth="1"/>
    <col min="17" max="17" width="14.83984375" style="82" customWidth="1"/>
    <col min="18" max="18" width="11" style="5" bestFit="1" customWidth="1"/>
    <col min="19" max="19" width="10.41796875" customWidth="1"/>
    <col min="20" max="20" width="15.15625" customWidth="1"/>
    <col min="21" max="21" width="1.41796875" style="39" customWidth="1"/>
    <col min="22" max="22" width="9.15625" style="82" hidden="1" customWidth="1"/>
    <col min="23" max="23" width="12.15625" style="82" customWidth="1"/>
    <col min="24" max="24" width="15.83984375" customWidth="1"/>
    <col min="25" max="25" width="11.26171875" customWidth="1"/>
    <col min="26" max="26" width="16.68359375" customWidth="1"/>
  </cols>
  <sheetData>
    <row r="1" spans="1:26" ht="18.3" x14ac:dyDescent="0.7">
      <c r="E1">
        <f>A4</f>
        <v>2021</v>
      </c>
      <c r="F1" s="81" t="s">
        <v>1349</v>
      </c>
      <c r="G1" t="s">
        <v>1356</v>
      </c>
      <c r="J1" s="77" t="s">
        <v>1348</v>
      </c>
      <c r="K1" s="78"/>
      <c r="L1" s="78"/>
      <c r="M1" s="78"/>
      <c r="N1" s="78"/>
      <c r="O1" s="78"/>
      <c r="P1" s="90">
        <f>P2+2</f>
        <v>2020</v>
      </c>
      <c r="Q1" s="91" t="s">
        <v>1347</v>
      </c>
      <c r="R1" s="77"/>
      <c r="S1" s="78"/>
      <c r="T1" s="78"/>
      <c r="U1" s="48"/>
      <c r="V1" s="82">
        <f>V2+2</f>
        <v>2019</v>
      </c>
      <c r="W1" s="83" t="s">
        <v>1347</v>
      </c>
      <c r="X1" s="72"/>
      <c r="Y1" s="48"/>
    </row>
    <row r="2" spans="1:26" x14ac:dyDescent="0.55000000000000004">
      <c r="H2" s="82">
        <f>E1-2</f>
        <v>2019</v>
      </c>
      <c r="I2" s="83" t="s">
        <v>1346</v>
      </c>
      <c r="J2" s="72"/>
      <c r="K2" s="48"/>
      <c r="L2" s="48"/>
      <c r="M2" s="48"/>
      <c r="N2" s="48"/>
      <c r="O2" s="48"/>
      <c r="P2" s="82">
        <f>H2-1</f>
        <v>2018</v>
      </c>
      <c r="Q2" s="83" t="s">
        <v>1346</v>
      </c>
      <c r="R2" s="72"/>
      <c r="S2" s="48"/>
      <c r="T2" s="48"/>
      <c r="U2" s="48"/>
      <c r="V2" s="82">
        <f>P2-1</f>
        <v>2017</v>
      </c>
      <c r="W2" s="83" t="s">
        <v>1346</v>
      </c>
      <c r="X2" s="72"/>
      <c r="Y2" s="48"/>
    </row>
    <row r="3" spans="1:26" ht="45" customHeight="1" x14ac:dyDescent="0.55000000000000004">
      <c r="A3" t="s">
        <v>1023</v>
      </c>
      <c r="B3" t="s">
        <v>1024</v>
      </c>
      <c r="C3" s="33" t="s">
        <v>1025</v>
      </c>
      <c r="D3" t="s">
        <v>1026</v>
      </c>
      <c r="E3" t="s">
        <v>1027</v>
      </c>
      <c r="F3" t="s">
        <v>1028</v>
      </c>
      <c r="G3" s="73" t="s">
        <v>1206</v>
      </c>
      <c r="H3" s="84" t="s">
        <v>1029</v>
      </c>
      <c r="I3" s="84" t="s">
        <v>1030</v>
      </c>
      <c r="J3" s="74" t="str">
        <f>CONCATENATE("FY ",$E$1," Per Pupil Costs")</f>
        <v>FY 2021 Per Pupil Costs</v>
      </c>
      <c r="K3" s="74" t="str">
        <f>CONCATENATE("FY ",$E$1," Payment")</f>
        <v>FY 2021 Payment</v>
      </c>
      <c r="L3" s="74" t="str">
        <f>CONCATENATE("FY ",$E$1," Costs - Transportation Equity Payment")</f>
        <v>FY 2021 Costs - Transportation Equity Payment</v>
      </c>
      <c r="M3" s="74" t="str">
        <f>CONCATENATE("Percent Change in Per Pupil Costs FY ",V1," to FY ",E1)</f>
        <v>Percent Change in Per Pupil Costs FY 2019 to FY 2021</v>
      </c>
      <c r="N3" s="74" t="str">
        <f>CONCATENATE("Percent Change in Costs - Equity Payment FY ",V1," to FY ",E1)</f>
        <v>Percent Change in Costs - Equity Payment FY 2019 to FY 2021</v>
      </c>
      <c r="O3" s="75"/>
      <c r="P3" s="84" t="s">
        <v>1029</v>
      </c>
      <c r="Q3" s="84" t="s">
        <v>1030</v>
      </c>
      <c r="R3" s="74" t="str">
        <f>CONCATENATE("FY ",$P$1," Per Pupil Costs")</f>
        <v>FY 2020 Per Pupil Costs</v>
      </c>
      <c r="S3" s="74" t="str">
        <f>CONCATENATE("FY ",$P$1," Payment")</f>
        <v>FY 2020 Payment</v>
      </c>
      <c r="T3" s="74" t="str">
        <f>CONCATENATE("FY ",$P$1," Costs - Transportation Equity Payment")</f>
        <v>FY 2020 Costs - Transportation Equity Payment</v>
      </c>
      <c r="U3" s="75"/>
      <c r="V3" s="84" t="s">
        <v>1029</v>
      </c>
      <c r="W3" s="84" t="s">
        <v>1030</v>
      </c>
      <c r="X3" s="74" t="str">
        <f>CONCATENATE("FY ",$V$1," Per Pupil Costs")</f>
        <v>FY 2019 Per Pupil Costs</v>
      </c>
      <c r="Y3" s="74" t="str">
        <f>CONCATENATE("FY ",$V$1," Payment")</f>
        <v>FY 2019 Payment</v>
      </c>
      <c r="Z3" s="74" t="str">
        <f>CONCATENATE("FY ",$V$1," Costs - Transportation Equity Payment")</f>
        <v>FY 2019 Costs - Transportation Equity Payment</v>
      </c>
    </row>
    <row r="4" spans="1:26" x14ac:dyDescent="0.55000000000000004">
      <c r="A4">
        <f>FinalPayment!A2</f>
        <v>2021</v>
      </c>
      <c r="B4" t="str">
        <f>FinalPayment!B2</f>
        <v>11</v>
      </c>
      <c r="C4" t="str">
        <f>FinalPayment!C2</f>
        <v>0018</v>
      </c>
      <c r="D4" t="str">
        <f>FinalPayment!D2</f>
        <v/>
      </c>
      <c r="E4" t="str">
        <f>FinalPayment!E2</f>
        <v/>
      </c>
      <c r="F4" t="str">
        <f>FinalPayment!F2</f>
        <v>0018</v>
      </c>
      <c r="G4" s="28" t="str">
        <f>FinalPayment!G2</f>
        <v>Adair-Casey</v>
      </c>
      <c r="H4" s="85">
        <f>SUMPRODUCT(SUMIFS(RawTransportationData!$D:$D,RawTransportationData!$A:$A,Compare!$H$2,RawTransportationData!$B:$B,Compare!$D4:$F4))</f>
        <v>309</v>
      </c>
      <c r="I4" s="86">
        <f>SUMPRODUCT(SUMIFS(RawTransportationData!$G:$G,RawTransportationData!$A:$A,Compare!$H$2,RawTransportationData!$B:$B,Compare!$D4:$F4))</f>
        <v>296657.07</v>
      </c>
      <c r="J4" s="32">
        <f>I4/H4</f>
        <v>960.05524271844661</v>
      </c>
      <c r="K4" s="32">
        <f>SUMPRODUCT(SUMIFS(RawTransportationData!$H:$H,RawTransportationData!$A:$A,Compare!$E$1,RawTransportationData!$B:$B,Compare!$D4:$F4))</f>
        <v>189488</v>
      </c>
      <c r="L4" s="32">
        <f>I4-K4</f>
        <v>107169.07</v>
      </c>
      <c r="M4" s="70">
        <f>(J4-X4)/X4</f>
        <v>0.17665433760203209</v>
      </c>
      <c r="N4" s="70">
        <f>(L4-Z4)/Z4</f>
        <v>-0.13999891184884264</v>
      </c>
      <c r="O4" s="45"/>
      <c r="P4" s="85">
        <f>SUMPRODUCT(SUMIFS(RawTransportationData!$D:$D,RawTransportationData!$A:$A,Compare!$P$2,RawTransportationData!$B:$B,Compare!$D4:$F4))</f>
        <v>300.3</v>
      </c>
      <c r="Q4" s="86">
        <f>SUMPRODUCT(SUMIFS(RawTransportationData!$G:$G,RawTransportationData!$A:$A,Compare!$P$2,RawTransportationData!$B:$B,Compare!$D4:$F4))</f>
        <v>282317.99</v>
      </c>
      <c r="R4" s="32">
        <f>Q4/P4</f>
        <v>940.11984681984677</v>
      </c>
      <c r="S4" s="32">
        <f>SUMPRODUCT(SUMIFS(RawTransportationData!$H:$H,RawTransportationData!$A:$A,Compare!$P$1,RawTransportationData!$B:$B,Compare!$D4:$F4))</f>
        <v>167883</v>
      </c>
      <c r="T4" s="32">
        <f>Q4-S4</f>
        <v>114434.98999999999</v>
      </c>
      <c r="U4" s="45"/>
      <c r="V4" s="85">
        <f>SUMPRODUCT(SUMIFS(RawTransportationData!$D:$D,RawTransportationData!$A:$A,Compare!$V$2,RawTransportationData!$B:$B,Compare!$D4:$F4))</f>
        <v>300.2</v>
      </c>
      <c r="W4" s="86">
        <f>SUMPRODUCT(SUMIFS(RawTransportationData!$G:$G,RawTransportationData!$A:$A,Compare!$V$2,RawTransportationData!$B:$B,Compare!$D4:$F4))</f>
        <v>244939.04</v>
      </c>
      <c r="X4" s="32">
        <f>W4/V4</f>
        <v>815.9195203197869</v>
      </c>
      <c r="Y4" s="32">
        <f>SUMPRODUCT(SUMIFS(RawTransportationData!$H:$H,RawTransportationData!$A:$A,Compare!$V$1,RawTransportationData!$B:$B,Compare!$D4:$F4))</f>
        <v>120324</v>
      </c>
      <c r="Z4" s="32">
        <f>W4-Y4</f>
        <v>124615.04000000001</v>
      </c>
    </row>
    <row r="5" spans="1:26" x14ac:dyDescent="0.55000000000000004">
      <c r="A5">
        <f>FinalPayment!A3</f>
        <v>2021</v>
      </c>
      <c r="B5" t="str">
        <f>FinalPayment!B3</f>
        <v>11</v>
      </c>
      <c r="C5" t="str">
        <f>FinalPayment!C3</f>
        <v>0027</v>
      </c>
      <c r="D5" t="str">
        <f>FinalPayment!D3</f>
        <v/>
      </c>
      <c r="E5" t="str">
        <f>FinalPayment!E3</f>
        <v/>
      </c>
      <c r="F5" t="str">
        <f>FinalPayment!F3</f>
        <v>0027</v>
      </c>
      <c r="G5" s="28" t="str">
        <f>FinalPayment!G3</f>
        <v>Adel-Desoto-Minburn</v>
      </c>
      <c r="H5" s="85">
        <f>SUMPRODUCT(SUMIFS(RawTransportationData!$D:$D,RawTransportationData!$A:$A,Compare!$H$2,RawTransportationData!$B:$B,Compare!$D5:$F5))</f>
        <v>1797.8</v>
      </c>
      <c r="I5" s="86">
        <f>SUMPRODUCT(SUMIFS(RawTransportationData!$G:$G,RawTransportationData!$A:$A,Compare!$H$2,RawTransportationData!$B:$B,Compare!$D5:$F5))</f>
        <v>702002.47000000009</v>
      </c>
      <c r="J5" s="32">
        <f>I5/H5</f>
        <v>390.47862387362335</v>
      </c>
      <c r="K5" s="32">
        <f>SUMPRODUCT(SUMIFS(RawTransportationData!$H:$H,RawTransportationData!$A:$A,Compare!$E$1,RawTransportationData!$B:$B,Compare!$D5:$F5))</f>
        <v>78472</v>
      </c>
      <c r="L5" s="32">
        <f t="shared" ref="L5:L68" si="0">I5-K5</f>
        <v>623530.47000000009</v>
      </c>
      <c r="M5" s="70">
        <f t="shared" ref="M5:M68" si="1">(J5-X5)/X5</f>
        <v>0.20028257583583034</v>
      </c>
      <c r="N5" s="70">
        <f t="shared" ref="N5:N68" si="2">(L5-Z5)/Z5</f>
        <v>0.15802965172497613</v>
      </c>
      <c r="O5" s="45"/>
      <c r="P5" s="85">
        <f>SUMPRODUCT(SUMIFS(RawTransportationData!$D:$D,RawTransportationData!$A:$A,Compare!$P$2,RawTransportationData!$B:$B,Compare!$D5:$F5))</f>
        <v>1729.8</v>
      </c>
      <c r="Q5" s="86">
        <f>SUMPRODUCT(SUMIFS(RawTransportationData!$G:$G,RawTransportationData!$A:$A,Compare!$P$2,RawTransportationData!$B:$B,Compare!$D5:$F5))</f>
        <v>635577.24</v>
      </c>
      <c r="R5" s="32">
        <f t="shared" ref="R5:R68" si="3">Q5/P5</f>
        <v>367.42816510579257</v>
      </c>
      <c r="S5" s="32">
        <f>SUMPRODUCT(SUMIFS(RawTransportationData!$H:$H,RawTransportationData!$A:$A,Compare!$P$1,RawTransportationData!$B:$B,Compare!$D5:$F5))</f>
        <v>0</v>
      </c>
      <c r="T5" s="32">
        <f t="shared" ref="T5:T68" si="4">Q5-S5</f>
        <v>635577.24</v>
      </c>
      <c r="U5" s="45"/>
      <c r="V5" s="85">
        <f>SUMPRODUCT(SUMIFS(RawTransportationData!$D:$D,RawTransportationData!$A:$A,Compare!$V$2,RawTransportationData!$B:$B,Compare!$D5:$F5))</f>
        <v>1655.1</v>
      </c>
      <c r="W5" s="86">
        <f>SUMPRODUCT(SUMIFS(RawTransportationData!$G:$G,RawTransportationData!$A:$A,Compare!$V$2,RawTransportationData!$B:$B,Compare!$D5:$F5))</f>
        <v>538440.85</v>
      </c>
      <c r="X5" s="32">
        <f t="shared" ref="X5:X68" si="5">W5/V5</f>
        <v>325.32224638994626</v>
      </c>
      <c r="Y5" s="32">
        <f>SUMPRODUCT(SUMIFS(RawTransportationData!$H:$H,RawTransportationData!$A:$A,Compare!$V$1,RawTransportationData!$B:$B,Compare!$D5:$F5))</f>
        <v>0</v>
      </c>
      <c r="Z5" s="32">
        <f t="shared" ref="Z5:Z68" si="6">W5-Y5</f>
        <v>538440.85</v>
      </c>
    </row>
    <row r="6" spans="1:26" x14ac:dyDescent="0.55000000000000004">
      <c r="A6">
        <f>FinalPayment!A4</f>
        <v>2021</v>
      </c>
      <c r="B6" t="str">
        <f>FinalPayment!B4</f>
        <v>07</v>
      </c>
      <c r="C6" t="str">
        <f>FinalPayment!C4</f>
        <v>0009</v>
      </c>
      <c r="D6" t="str">
        <f>FinalPayment!D4</f>
        <v/>
      </c>
      <c r="E6" t="str">
        <f>FinalPayment!E4</f>
        <v/>
      </c>
      <c r="F6" t="str">
        <f>FinalPayment!F4</f>
        <v>0009</v>
      </c>
      <c r="G6" s="28" t="str">
        <f>FinalPayment!G4</f>
        <v>AGWSR</v>
      </c>
      <c r="H6" s="85">
        <f>SUMPRODUCT(SUMIFS(RawTransportationData!$D:$D,RawTransportationData!$A:$A,Compare!$H$2,RawTransportationData!$B:$B,Compare!$D6:$F6))</f>
        <v>646.40000000000009</v>
      </c>
      <c r="I6" s="86">
        <f>SUMPRODUCT(SUMIFS(RawTransportationData!$G:$G,RawTransportationData!$A:$A,Compare!$H$2,RawTransportationData!$B:$B,Compare!$D6:$F6))</f>
        <v>406587.94</v>
      </c>
      <c r="J6" s="32">
        <f t="shared" ref="J6:J69" si="7">I6/H6</f>
        <v>629.00362004950489</v>
      </c>
      <c r="K6" s="32">
        <f>SUMPRODUCT(SUMIFS(RawTransportationData!$H:$H,RawTransportationData!$A:$A,Compare!$E$1,RawTransportationData!$B:$B,Compare!$D6:$F6))</f>
        <v>182394</v>
      </c>
      <c r="L6" s="32">
        <f t="shared" si="0"/>
        <v>224193.94</v>
      </c>
      <c r="M6" s="70">
        <f t="shared" si="1"/>
        <v>0.12164590903797509</v>
      </c>
      <c r="N6" s="70">
        <f t="shared" si="2"/>
        <v>-0.13238126179245513</v>
      </c>
      <c r="O6" s="45"/>
      <c r="P6" s="85">
        <f>SUMPRODUCT(SUMIFS(RawTransportationData!$D:$D,RawTransportationData!$A:$A,Compare!$P$2,RawTransportationData!$B:$B,Compare!$D6:$F6))</f>
        <v>626.09999999999991</v>
      </c>
      <c r="Q6" s="86">
        <f>SUMPRODUCT(SUMIFS(RawTransportationData!$G:$G,RawTransportationData!$A:$A,Compare!$P$2,RawTransportationData!$B:$B,Compare!$D6:$F6))</f>
        <v>372362.68</v>
      </c>
      <c r="R6" s="32">
        <f t="shared" si="3"/>
        <v>594.73355693978601</v>
      </c>
      <c r="S6" s="32">
        <f>SUMPRODUCT(SUMIFS(RawTransportationData!$H:$H,RawTransportationData!$A:$A,Compare!$P$1,RawTransportationData!$B:$B,Compare!$D6:$F6))</f>
        <v>133774</v>
      </c>
      <c r="T6" s="32">
        <f t="shared" si="4"/>
        <v>238588.68</v>
      </c>
      <c r="U6" s="45"/>
      <c r="V6" s="85">
        <f>SUMPRODUCT(SUMIFS(RawTransportationData!$D:$D,RawTransportationData!$A:$A,Compare!$V$2,RawTransportationData!$B:$B,Compare!$D6:$F6))</f>
        <v>622.5</v>
      </c>
      <c r="W6" s="86">
        <f>SUMPRODUCT(SUMIFS(RawTransportationData!$G:$G,RawTransportationData!$A:$A,Compare!$V$2,RawTransportationData!$B:$B,Compare!$D6:$F6))</f>
        <v>349089.45</v>
      </c>
      <c r="X6" s="32">
        <f t="shared" si="5"/>
        <v>560.78626506024102</v>
      </c>
      <c r="Y6" s="32">
        <f>SUMPRODUCT(SUMIFS(RawTransportationData!$H:$H,RawTransportationData!$A:$A,Compare!$V$1,RawTransportationData!$B:$B,Compare!$D6:$F6))</f>
        <v>90688</v>
      </c>
      <c r="Z6" s="32">
        <f t="shared" si="6"/>
        <v>258401.45</v>
      </c>
    </row>
    <row r="7" spans="1:26" x14ac:dyDescent="0.55000000000000004">
      <c r="A7">
        <f>FinalPayment!A5</f>
        <v>2021</v>
      </c>
      <c r="B7" t="str">
        <f>FinalPayment!B5</f>
        <v>13</v>
      </c>
      <c r="C7" t="str">
        <f>FinalPayment!C5</f>
        <v>0441</v>
      </c>
      <c r="D7" t="str">
        <f>FinalPayment!D5</f>
        <v/>
      </c>
      <c r="E7" t="str">
        <f>FinalPayment!E5</f>
        <v/>
      </c>
      <c r="F7" t="str">
        <f>FinalPayment!F5</f>
        <v>0441</v>
      </c>
      <c r="G7" s="28" t="str">
        <f>FinalPayment!G5</f>
        <v>AHSTW</v>
      </c>
      <c r="H7" s="85">
        <f>SUMPRODUCT(SUMIFS(RawTransportationData!$D:$D,RawTransportationData!$A:$A,Compare!$H$2,RawTransportationData!$B:$B,Compare!$D7:$F7))</f>
        <v>784.6</v>
      </c>
      <c r="I7" s="86">
        <f>SUMPRODUCT(SUMIFS(RawTransportationData!$G:$G,RawTransportationData!$A:$A,Compare!$H$2,RawTransportationData!$B:$B,Compare!$D7:$F7))</f>
        <v>367115.26</v>
      </c>
      <c r="J7" s="32">
        <f t="shared" si="7"/>
        <v>467.90117257201121</v>
      </c>
      <c r="K7" s="32">
        <f>SUMPRODUCT(SUMIFS(RawTransportationData!$H:$H,RawTransportationData!$A:$A,Compare!$E$1,RawTransportationData!$B:$B,Compare!$D7:$F7))</f>
        <v>94990</v>
      </c>
      <c r="L7" s="32">
        <f t="shared" si="0"/>
        <v>272125.26</v>
      </c>
      <c r="M7" s="70">
        <f t="shared" si="1"/>
        <v>7.8824766683824474E-2</v>
      </c>
      <c r="N7" s="70">
        <f t="shared" si="2"/>
        <v>-0.15782453682095923</v>
      </c>
      <c r="O7" s="45"/>
      <c r="P7" s="85">
        <f>SUMPRODUCT(SUMIFS(RawTransportationData!$D:$D,RawTransportationData!$A:$A,Compare!$P$2,RawTransportationData!$B:$B,Compare!$D7:$F7))</f>
        <v>791.7</v>
      </c>
      <c r="Q7" s="86">
        <f>SUMPRODUCT(SUMIFS(RawTransportationData!$G:$G,RawTransportationData!$A:$A,Compare!$P$2,RawTransportationData!$B:$B,Compare!$D7:$F7))</f>
        <v>419976.06</v>
      </c>
      <c r="R7" s="32">
        <f t="shared" si="3"/>
        <v>530.47374005305039</v>
      </c>
      <c r="S7" s="32">
        <f>SUMPRODUCT(SUMIFS(RawTransportationData!$H:$H,RawTransportationData!$A:$A,Compare!$P$1,RawTransportationData!$B:$B,Compare!$D7:$F7))</f>
        <v>118282</v>
      </c>
      <c r="T7" s="32">
        <f t="shared" si="4"/>
        <v>301694.06</v>
      </c>
      <c r="U7" s="45"/>
      <c r="V7" s="85">
        <f>SUMPRODUCT(SUMIFS(RawTransportationData!$D:$D,RawTransportationData!$A:$A,Compare!$V$2,RawTransportationData!$B:$B,Compare!$D7:$F7))</f>
        <v>778.4</v>
      </c>
      <c r="W7" s="86">
        <f>SUMPRODUCT(SUMIFS(RawTransportationData!$G:$G,RawTransportationData!$A:$A,Compare!$V$2,RawTransportationData!$B:$B,Compare!$D7:$F7))</f>
        <v>337602.81</v>
      </c>
      <c r="X7" s="32">
        <f t="shared" si="5"/>
        <v>433.71378468653648</v>
      </c>
      <c r="Y7" s="32">
        <f>SUMPRODUCT(SUMIFS(RawTransportationData!$H:$H,RawTransportationData!$A:$A,Compare!$V$1,RawTransportationData!$B:$B,Compare!$D7:$F7))</f>
        <v>14481</v>
      </c>
      <c r="Z7" s="32">
        <f t="shared" si="6"/>
        <v>323121.81</v>
      </c>
    </row>
    <row r="8" spans="1:26" x14ac:dyDescent="0.55000000000000004">
      <c r="A8">
        <f>FinalPayment!A6</f>
        <v>2021</v>
      </c>
      <c r="B8" t="str">
        <f>FinalPayment!B6</f>
        <v>12</v>
      </c>
      <c r="C8" t="str">
        <f>FinalPayment!C6</f>
        <v>0063</v>
      </c>
      <c r="D8" t="str">
        <f>FinalPayment!D6</f>
        <v/>
      </c>
      <c r="E8" t="str">
        <f>FinalPayment!E6</f>
        <v/>
      </c>
      <c r="F8" t="str">
        <f>FinalPayment!F6</f>
        <v>0063</v>
      </c>
      <c r="G8" s="28" t="str">
        <f>FinalPayment!G6</f>
        <v>Akron-Westfield</v>
      </c>
      <c r="H8" s="85">
        <f>SUMPRODUCT(SUMIFS(RawTransportationData!$D:$D,RawTransportationData!$A:$A,Compare!$H$2,RawTransportationData!$B:$B,Compare!$D8:$F8))</f>
        <v>563.29999999999995</v>
      </c>
      <c r="I8" s="86">
        <f>SUMPRODUCT(SUMIFS(RawTransportationData!$G:$G,RawTransportationData!$A:$A,Compare!$H$2,RawTransportationData!$B:$B,Compare!$D8:$F8))</f>
        <v>349305.36000000004</v>
      </c>
      <c r="J8" s="32">
        <f t="shared" si="7"/>
        <v>620.10537901651003</v>
      </c>
      <c r="K8" s="32">
        <f>SUMPRODUCT(SUMIFS(RawTransportationData!$H:$H,RawTransportationData!$A:$A,Compare!$E$1,RawTransportationData!$B:$B,Compare!$D8:$F8))</f>
        <v>153938</v>
      </c>
      <c r="L8" s="32">
        <f t="shared" si="0"/>
        <v>195367.36000000004</v>
      </c>
      <c r="M8" s="70">
        <f t="shared" si="1"/>
        <v>-2.7188825508929104E-2</v>
      </c>
      <c r="N8" s="70">
        <f t="shared" si="2"/>
        <v>-9.5605096139954021E-2</v>
      </c>
      <c r="O8" s="45"/>
      <c r="P8" s="85">
        <f>SUMPRODUCT(SUMIFS(RawTransportationData!$D:$D,RawTransportationData!$A:$A,Compare!$P$2,RawTransportationData!$B:$B,Compare!$D8:$F8))</f>
        <v>544.70000000000005</v>
      </c>
      <c r="Q8" s="86">
        <f>SUMPRODUCT(SUMIFS(RawTransportationData!$G:$G,RawTransportationData!$A:$A,Compare!$P$2,RawTransportationData!$B:$B,Compare!$D8:$F8))</f>
        <v>319142.60000000003</v>
      </c>
      <c r="R8" s="32">
        <f t="shared" si="3"/>
        <v>585.90526895538835</v>
      </c>
      <c r="S8" s="32">
        <f>SUMPRODUCT(SUMIFS(RawTransportationData!$H:$H,RawTransportationData!$A:$A,Compare!$P$1,RawTransportationData!$B:$B,Compare!$D8:$F8))</f>
        <v>111578</v>
      </c>
      <c r="T8" s="32">
        <f t="shared" si="4"/>
        <v>207564.60000000003</v>
      </c>
      <c r="U8" s="45"/>
      <c r="V8" s="85">
        <f>SUMPRODUCT(SUMIFS(RawTransportationData!$D:$D,RawTransportationData!$A:$A,Compare!$V$2,RawTransportationData!$B:$B,Compare!$D8:$F8))</f>
        <v>520.4</v>
      </c>
      <c r="W8" s="86">
        <f>SUMPRODUCT(SUMIFS(RawTransportationData!$G:$G,RawTransportationData!$A:$A,Compare!$V$2,RawTransportationData!$B:$B,Compare!$D8:$F8))</f>
        <v>331721.97000000003</v>
      </c>
      <c r="X8" s="32">
        <f t="shared" si="5"/>
        <v>637.43652959262113</v>
      </c>
      <c r="Y8" s="32">
        <f>SUMPRODUCT(SUMIFS(RawTransportationData!$H:$H,RawTransportationData!$A:$A,Compare!$V$1,RawTransportationData!$B:$B,Compare!$D8:$F8))</f>
        <v>115702</v>
      </c>
      <c r="Z8" s="32">
        <f t="shared" si="6"/>
        <v>216019.97000000003</v>
      </c>
    </row>
    <row r="9" spans="1:26" x14ac:dyDescent="0.55000000000000004">
      <c r="A9">
        <f>FinalPayment!A7</f>
        <v>2021</v>
      </c>
      <c r="B9" t="str">
        <f>FinalPayment!B7</f>
        <v>05</v>
      </c>
      <c r="C9" t="str">
        <f>FinalPayment!C7</f>
        <v>0072</v>
      </c>
      <c r="D9" t="str">
        <f>FinalPayment!D7</f>
        <v/>
      </c>
      <c r="E9" t="str">
        <f>FinalPayment!E7</f>
        <v/>
      </c>
      <c r="F9" t="str">
        <f>FinalPayment!F7</f>
        <v>0072</v>
      </c>
      <c r="G9" s="28" t="str">
        <f>FinalPayment!G7</f>
        <v>Albert City-Truesdale</v>
      </c>
      <c r="H9" s="85">
        <f>SUMPRODUCT(SUMIFS(RawTransportationData!$D:$D,RawTransportationData!$A:$A,Compare!$H$2,RawTransportationData!$B:$B,Compare!$D9:$F9))</f>
        <v>202.2</v>
      </c>
      <c r="I9" s="86">
        <f>SUMPRODUCT(SUMIFS(RawTransportationData!$G:$G,RawTransportationData!$A:$A,Compare!$H$2,RawTransportationData!$B:$B,Compare!$D9:$F9))</f>
        <v>184165.47</v>
      </c>
      <c r="J9" s="32">
        <f t="shared" si="7"/>
        <v>910.8084569732938</v>
      </c>
      <c r="K9" s="32">
        <f>SUMPRODUCT(SUMIFS(RawTransportationData!$H:$H,RawTransportationData!$A:$A,Compare!$E$1,RawTransportationData!$B:$B,Compare!$D9:$F9))</f>
        <v>114037</v>
      </c>
      <c r="L9" s="32">
        <f t="shared" si="0"/>
        <v>70128.47</v>
      </c>
      <c r="M9" s="70">
        <f t="shared" si="1"/>
        <v>0.13408904712528433</v>
      </c>
      <c r="N9" s="70">
        <f t="shared" si="2"/>
        <v>-0.16859925420078153</v>
      </c>
      <c r="O9" s="45"/>
      <c r="P9" s="85">
        <f>SUMPRODUCT(SUMIFS(RawTransportationData!$D:$D,RawTransportationData!$A:$A,Compare!$P$2,RawTransportationData!$B:$B,Compare!$D9:$F9))</f>
        <v>214.2</v>
      </c>
      <c r="Q9" s="86">
        <f>SUMPRODUCT(SUMIFS(RawTransportationData!$G:$G,RawTransportationData!$A:$A,Compare!$P$2,RawTransportationData!$B:$B,Compare!$D9:$F9))</f>
        <v>183432.04</v>
      </c>
      <c r="R9" s="32">
        <f t="shared" si="3"/>
        <v>856.35873015873028</v>
      </c>
      <c r="S9" s="32">
        <f>SUMPRODUCT(SUMIFS(RawTransportationData!$H:$H,RawTransportationData!$A:$A,Compare!$P$1,RawTransportationData!$B:$B,Compare!$D9:$F9))</f>
        <v>101808</v>
      </c>
      <c r="T9" s="32">
        <f t="shared" si="4"/>
        <v>81624.040000000008</v>
      </c>
      <c r="U9" s="45"/>
      <c r="V9" s="85">
        <f>SUMPRODUCT(SUMIFS(RawTransportationData!$D:$D,RawTransportationData!$A:$A,Compare!$V$2,RawTransportationData!$B:$B,Compare!$D9:$F9))</f>
        <v>203.2</v>
      </c>
      <c r="W9" s="86">
        <f>SUMPRODUCT(SUMIFS(RawTransportationData!$G:$G,RawTransportationData!$A:$A,Compare!$V$2,RawTransportationData!$B:$B,Compare!$D9:$F9))</f>
        <v>163193.78</v>
      </c>
      <c r="X9" s="32">
        <f t="shared" si="5"/>
        <v>803.11899606299221</v>
      </c>
      <c r="Y9" s="32">
        <f>SUMPRODUCT(SUMIFS(RawTransportationData!$H:$H,RawTransportationData!$A:$A,Compare!$V$1,RawTransportationData!$B:$B,Compare!$D9:$F9))</f>
        <v>78844</v>
      </c>
      <c r="Z9" s="32">
        <f t="shared" si="6"/>
        <v>84349.78</v>
      </c>
    </row>
    <row r="10" spans="1:26" x14ac:dyDescent="0.55000000000000004">
      <c r="A10">
        <f>FinalPayment!A8</f>
        <v>2021</v>
      </c>
      <c r="B10" t="str">
        <f>FinalPayment!B8</f>
        <v>15</v>
      </c>
      <c r="C10" t="str">
        <f>FinalPayment!C8</f>
        <v>0081</v>
      </c>
      <c r="D10" t="str">
        <f>FinalPayment!D8</f>
        <v/>
      </c>
      <c r="E10" t="str">
        <f>FinalPayment!E8</f>
        <v/>
      </c>
      <c r="F10" t="str">
        <f>FinalPayment!F8</f>
        <v>0081</v>
      </c>
      <c r="G10" s="28" t="str">
        <f>FinalPayment!G8</f>
        <v>Albia</v>
      </c>
      <c r="H10" s="85">
        <f>SUMPRODUCT(SUMIFS(RawTransportationData!$D:$D,RawTransportationData!$A:$A,Compare!$H$2,RawTransportationData!$B:$B,Compare!$D10:$F10))</f>
        <v>1163.4000000000001</v>
      </c>
      <c r="I10" s="86">
        <f>SUMPRODUCT(SUMIFS(RawTransportationData!$G:$G,RawTransportationData!$A:$A,Compare!$H$2,RawTransportationData!$B:$B,Compare!$D10:$F10))</f>
        <v>433834.76</v>
      </c>
      <c r="J10" s="32">
        <f t="shared" si="7"/>
        <v>372.90249269382844</v>
      </c>
      <c r="K10" s="32">
        <f>SUMPRODUCT(SUMIFS(RawTransportationData!$H:$H,RawTransportationData!$A:$A,Compare!$E$1,RawTransportationData!$B:$B,Compare!$D10:$F10))</f>
        <v>30328</v>
      </c>
      <c r="L10" s="32">
        <f t="shared" si="0"/>
        <v>403506.76</v>
      </c>
      <c r="M10" s="70">
        <f t="shared" si="1"/>
        <v>0.18527578528198649</v>
      </c>
      <c r="N10" s="70">
        <f t="shared" si="2"/>
        <v>5.490366564124436E-2</v>
      </c>
      <c r="O10" s="45"/>
      <c r="P10" s="85">
        <f>SUMPRODUCT(SUMIFS(RawTransportationData!$D:$D,RawTransportationData!$A:$A,Compare!$P$2,RawTransportationData!$B:$B,Compare!$D10:$F10))</f>
        <v>1182.8</v>
      </c>
      <c r="Q10" s="86">
        <f>SUMPRODUCT(SUMIFS(RawTransportationData!$G:$G,RawTransportationData!$A:$A,Compare!$P$2,RawTransportationData!$B:$B,Compare!$D10:$F10))</f>
        <v>394763.81</v>
      </c>
      <c r="R10" s="32">
        <f t="shared" si="3"/>
        <v>333.75364389584041</v>
      </c>
      <c r="S10" s="32">
        <f>SUMPRODUCT(SUMIFS(RawTransportationData!$H:$H,RawTransportationData!$A:$A,Compare!$P$1,RawTransportationData!$B:$B,Compare!$D10:$F10))</f>
        <v>0</v>
      </c>
      <c r="T10" s="32">
        <f t="shared" si="4"/>
        <v>394763.81</v>
      </c>
      <c r="U10" s="45"/>
      <c r="V10" s="85">
        <f>SUMPRODUCT(SUMIFS(RawTransportationData!$D:$D,RawTransportationData!$A:$A,Compare!$V$2,RawTransportationData!$B:$B,Compare!$D10:$F10))</f>
        <v>1215.8</v>
      </c>
      <c r="W10" s="86">
        <f>SUMPRODUCT(SUMIFS(RawTransportationData!$G:$G,RawTransportationData!$A:$A,Compare!$V$2,RawTransportationData!$B:$B,Compare!$D10:$F10))</f>
        <v>382505.79</v>
      </c>
      <c r="X10" s="32">
        <f t="shared" si="5"/>
        <v>314.61242803092614</v>
      </c>
      <c r="Y10" s="32">
        <f>SUMPRODUCT(SUMIFS(RawTransportationData!$H:$H,RawTransportationData!$A:$A,Compare!$V$1,RawTransportationData!$B:$B,Compare!$D10:$F10))</f>
        <v>0</v>
      </c>
      <c r="Z10" s="32">
        <f t="shared" si="6"/>
        <v>382505.79</v>
      </c>
    </row>
    <row r="11" spans="1:26" x14ac:dyDescent="0.55000000000000004">
      <c r="A11">
        <f>FinalPayment!A9</f>
        <v>2021</v>
      </c>
      <c r="B11" t="str">
        <f>FinalPayment!B9</f>
        <v>10</v>
      </c>
      <c r="C11" t="str">
        <f>FinalPayment!C9</f>
        <v>0099</v>
      </c>
      <c r="D11" t="str">
        <f>FinalPayment!D9</f>
        <v/>
      </c>
      <c r="E11" t="str">
        <f>FinalPayment!E9</f>
        <v/>
      </c>
      <c r="F11" t="str">
        <f>FinalPayment!F9</f>
        <v>0099</v>
      </c>
      <c r="G11" s="28" t="str">
        <f>FinalPayment!G9</f>
        <v>Alburnett</v>
      </c>
      <c r="H11" s="85">
        <f>SUMPRODUCT(SUMIFS(RawTransportationData!$D:$D,RawTransportationData!$A:$A,Compare!$H$2,RawTransportationData!$B:$B,Compare!$D11:$F11))</f>
        <v>514.20000000000005</v>
      </c>
      <c r="I11" s="86">
        <f>SUMPRODUCT(SUMIFS(RawTransportationData!$G:$G,RawTransportationData!$A:$A,Compare!$H$2,RawTransportationData!$B:$B,Compare!$D11:$F11))</f>
        <v>324479.28000000003</v>
      </c>
      <c r="J11" s="32">
        <f t="shared" si="7"/>
        <v>631.03710618436401</v>
      </c>
      <c r="K11" s="32">
        <f>SUMPRODUCT(SUMIFS(RawTransportationData!$H:$H,RawTransportationData!$A:$A,Compare!$E$1,RawTransportationData!$B:$B,Compare!$D11:$F11))</f>
        <v>146140</v>
      </c>
      <c r="L11" s="32">
        <f t="shared" si="0"/>
        <v>178339.28000000003</v>
      </c>
      <c r="M11" s="70">
        <f t="shared" si="1"/>
        <v>0.21427875829475923</v>
      </c>
      <c r="N11" s="70">
        <f t="shared" si="2"/>
        <v>-0.16626646453899641</v>
      </c>
      <c r="O11" s="45"/>
      <c r="P11" s="85">
        <f>SUMPRODUCT(SUMIFS(RawTransportationData!$D:$D,RawTransportationData!$A:$A,Compare!$P$2,RawTransportationData!$B:$B,Compare!$D11:$F11))</f>
        <v>525.29999999999995</v>
      </c>
      <c r="Q11" s="86">
        <f>SUMPRODUCT(SUMIFS(RawTransportationData!$G:$G,RawTransportationData!$A:$A,Compare!$P$2,RawTransportationData!$B:$B,Compare!$D11:$F11))</f>
        <v>280431.65000000002</v>
      </c>
      <c r="R11" s="32">
        <f t="shared" si="3"/>
        <v>533.85046640015241</v>
      </c>
      <c r="S11" s="32">
        <f>SUMPRODUCT(SUMIFS(RawTransportationData!$H:$H,RawTransportationData!$A:$A,Compare!$P$1,RawTransportationData!$B:$B,Compare!$D11:$F11))</f>
        <v>80256</v>
      </c>
      <c r="T11" s="32">
        <f t="shared" si="4"/>
        <v>200175.65000000002</v>
      </c>
      <c r="U11" s="45"/>
      <c r="V11" s="85">
        <f>SUMPRODUCT(SUMIFS(RawTransportationData!$D:$D,RawTransportationData!$A:$A,Compare!$V$2,RawTransportationData!$B:$B,Compare!$D11:$F11))</f>
        <v>515.29999999999995</v>
      </c>
      <c r="W11" s="86">
        <f>SUMPRODUCT(SUMIFS(RawTransportationData!$G:$G,RawTransportationData!$A:$A,Compare!$V$2,RawTransportationData!$B:$B,Compare!$D11:$F11))</f>
        <v>267791.40999999997</v>
      </c>
      <c r="X11" s="32">
        <f t="shared" si="5"/>
        <v>519.68059382883757</v>
      </c>
      <c r="Y11" s="32">
        <f>SUMPRODUCT(SUMIFS(RawTransportationData!$H:$H,RawTransportationData!$A:$A,Compare!$V$1,RawTransportationData!$B:$B,Compare!$D11:$F11))</f>
        <v>53887</v>
      </c>
      <c r="Z11" s="32">
        <f t="shared" si="6"/>
        <v>213904.40999999997</v>
      </c>
    </row>
    <row r="12" spans="1:26" x14ac:dyDescent="0.55000000000000004">
      <c r="A12">
        <f>FinalPayment!A10</f>
        <v>2021</v>
      </c>
      <c r="B12" t="str">
        <f>FinalPayment!B10</f>
        <v>07</v>
      </c>
      <c r="C12" t="str">
        <f>FinalPayment!C10</f>
        <v>0108</v>
      </c>
      <c r="D12" t="str">
        <f>FinalPayment!D10</f>
        <v/>
      </c>
      <c r="E12" t="str">
        <f>FinalPayment!E10</f>
        <v/>
      </c>
      <c r="F12" t="str">
        <f>FinalPayment!F10</f>
        <v>0108</v>
      </c>
      <c r="G12" s="28" t="str">
        <f>FinalPayment!G10</f>
        <v>Alden</v>
      </c>
      <c r="H12" s="85">
        <f>SUMPRODUCT(SUMIFS(RawTransportationData!$D:$D,RawTransportationData!$A:$A,Compare!$H$2,RawTransportationData!$B:$B,Compare!$D12:$F12))</f>
        <v>274.2</v>
      </c>
      <c r="I12" s="86">
        <f>SUMPRODUCT(SUMIFS(RawTransportationData!$G:$G,RawTransportationData!$A:$A,Compare!$H$2,RawTransportationData!$B:$B,Compare!$D12:$F12))</f>
        <v>139211.82999999999</v>
      </c>
      <c r="J12" s="32">
        <f t="shared" si="7"/>
        <v>507.70178701677605</v>
      </c>
      <c r="K12" s="32">
        <f>SUMPRODUCT(SUMIFS(RawTransportationData!$H:$H,RawTransportationData!$A:$A,Compare!$E$1,RawTransportationData!$B:$B,Compare!$D12:$F12))</f>
        <v>44110</v>
      </c>
      <c r="L12" s="32">
        <f t="shared" si="0"/>
        <v>95101.829999999987</v>
      </c>
      <c r="M12" s="70">
        <f t="shared" si="1"/>
        <v>-3.9592207895352685E-2</v>
      </c>
      <c r="N12" s="70">
        <f t="shared" si="2"/>
        <v>-0.18613963418579091</v>
      </c>
      <c r="O12" s="45"/>
      <c r="P12" s="85">
        <f>SUMPRODUCT(SUMIFS(RawTransportationData!$D:$D,RawTransportationData!$A:$A,Compare!$P$2,RawTransportationData!$B:$B,Compare!$D12:$F12))</f>
        <v>268.7</v>
      </c>
      <c r="Q12" s="86">
        <f>SUMPRODUCT(SUMIFS(RawTransportationData!$G:$G,RawTransportationData!$A:$A,Compare!$P$2,RawTransportationData!$B:$B,Compare!$D12:$F12))</f>
        <v>143055.13</v>
      </c>
      <c r="R12" s="32">
        <f t="shared" si="3"/>
        <v>532.39720878302944</v>
      </c>
      <c r="S12" s="32">
        <f>SUMPRODUCT(SUMIFS(RawTransportationData!$H:$H,RawTransportationData!$A:$A,Compare!$P$1,RawTransportationData!$B:$B,Compare!$D12:$F12))</f>
        <v>40663</v>
      </c>
      <c r="T12" s="32">
        <f t="shared" si="4"/>
        <v>102392.13</v>
      </c>
      <c r="U12" s="45"/>
      <c r="V12" s="85">
        <f>SUMPRODUCT(SUMIFS(RawTransportationData!$D:$D,RawTransportationData!$A:$A,Compare!$V$2,RawTransportationData!$B:$B,Compare!$D12:$F12))</f>
        <v>281.5</v>
      </c>
      <c r="W12" s="86">
        <f>SUMPRODUCT(SUMIFS(RawTransportationData!$G:$G,RawTransportationData!$A:$A,Compare!$V$2,RawTransportationData!$B:$B,Compare!$D12:$F12))</f>
        <v>148809.76</v>
      </c>
      <c r="X12" s="32">
        <f t="shared" si="5"/>
        <v>528.63147424511544</v>
      </c>
      <c r="Y12" s="32">
        <f>SUMPRODUCT(SUMIFS(RawTransportationData!$H:$H,RawTransportationData!$A:$A,Compare!$V$1,RawTransportationData!$B:$B,Compare!$D12:$F12))</f>
        <v>31957</v>
      </c>
      <c r="Z12" s="32">
        <f t="shared" si="6"/>
        <v>116852.76000000001</v>
      </c>
    </row>
    <row r="13" spans="1:26" x14ac:dyDescent="0.55000000000000004">
      <c r="A13">
        <f>FinalPayment!A11</f>
        <v>2021</v>
      </c>
      <c r="B13" t="str">
        <f>FinalPayment!B11</f>
        <v>05</v>
      </c>
      <c r="C13" t="str">
        <f>FinalPayment!C11</f>
        <v>0126</v>
      </c>
      <c r="D13" t="str">
        <f>FinalPayment!D11</f>
        <v>6417</v>
      </c>
      <c r="E13" t="str">
        <f>FinalPayment!E11</f>
        <v/>
      </c>
      <c r="F13" t="str">
        <f>FinalPayment!F11</f>
        <v>0126</v>
      </c>
      <c r="G13" s="28" t="str">
        <f>FinalPayment!G11</f>
        <v>Algona</v>
      </c>
      <c r="H13" s="85">
        <f>SUMPRODUCT(SUMIFS(RawTransportationData!$D:$D,RawTransportationData!$A:$A,Compare!$H$2,RawTransportationData!$B:$B,Compare!$D13:$F13))</f>
        <v>1279.8</v>
      </c>
      <c r="I13" s="86">
        <f>SUMPRODUCT(SUMIFS(RawTransportationData!$G:$G,RawTransportationData!$A:$A,Compare!$H$2,RawTransportationData!$B:$B,Compare!$D13:$F13))</f>
        <v>582849.97</v>
      </c>
      <c r="J13" s="32">
        <f t="shared" si="7"/>
        <v>455.42269885919677</v>
      </c>
      <c r="K13" s="32">
        <f>SUMPRODUCT(SUMIFS(RawTransportationData!$H:$H,RawTransportationData!$A:$A,Compare!$E$1,RawTransportationData!$B:$B,Compare!$D13:$F13))</f>
        <v>138972</v>
      </c>
      <c r="L13" s="32">
        <f t="shared" si="0"/>
        <v>443877.97</v>
      </c>
      <c r="M13" s="70">
        <f t="shared" si="1"/>
        <v>0.43028662484666358</v>
      </c>
      <c r="N13" s="70">
        <f t="shared" si="2"/>
        <v>6.252256237052474E-2</v>
      </c>
      <c r="O13" s="45"/>
      <c r="P13" s="85">
        <f>SUMPRODUCT(SUMIFS(RawTransportationData!$D:$D,RawTransportationData!$A:$A,Compare!$P$2,RawTransportationData!$B:$B,Compare!$D13:$F13))</f>
        <v>1302.4000000000001</v>
      </c>
      <c r="Q13" s="86">
        <f>SUMPRODUCT(SUMIFS(RawTransportationData!$G:$G,RawTransportationData!$A:$A,Compare!$P$2,RawTransportationData!$B:$B,Compare!$D13:$F13))</f>
        <v>498316.08</v>
      </c>
      <c r="R13" s="32">
        <f t="shared" si="3"/>
        <v>382.61369778869778</v>
      </c>
      <c r="S13" s="32">
        <f>SUMPRODUCT(SUMIFS(RawTransportationData!$H:$H,RawTransportationData!$A:$A,Compare!$P$1,RawTransportationData!$B:$B,Compare!$D13:$F13))</f>
        <v>2009</v>
      </c>
      <c r="T13" s="32">
        <f t="shared" si="4"/>
        <v>496307.08</v>
      </c>
      <c r="U13" s="45"/>
      <c r="V13" s="85">
        <f>SUMPRODUCT(SUMIFS(RawTransportationData!$D:$D,RawTransportationData!$A:$A,Compare!$V$2,RawTransportationData!$B:$B,Compare!$D13:$F13))</f>
        <v>1312</v>
      </c>
      <c r="W13" s="86">
        <f>SUMPRODUCT(SUMIFS(RawTransportationData!$G:$G,RawTransportationData!$A:$A,Compare!$V$2,RawTransportationData!$B:$B,Compare!$D13:$F13))</f>
        <v>417758.63</v>
      </c>
      <c r="X13" s="32">
        <f t="shared" si="5"/>
        <v>318.4135899390244</v>
      </c>
      <c r="Y13" s="32">
        <f>SUMPRODUCT(SUMIFS(RawTransportationData!$H:$H,RawTransportationData!$A:$A,Compare!$V$1,RawTransportationData!$B:$B,Compare!$D13:$F13))</f>
        <v>0</v>
      </c>
      <c r="Z13" s="32">
        <f t="shared" si="6"/>
        <v>417758.63</v>
      </c>
    </row>
    <row r="14" spans="1:26" x14ac:dyDescent="0.55000000000000004">
      <c r="A14">
        <f>FinalPayment!A12</f>
        <v>2021</v>
      </c>
      <c r="B14" t="str">
        <f>FinalPayment!B12</f>
        <v>01</v>
      </c>
      <c r="C14" t="str">
        <f>FinalPayment!C12</f>
        <v>0135</v>
      </c>
      <c r="D14" t="str">
        <f>FinalPayment!D12</f>
        <v/>
      </c>
      <c r="E14" t="str">
        <f>FinalPayment!E12</f>
        <v/>
      </c>
      <c r="F14" t="str">
        <f>FinalPayment!F12</f>
        <v>0135</v>
      </c>
      <c r="G14" s="28" t="str">
        <f>FinalPayment!G12</f>
        <v>Allamakee</v>
      </c>
      <c r="H14" s="85">
        <f>SUMPRODUCT(SUMIFS(RawTransportationData!$D:$D,RawTransportationData!$A:$A,Compare!$H$2,RawTransportationData!$B:$B,Compare!$D14:$F14))</f>
        <v>1092.3000000000002</v>
      </c>
      <c r="I14" s="86">
        <f>SUMPRODUCT(SUMIFS(RawTransportationData!$G:$G,RawTransportationData!$A:$A,Compare!$H$2,RawTransportationData!$B:$B,Compare!$D14:$F14))</f>
        <v>716625</v>
      </c>
      <c r="J14" s="32">
        <f t="shared" si="7"/>
        <v>656.06976105465526</v>
      </c>
      <c r="K14" s="32">
        <f>SUMPRODUCT(SUMIFS(RawTransportationData!$H:$H,RawTransportationData!$A:$A,Compare!$E$1,RawTransportationData!$B:$B,Compare!$D14:$F14))</f>
        <v>337781</v>
      </c>
      <c r="L14" s="32">
        <f t="shared" si="0"/>
        <v>378844</v>
      </c>
      <c r="M14" s="70">
        <f t="shared" si="1"/>
        <v>6.2881288123106213E-2</v>
      </c>
      <c r="N14" s="70">
        <f t="shared" si="2"/>
        <v>-0.17279799695381332</v>
      </c>
      <c r="O14" s="45"/>
      <c r="P14" s="85">
        <f>SUMPRODUCT(SUMIFS(RawTransportationData!$D:$D,RawTransportationData!$A:$A,Compare!$P$2,RawTransportationData!$B:$B,Compare!$D14:$F14))</f>
        <v>1092.6000000000001</v>
      </c>
      <c r="Q14" s="86">
        <f>SUMPRODUCT(SUMIFS(RawTransportationData!$G:$G,RawTransportationData!$A:$A,Compare!$P$2,RawTransportationData!$B:$B,Compare!$D14:$F14))</f>
        <v>740035.05</v>
      </c>
      <c r="R14" s="32">
        <f t="shared" si="3"/>
        <v>677.31562328390987</v>
      </c>
      <c r="S14" s="32">
        <f>SUMPRODUCT(SUMIFS(RawTransportationData!$H:$H,RawTransportationData!$A:$A,Compare!$P$1,RawTransportationData!$B:$B,Compare!$D14:$F14))</f>
        <v>323685</v>
      </c>
      <c r="T14" s="32">
        <f t="shared" si="4"/>
        <v>416350.05000000005</v>
      </c>
      <c r="U14" s="45"/>
      <c r="V14" s="85">
        <f>SUMPRODUCT(SUMIFS(RawTransportationData!$D:$D,RawTransportationData!$A:$A,Compare!$V$2,RawTransportationData!$B:$B,Compare!$D14:$F14))</f>
        <v>1103.3</v>
      </c>
      <c r="W14" s="86">
        <f>SUMPRODUCT(SUMIFS(RawTransportationData!$G:$G,RawTransportationData!$A:$A,Compare!$V$2,RawTransportationData!$B:$B,Compare!$D14:$F14))</f>
        <v>681018.45</v>
      </c>
      <c r="X14" s="32">
        <f t="shared" si="5"/>
        <v>617.25591407595391</v>
      </c>
      <c r="Y14" s="32">
        <f>SUMPRODUCT(SUMIFS(RawTransportationData!$H:$H,RawTransportationData!$A:$A,Compare!$V$1,RawTransportationData!$B:$B,Compare!$D14:$F14))</f>
        <v>223036</v>
      </c>
      <c r="Z14" s="32">
        <f t="shared" si="6"/>
        <v>457982.44999999995</v>
      </c>
    </row>
    <row r="15" spans="1:26" x14ac:dyDescent="0.55000000000000004">
      <c r="A15">
        <f>FinalPayment!A13</f>
        <v>2021</v>
      </c>
      <c r="B15" t="str">
        <f>FinalPayment!B13</f>
        <v>05</v>
      </c>
      <c r="C15" t="str">
        <f>FinalPayment!C13</f>
        <v>0171</v>
      </c>
      <c r="D15" t="str">
        <f>FinalPayment!D13</f>
        <v>0423</v>
      </c>
      <c r="E15" t="str">
        <f>FinalPayment!E13</f>
        <v/>
      </c>
      <c r="F15" t="str">
        <f>FinalPayment!F13</f>
        <v>0171</v>
      </c>
      <c r="G15" s="28" t="str">
        <f>FinalPayment!G13</f>
        <v>Alta-Aurelia</v>
      </c>
      <c r="H15" s="85">
        <f>SUMPRODUCT(SUMIFS(RawTransportationData!$D:$D,RawTransportationData!$A:$A,Compare!$H$2,RawTransportationData!$B:$B,Compare!$D15:$F15))</f>
        <v>812.9</v>
      </c>
      <c r="I15" s="86">
        <f>SUMPRODUCT(SUMIFS(RawTransportationData!$G:$G,RawTransportationData!$A:$A,Compare!$H$2,RawTransportationData!$B:$B,Compare!$D15:$F15))</f>
        <v>335358.53999999998</v>
      </c>
      <c r="J15" s="32">
        <f t="shared" si="7"/>
        <v>412.54587280108251</v>
      </c>
      <c r="K15" s="32">
        <f>SUMPRODUCT(SUMIFS(RawTransportationData!$H:$H,RawTransportationData!$A:$A,Compare!$E$1,RawTransportationData!$B:$B,Compare!$D15:$F15))</f>
        <v>53422</v>
      </c>
      <c r="L15" s="32">
        <f t="shared" si="0"/>
        <v>281936.53999999998</v>
      </c>
      <c r="M15" s="70">
        <f t="shared" si="1"/>
        <v>-0.18617236672426565</v>
      </c>
      <c r="N15" s="70">
        <f t="shared" si="2"/>
        <v>-9.9701017493393856E-2</v>
      </c>
      <c r="O15" s="45"/>
      <c r="P15" s="85">
        <f>SUMPRODUCT(SUMIFS(RawTransportationData!$D:$D,RawTransportationData!$A:$A,Compare!$P$2,RawTransportationData!$B:$B,Compare!$D15:$F15))</f>
        <v>775</v>
      </c>
      <c r="Q15" s="86">
        <f>SUMPRODUCT(SUMIFS(RawTransportationData!$G:$G,RawTransportationData!$A:$A,Compare!$P$2,RawTransportationData!$B:$B,Compare!$D15:$F15))</f>
        <v>369006.30999999994</v>
      </c>
      <c r="R15" s="32">
        <f t="shared" si="3"/>
        <v>476.13717419354833</v>
      </c>
      <c r="S15" s="32">
        <f>SUMPRODUCT(SUMIFS(RawTransportationData!$H:$H,RawTransportationData!$A:$A,Compare!$P$1,RawTransportationData!$B:$B,Compare!$D15:$F15))</f>
        <v>73676</v>
      </c>
      <c r="T15" s="32">
        <f t="shared" si="4"/>
        <v>295330.30999999994</v>
      </c>
      <c r="U15" s="45"/>
      <c r="V15" s="85">
        <f>SUMPRODUCT(SUMIFS(RawTransportationData!$D:$D,RawTransportationData!$A:$A,Compare!$V$2,RawTransportationData!$B:$B,Compare!$D15:$F15))</f>
        <v>754.4</v>
      </c>
      <c r="W15" s="86">
        <f>SUMPRODUCT(SUMIFS(RawTransportationData!$G:$G,RawTransportationData!$A:$A,Compare!$V$2,RawTransportationData!$B:$B,Compare!$D15:$F15))</f>
        <v>382420.79000000004</v>
      </c>
      <c r="X15" s="32">
        <f t="shared" si="5"/>
        <v>506.92045334040301</v>
      </c>
      <c r="Y15" s="32">
        <f>SUMPRODUCT(SUMIFS(RawTransportationData!$H:$H,RawTransportationData!$A:$A,Compare!$V$1,RawTransportationData!$B:$B,Compare!$D15:$F15))</f>
        <v>69262</v>
      </c>
      <c r="Z15" s="32">
        <f t="shared" si="6"/>
        <v>313158.79000000004</v>
      </c>
    </row>
    <row r="16" spans="1:26" x14ac:dyDescent="0.55000000000000004">
      <c r="A16">
        <f>FinalPayment!A14</f>
        <v>2021</v>
      </c>
      <c r="B16" t="str">
        <f>FinalPayment!B14</f>
        <v>11</v>
      </c>
      <c r="C16" t="str">
        <f>FinalPayment!C14</f>
        <v>0225</v>
      </c>
      <c r="D16" t="str">
        <f>FinalPayment!D14</f>
        <v/>
      </c>
      <c r="E16" t="str">
        <f>FinalPayment!E14</f>
        <v/>
      </c>
      <c r="F16" t="str">
        <f>FinalPayment!F14</f>
        <v>0225</v>
      </c>
      <c r="G16" s="28" t="str">
        <f>FinalPayment!G14</f>
        <v>Ames</v>
      </c>
      <c r="H16" s="85">
        <f>SUMPRODUCT(SUMIFS(RawTransportationData!$D:$D,RawTransportationData!$A:$A,Compare!$H$2,RawTransportationData!$B:$B,Compare!$D16:$F16))</f>
        <v>4387.3999999999996</v>
      </c>
      <c r="I16" s="86">
        <f>SUMPRODUCT(SUMIFS(RawTransportationData!$G:$G,RawTransportationData!$A:$A,Compare!$H$2,RawTransportationData!$B:$B,Compare!$D16:$F16))</f>
        <v>2377347.4500000002</v>
      </c>
      <c r="J16" s="32">
        <f t="shared" si="7"/>
        <v>541.85792268769671</v>
      </c>
      <c r="K16" s="32">
        <f>SUMPRODUCT(SUMIFS(RawTransportationData!$H:$H,RawTransportationData!$A:$A,Compare!$E$1,RawTransportationData!$B:$B,Compare!$D16:$F16))</f>
        <v>855668</v>
      </c>
      <c r="L16" s="32">
        <f t="shared" si="0"/>
        <v>1521679.4500000002</v>
      </c>
      <c r="M16" s="70">
        <f t="shared" si="1"/>
        <v>0.18817911162026826</v>
      </c>
      <c r="N16" s="70">
        <f t="shared" si="2"/>
        <v>-0.12470144852621068</v>
      </c>
      <c r="O16" s="45"/>
      <c r="P16" s="85">
        <f>SUMPRODUCT(SUMIFS(RawTransportationData!$D:$D,RawTransportationData!$A:$A,Compare!$P$2,RawTransportationData!$B:$B,Compare!$D16:$F16))</f>
        <v>4299.8</v>
      </c>
      <c r="Q16" s="86">
        <f>SUMPRODUCT(SUMIFS(RawTransportationData!$G:$G,RawTransportationData!$A:$A,Compare!$P$2,RawTransportationData!$B:$B,Compare!$D16:$F16))</f>
        <v>2022806.3099999998</v>
      </c>
      <c r="R16" s="32">
        <f t="shared" si="3"/>
        <v>470.44195311409828</v>
      </c>
      <c r="S16" s="32">
        <f>SUMPRODUCT(SUMIFS(RawTransportationData!$H:$H,RawTransportationData!$A:$A,Compare!$P$1,RawTransportationData!$B:$B,Compare!$D16:$F16))</f>
        <v>384283</v>
      </c>
      <c r="T16" s="32">
        <f t="shared" si="4"/>
        <v>1638523.3099999998</v>
      </c>
      <c r="U16" s="45"/>
      <c r="V16" s="85">
        <f>SUMPRODUCT(SUMIFS(RawTransportationData!$D:$D,RawTransportationData!$A:$A,Compare!$V$2,RawTransportationData!$B:$B,Compare!$D16:$F16))</f>
        <v>4188</v>
      </c>
      <c r="W16" s="86">
        <f>SUMPRODUCT(SUMIFS(RawTransportationData!$G:$G,RawTransportationData!$A:$A,Compare!$V$2,RawTransportationData!$B:$B,Compare!$D16:$F16))</f>
        <v>1909898.06</v>
      </c>
      <c r="X16" s="32">
        <f t="shared" si="5"/>
        <v>456.0406064947469</v>
      </c>
      <c r="Y16" s="32">
        <f>SUMPRODUCT(SUMIFS(RawTransportationData!$H:$H,RawTransportationData!$A:$A,Compare!$V$1,RawTransportationData!$B:$B,Compare!$D16:$F16))</f>
        <v>171429</v>
      </c>
      <c r="Z16" s="32">
        <f t="shared" si="6"/>
        <v>1738469.06</v>
      </c>
    </row>
    <row r="17" spans="1:26" x14ac:dyDescent="0.55000000000000004">
      <c r="A17">
        <f>FinalPayment!A15</f>
        <v>2021</v>
      </c>
      <c r="B17" t="str">
        <f>FinalPayment!B15</f>
        <v>10</v>
      </c>
      <c r="C17" t="str">
        <f>FinalPayment!C15</f>
        <v>0234</v>
      </c>
      <c r="D17" t="str">
        <f>FinalPayment!D15</f>
        <v/>
      </c>
      <c r="E17" t="str">
        <f>FinalPayment!E15</f>
        <v/>
      </c>
      <c r="F17" t="str">
        <f>FinalPayment!F15</f>
        <v>0234</v>
      </c>
      <c r="G17" s="28" t="str">
        <f>FinalPayment!G15</f>
        <v>Anamosa</v>
      </c>
      <c r="H17" s="85">
        <f>SUMPRODUCT(SUMIFS(RawTransportationData!$D:$D,RawTransportationData!$A:$A,Compare!$H$2,RawTransportationData!$B:$B,Compare!$D17:$F17))</f>
        <v>1266.8</v>
      </c>
      <c r="I17" s="86">
        <f>SUMPRODUCT(SUMIFS(RawTransportationData!$G:$G,RawTransportationData!$A:$A,Compare!$H$2,RawTransportationData!$B:$B,Compare!$D17:$F17))</f>
        <v>419976.46</v>
      </c>
      <c r="J17" s="32">
        <f t="shared" si="7"/>
        <v>331.5254657404484</v>
      </c>
      <c r="K17" s="32">
        <f>SUMPRODUCT(SUMIFS(RawTransportationData!$H:$H,RawTransportationData!$A:$A,Compare!$E$1,RawTransportationData!$B:$B,Compare!$D17:$F17))</f>
        <v>1037</v>
      </c>
      <c r="L17" s="32">
        <f t="shared" si="0"/>
        <v>418939.46</v>
      </c>
      <c r="M17" s="70">
        <f t="shared" si="1"/>
        <v>5.9369097381054323E-2</v>
      </c>
      <c r="N17" s="70">
        <f t="shared" si="2"/>
        <v>6.4314758526323457E-2</v>
      </c>
      <c r="O17" s="45"/>
      <c r="P17" s="85">
        <f>SUMPRODUCT(SUMIFS(RawTransportationData!$D:$D,RawTransportationData!$A:$A,Compare!$P$2,RawTransportationData!$B:$B,Compare!$D17:$F17))</f>
        <v>1278</v>
      </c>
      <c r="Q17" s="86">
        <f>SUMPRODUCT(SUMIFS(RawTransportationData!$G:$G,RawTransportationData!$A:$A,Compare!$P$2,RawTransportationData!$B:$B,Compare!$D17:$F17))</f>
        <v>412591.71</v>
      </c>
      <c r="R17" s="32">
        <f t="shared" si="3"/>
        <v>322.84171361502348</v>
      </c>
      <c r="S17" s="32">
        <f>SUMPRODUCT(SUMIFS(RawTransportationData!$H:$H,RawTransportationData!$A:$A,Compare!$P$1,RawTransportationData!$B:$B,Compare!$D17:$F17))</f>
        <v>0</v>
      </c>
      <c r="T17" s="32">
        <f t="shared" si="4"/>
        <v>412591.71</v>
      </c>
      <c r="U17" s="45"/>
      <c r="V17" s="85">
        <f>SUMPRODUCT(SUMIFS(RawTransportationData!$D:$D,RawTransportationData!$A:$A,Compare!$V$2,RawTransportationData!$B:$B,Compare!$D17:$F17))</f>
        <v>1257.8</v>
      </c>
      <c r="W17" s="86">
        <f>SUMPRODUCT(SUMIFS(RawTransportationData!$G:$G,RawTransportationData!$A:$A,Compare!$V$2,RawTransportationData!$B:$B,Compare!$D17:$F17))</f>
        <v>393623.64999999997</v>
      </c>
      <c r="X17" s="32">
        <f t="shared" si="5"/>
        <v>312.94613611066939</v>
      </c>
      <c r="Y17" s="32">
        <f>SUMPRODUCT(SUMIFS(RawTransportationData!$H:$H,RawTransportationData!$A:$A,Compare!$V$1,RawTransportationData!$B:$B,Compare!$D17:$F17))</f>
        <v>0</v>
      </c>
      <c r="Z17" s="32">
        <f t="shared" si="6"/>
        <v>393623.64999999997</v>
      </c>
    </row>
    <row r="18" spans="1:26" x14ac:dyDescent="0.55000000000000004">
      <c r="A18">
        <f>FinalPayment!A16</f>
        <v>2021</v>
      </c>
      <c r="B18" t="str">
        <f>FinalPayment!B16</f>
        <v>09</v>
      </c>
      <c r="C18" t="str">
        <f>FinalPayment!C16</f>
        <v>0243</v>
      </c>
      <c r="D18" t="str">
        <f>FinalPayment!D16</f>
        <v/>
      </c>
      <c r="E18" t="str">
        <f>FinalPayment!E16</f>
        <v/>
      </c>
      <c r="F18" t="str">
        <f>FinalPayment!F16</f>
        <v>0243</v>
      </c>
      <c r="G18" s="28" t="str">
        <f>FinalPayment!G16</f>
        <v>Andrew</v>
      </c>
      <c r="H18" s="85">
        <f>SUMPRODUCT(SUMIFS(RawTransportationData!$D:$D,RawTransportationData!$A:$A,Compare!$H$2,RawTransportationData!$B:$B,Compare!$D18:$F18))</f>
        <v>240.3</v>
      </c>
      <c r="I18" s="86">
        <f>SUMPRODUCT(SUMIFS(RawTransportationData!$G:$G,RawTransportationData!$A:$A,Compare!$H$2,RawTransportationData!$B:$B,Compare!$D18:$F18))</f>
        <v>153977.78</v>
      </c>
      <c r="J18" s="32">
        <f t="shared" si="7"/>
        <v>640.77311693716183</v>
      </c>
      <c r="K18" s="32">
        <f>SUMPRODUCT(SUMIFS(RawTransportationData!$H:$H,RawTransportationData!$A:$A,Compare!$E$1,RawTransportationData!$B:$B,Compare!$D18:$F18))</f>
        <v>70634</v>
      </c>
      <c r="L18" s="32">
        <f t="shared" si="0"/>
        <v>83343.78</v>
      </c>
      <c r="M18" s="70">
        <f t="shared" si="1"/>
        <v>-0.21193948223739928</v>
      </c>
      <c r="N18" s="70">
        <f t="shared" si="2"/>
        <v>-0.14307966941278638</v>
      </c>
      <c r="O18" s="45"/>
      <c r="P18" s="85">
        <f>SUMPRODUCT(SUMIFS(RawTransportationData!$D:$D,RawTransportationData!$A:$A,Compare!$P$2,RawTransportationData!$B:$B,Compare!$D18:$F18))</f>
        <v>238.3</v>
      </c>
      <c r="Q18" s="86">
        <f>SUMPRODUCT(SUMIFS(RawTransportationData!$G:$G,RawTransportationData!$A:$A,Compare!$P$2,RawTransportationData!$B:$B,Compare!$D18:$F18))</f>
        <v>175589.31</v>
      </c>
      <c r="R18" s="32">
        <f t="shared" si="3"/>
        <v>736.84141838019298</v>
      </c>
      <c r="S18" s="32">
        <f>SUMPRODUCT(SUMIFS(RawTransportationData!$H:$H,RawTransportationData!$A:$A,Compare!$P$1,RawTransportationData!$B:$B,Compare!$D18:$F18))</f>
        <v>84781</v>
      </c>
      <c r="T18" s="32">
        <f t="shared" si="4"/>
        <v>90808.31</v>
      </c>
      <c r="U18" s="45"/>
      <c r="V18" s="85">
        <f>SUMPRODUCT(SUMIFS(RawTransportationData!$D:$D,RawTransportationData!$A:$A,Compare!$V$2,RawTransportationData!$B:$B,Compare!$D18:$F18))</f>
        <v>234.3</v>
      </c>
      <c r="W18" s="86">
        <f>SUMPRODUCT(SUMIFS(RawTransportationData!$G:$G,RawTransportationData!$A:$A,Compare!$V$2,RawTransportationData!$B:$B,Compare!$D18:$F18))</f>
        <v>190509.66</v>
      </c>
      <c r="X18" s="32">
        <f t="shared" si="5"/>
        <v>813.10140845070418</v>
      </c>
      <c r="Y18" s="32">
        <f>SUMPRODUCT(SUMIFS(RawTransportationData!$H:$H,RawTransportationData!$A:$A,Compare!$V$1,RawTransportationData!$B:$B,Compare!$D18:$F18))</f>
        <v>93250</v>
      </c>
      <c r="Z18" s="32">
        <f t="shared" si="6"/>
        <v>97259.66</v>
      </c>
    </row>
    <row r="19" spans="1:26" x14ac:dyDescent="0.55000000000000004">
      <c r="A19">
        <f>FinalPayment!A17</f>
        <v>2021</v>
      </c>
      <c r="B19" t="str">
        <f>FinalPayment!B17</f>
        <v>11</v>
      </c>
      <c r="C19" t="str">
        <f>FinalPayment!C17</f>
        <v>0261</v>
      </c>
      <c r="D19" t="str">
        <f>FinalPayment!D17</f>
        <v/>
      </c>
      <c r="E19" t="str">
        <f>FinalPayment!E17</f>
        <v/>
      </c>
      <c r="F19" t="str">
        <f>FinalPayment!F17</f>
        <v>0261</v>
      </c>
      <c r="G19" s="28" t="str">
        <f>FinalPayment!G17</f>
        <v>Ankeny</v>
      </c>
      <c r="H19" s="85">
        <f>SUMPRODUCT(SUMIFS(RawTransportationData!$D:$D,RawTransportationData!$A:$A,Compare!$H$2,RawTransportationData!$B:$B,Compare!$D19:$F19))</f>
        <v>11976.6</v>
      </c>
      <c r="I19" s="86">
        <f>SUMPRODUCT(SUMIFS(RawTransportationData!$G:$G,RawTransportationData!$A:$A,Compare!$H$2,RawTransportationData!$B:$B,Compare!$D19:$F19))</f>
        <v>3235079.21</v>
      </c>
      <c r="J19" s="32">
        <f t="shared" si="7"/>
        <v>270.11666165689763</v>
      </c>
      <c r="K19" s="32">
        <f>SUMPRODUCT(SUMIFS(RawTransportationData!$H:$H,RawTransportationData!$A:$A,Compare!$E$1,RawTransportationData!$B:$B,Compare!$D19:$F19))</f>
        <v>9804</v>
      </c>
      <c r="L19" s="32">
        <f t="shared" si="0"/>
        <v>3225275.21</v>
      </c>
      <c r="M19" s="70">
        <f t="shared" si="1"/>
        <v>0.17254491019156259</v>
      </c>
      <c r="N19" s="70">
        <f t="shared" si="2"/>
        <v>0.25080793261639217</v>
      </c>
      <c r="O19" s="45"/>
      <c r="P19" s="85">
        <f>SUMPRODUCT(SUMIFS(RawTransportationData!$D:$D,RawTransportationData!$A:$A,Compare!$P$2,RawTransportationData!$B:$B,Compare!$D19:$F19))</f>
        <v>11548.300000000001</v>
      </c>
      <c r="Q19" s="86">
        <f>SUMPRODUCT(SUMIFS(RawTransportationData!$G:$G,RawTransportationData!$A:$A,Compare!$P$2,RawTransportationData!$B:$B,Compare!$D19:$F19))</f>
        <v>2706109.56</v>
      </c>
      <c r="R19" s="32">
        <f t="shared" si="3"/>
        <v>234.32969008425482</v>
      </c>
      <c r="S19" s="32">
        <f>SUMPRODUCT(SUMIFS(RawTransportationData!$H:$H,RawTransportationData!$A:$A,Compare!$P$1,RawTransportationData!$B:$B,Compare!$D19:$F19))</f>
        <v>0</v>
      </c>
      <c r="T19" s="32">
        <f t="shared" si="4"/>
        <v>2706109.56</v>
      </c>
      <c r="U19" s="45"/>
      <c r="V19" s="85">
        <f>SUMPRODUCT(SUMIFS(RawTransportationData!$D:$D,RawTransportationData!$A:$A,Compare!$V$2,RawTransportationData!$B:$B,Compare!$D19:$F19))</f>
        <v>11193.199999999999</v>
      </c>
      <c r="W19" s="86">
        <f>SUMPRODUCT(SUMIFS(RawTransportationData!$G:$G,RawTransportationData!$A:$A,Compare!$V$2,RawTransportationData!$B:$B,Compare!$D19:$F19))</f>
        <v>2578553.5299999998</v>
      </c>
      <c r="X19" s="32">
        <f t="shared" si="5"/>
        <v>230.36785995068433</v>
      </c>
      <c r="Y19" s="32">
        <f>SUMPRODUCT(SUMIFS(RawTransportationData!$H:$H,RawTransportationData!$A:$A,Compare!$V$1,RawTransportationData!$B:$B,Compare!$D19:$F19))</f>
        <v>0</v>
      </c>
      <c r="Z19" s="32">
        <f t="shared" si="6"/>
        <v>2578553.5299999998</v>
      </c>
    </row>
    <row r="20" spans="1:26" x14ac:dyDescent="0.55000000000000004">
      <c r="A20">
        <f>FinalPayment!A18</f>
        <v>2021</v>
      </c>
      <c r="B20" t="str">
        <f>FinalPayment!B18</f>
        <v>07</v>
      </c>
      <c r="C20" t="str">
        <f>FinalPayment!C18</f>
        <v>0279</v>
      </c>
      <c r="D20" t="str">
        <f>FinalPayment!D18</f>
        <v/>
      </c>
      <c r="E20" t="str">
        <f>FinalPayment!E18</f>
        <v/>
      </c>
      <c r="F20" t="str">
        <f>FinalPayment!F18</f>
        <v>0279</v>
      </c>
      <c r="G20" s="28" t="str">
        <f>FinalPayment!G18</f>
        <v>Aplington-Parkersburg</v>
      </c>
      <c r="H20" s="85">
        <f>SUMPRODUCT(SUMIFS(RawTransportationData!$D:$D,RawTransportationData!$A:$A,Compare!$H$2,RawTransportationData!$B:$B,Compare!$D20:$F20))</f>
        <v>803.3</v>
      </c>
      <c r="I20" s="86">
        <f>SUMPRODUCT(SUMIFS(RawTransportationData!$G:$G,RawTransportationData!$A:$A,Compare!$H$2,RawTransportationData!$B:$B,Compare!$D20:$F20))</f>
        <v>317788.23</v>
      </c>
      <c r="J20" s="32">
        <f t="shared" si="7"/>
        <v>395.60342337856343</v>
      </c>
      <c r="K20" s="32">
        <f>SUMPRODUCT(SUMIFS(RawTransportationData!$H:$H,RawTransportationData!$A:$A,Compare!$E$1,RawTransportationData!$B:$B,Compare!$D20:$F20))</f>
        <v>39176</v>
      </c>
      <c r="L20" s="32">
        <f t="shared" si="0"/>
        <v>278612.23</v>
      </c>
      <c r="M20" s="70">
        <f t="shared" si="1"/>
        <v>0.21806121795763478</v>
      </c>
      <c r="N20" s="70">
        <f t="shared" si="2"/>
        <v>1.2565914747727509E-2</v>
      </c>
      <c r="O20" s="45"/>
      <c r="P20" s="85">
        <f>SUMPRODUCT(SUMIFS(RawTransportationData!$D:$D,RawTransportationData!$A:$A,Compare!$P$2,RawTransportationData!$B:$B,Compare!$D20:$F20))</f>
        <v>824.5</v>
      </c>
      <c r="Q20" s="86">
        <f>SUMPRODUCT(SUMIFS(RawTransportationData!$G:$G,RawTransportationData!$A:$A,Compare!$P$2,RawTransportationData!$B:$B,Compare!$D20:$F20))</f>
        <v>294282.89</v>
      </c>
      <c r="R20" s="32">
        <f t="shared" si="3"/>
        <v>356.92285021224984</v>
      </c>
      <c r="S20" s="32">
        <f>SUMPRODUCT(SUMIFS(RawTransportationData!$H:$H,RawTransportationData!$A:$A,Compare!$P$1,RawTransportationData!$B:$B,Compare!$D20:$F20))</f>
        <v>0</v>
      </c>
      <c r="T20" s="32">
        <f t="shared" si="4"/>
        <v>294282.89</v>
      </c>
      <c r="U20" s="45"/>
      <c r="V20" s="85">
        <f>SUMPRODUCT(SUMIFS(RawTransportationData!$D:$D,RawTransportationData!$A:$A,Compare!$V$2,RawTransportationData!$B:$B,Compare!$D20:$F20))</f>
        <v>847.2</v>
      </c>
      <c r="W20" s="86">
        <f>SUMPRODUCT(SUMIFS(RawTransportationData!$G:$G,RawTransportationData!$A:$A,Compare!$V$2,RawTransportationData!$B:$B,Compare!$D20:$F20))</f>
        <v>275154.66000000003</v>
      </c>
      <c r="X20" s="32">
        <f t="shared" si="5"/>
        <v>324.78123229461761</v>
      </c>
      <c r="Y20" s="32">
        <f>SUMPRODUCT(SUMIFS(RawTransportationData!$H:$H,RawTransportationData!$A:$A,Compare!$V$1,RawTransportationData!$B:$B,Compare!$D20:$F20))</f>
        <v>0</v>
      </c>
      <c r="Z20" s="32">
        <f t="shared" si="6"/>
        <v>275154.66000000003</v>
      </c>
    </row>
    <row r="21" spans="1:26" x14ac:dyDescent="0.55000000000000004">
      <c r="A21">
        <f>FinalPayment!A19</f>
        <v>2021</v>
      </c>
      <c r="B21" t="str">
        <f>FinalPayment!B19</f>
        <v>12</v>
      </c>
      <c r="C21" t="str">
        <f>FinalPayment!C19</f>
        <v>0355</v>
      </c>
      <c r="D21" t="str">
        <f>FinalPayment!D19</f>
        <v/>
      </c>
      <c r="E21" t="str">
        <f>FinalPayment!E19</f>
        <v/>
      </c>
      <c r="F21" t="str">
        <f>FinalPayment!F19</f>
        <v>0355</v>
      </c>
      <c r="G21" s="28" t="str">
        <f>FinalPayment!G19</f>
        <v>Ar-We-Va</v>
      </c>
      <c r="H21" s="85">
        <f>SUMPRODUCT(SUMIFS(RawTransportationData!$D:$D,RawTransportationData!$A:$A,Compare!$H$2,RawTransportationData!$B:$B,Compare!$D21:$F21))</f>
        <v>278</v>
      </c>
      <c r="I21" s="86">
        <f>SUMPRODUCT(SUMIFS(RawTransportationData!$G:$G,RawTransportationData!$A:$A,Compare!$H$2,RawTransportationData!$B:$B,Compare!$D21:$F21))</f>
        <v>187721.67</v>
      </c>
      <c r="J21" s="32">
        <f t="shared" si="7"/>
        <v>675.25780575539568</v>
      </c>
      <c r="K21" s="32">
        <f>SUMPRODUCT(SUMIFS(RawTransportationData!$H:$H,RawTransportationData!$A:$A,Compare!$E$1,RawTransportationData!$B:$B,Compare!$D21:$F21))</f>
        <v>91304</v>
      </c>
      <c r="L21" s="32">
        <f t="shared" si="0"/>
        <v>96417.670000000013</v>
      </c>
      <c r="M21" s="70">
        <f t="shared" si="1"/>
        <v>0.30155476207418164</v>
      </c>
      <c r="N21" s="70">
        <f t="shared" si="2"/>
        <v>-0.18785833184664516</v>
      </c>
      <c r="O21" s="45"/>
      <c r="P21" s="85">
        <f>SUMPRODUCT(SUMIFS(RawTransportationData!$D:$D,RawTransportationData!$A:$A,Compare!$P$2,RawTransportationData!$B:$B,Compare!$D21:$F21))</f>
        <v>267</v>
      </c>
      <c r="Q21" s="86">
        <f>SUMPRODUCT(SUMIFS(RawTransportationData!$G:$G,RawTransportationData!$A:$A,Compare!$P$2,RawTransportationData!$B:$B,Compare!$D21:$F21))</f>
        <v>140671.91</v>
      </c>
      <c r="R21" s="32">
        <f t="shared" si="3"/>
        <v>526.86108614232216</v>
      </c>
      <c r="S21" s="32">
        <f>SUMPRODUCT(SUMIFS(RawTransportationData!$H:$H,RawTransportationData!$A:$A,Compare!$P$1,RawTransportationData!$B:$B,Compare!$D21:$F21))</f>
        <v>38927</v>
      </c>
      <c r="T21" s="32">
        <f t="shared" si="4"/>
        <v>101744.91</v>
      </c>
      <c r="U21" s="45"/>
      <c r="V21" s="85">
        <f>SUMPRODUCT(SUMIFS(RawTransportationData!$D:$D,RawTransportationData!$A:$A,Compare!$V$2,RawTransportationData!$B:$B,Compare!$D21:$F21))</f>
        <v>286</v>
      </c>
      <c r="W21" s="86">
        <f>SUMPRODUCT(SUMIFS(RawTransportationData!$G:$G,RawTransportationData!$A:$A,Compare!$V$2,RawTransportationData!$B:$B,Compare!$D21:$F21))</f>
        <v>148379.26</v>
      </c>
      <c r="X21" s="32">
        <f t="shared" si="5"/>
        <v>518.80860139860147</v>
      </c>
      <c r="Y21" s="32">
        <f>SUMPRODUCT(SUMIFS(RawTransportationData!$H:$H,RawTransportationData!$A:$A,Compare!$V$1,RawTransportationData!$B:$B,Compare!$D21:$F21))</f>
        <v>29659</v>
      </c>
      <c r="Z21" s="32">
        <f t="shared" si="6"/>
        <v>118720.26000000001</v>
      </c>
    </row>
    <row r="22" spans="1:26" x14ac:dyDescent="0.55000000000000004">
      <c r="A22">
        <f>FinalPayment!A20</f>
        <v>2021</v>
      </c>
      <c r="B22" t="str">
        <f>FinalPayment!B20</f>
        <v>13</v>
      </c>
      <c r="C22" t="str">
        <f>FinalPayment!C20</f>
        <v>0387</v>
      </c>
      <c r="D22" t="str">
        <f>FinalPayment!D20</f>
        <v/>
      </c>
      <c r="E22" t="str">
        <f>FinalPayment!E20</f>
        <v/>
      </c>
      <c r="F22" t="str">
        <f>FinalPayment!F20</f>
        <v>0387</v>
      </c>
      <c r="G22" s="28" t="str">
        <f>FinalPayment!G20</f>
        <v>Atlantic</v>
      </c>
      <c r="H22" s="85">
        <f>SUMPRODUCT(SUMIFS(RawTransportationData!$D:$D,RawTransportationData!$A:$A,Compare!$H$2,RawTransportationData!$B:$B,Compare!$D22:$F22))</f>
        <v>1328.8</v>
      </c>
      <c r="I22" s="86">
        <f>SUMPRODUCT(SUMIFS(RawTransportationData!$G:$G,RawTransportationData!$A:$A,Compare!$H$2,RawTransportationData!$B:$B,Compare!$D22:$F22))</f>
        <v>284789.26</v>
      </c>
      <c r="J22" s="32">
        <f t="shared" si="7"/>
        <v>214.32063515954246</v>
      </c>
      <c r="K22" s="32">
        <f>SUMPRODUCT(SUMIFS(RawTransportationData!$H:$H,RawTransportationData!$A:$A,Compare!$E$1,RawTransportationData!$B:$B,Compare!$D22:$F22))</f>
        <v>1088</v>
      </c>
      <c r="L22" s="32">
        <f t="shared" si="0"/>
        <v>283701.26</v>
      </c>
      <c r="M22" s="70">
        <f t="shared" si="1"/>
        <v>-0.11083675423264132</v>
      </c>
      <c r="N22" s="70">
        <f t="shared" si="2"/>
        <v>-0.14999185499866233</v>
      </c>
      <c r="O22" s="45"/>
      <c r="P22" s="85">
        <f>SUMPRODUCT(SUMIFS(RawTransportationData!$D:$D,RawTransportationData!$A:$A,Compare!$P$2,RawTransportationData!$B:$B,Compare!$D22:$F22))</f>
        <v>1352.1</v>
      </c>
      <c r="Q22" s="86">
        <f>SUMPRODUCT(SUMIFS(RawTransportationData!$G:$G,RawTransportationData!$A:$A,Compare!$P$2,RawTransportationData!$B:$B,Compare!$D22:$F22))</f>
        <v>310415.3</v>
      </c>
      <c r="R22" s="32">
        <f t="shared" si="3"/>
        <v>229.58013460542861</v>
      </c>
      <c r="S22" s="32">
        <f>SUMPRODUCT(SUMIFS(RawTransportationData!$H:$H,RawTransportationData!$A:$A,Compare!$P$1,RawTransportationData!$B:$B,Compare!$D22:$F22))</f>
        <v>0</v>
      </c>
      <c r="T22" s="32">
        <f t="shared" si="4"/>
        <v>310415.3</v>
      </c>
      <c r="U22" s="45"/>
      <c r="V22" s="85">
        <f>SUMPRODUCT(SUMIFS(RawTransportationData!$D:$D,RawTransportationData!$A:$A,Compare!$V$2,RawTransportationData!$B:$B,Compare!$D22:$F22))</f>
        <v>1384.7</v>
      </c>
      <c r="W22" s="86">
        <f>SUMPRODUCT(SUMIFS(RawTransportationData!$G:$G,RawTransportationData!$A:$A,Compare!$V$2,RawTransportationData!$B:$B,Compare!$D22:$F22))</f>
        <v>333762.99</v>
      </c>
      <c r="X22" s="32">
        <f t="shared" si="5"/>
        <v>241.03631833610166</v>
      </c>
      <c r="Y22" s="32">
        <f>SUMPRODUCT(SUMIFS(RawTransportationData!$H:$H,RawTransportationData!$A:$A,Compare!$V$1,RawTransportationData!$B:$B,Compare!$D22:$F22))</f>
        <v>0</v>
      </c>
      <c r="Z22" s="32">
        <f t="shared" si="6"/>
        <v>333762.99</v>
      </c>
    </row>
    <row r="23" spans="1:26" x14ac:dyDescent="0.55000000000000004">
      <c r="A23">
        <f>FinalPayment!A21</f>
        <v>2021</v>
      </c>
      <c r="B23" t="str">
        <f>FinalPayment!B21</f>
        <v>11</v>
      </c>
      <c r="C23" t="str">
        <f>FinalPayment!C21</f>
        <v>0414</v>
      </c>
      <c r="D23" t="str">
        <f>FinalPayment!D21</f>
        <v/>
      </c>
      <c r="E23" t="str">
        <f>FinalPayment!E21</f>
        <v/>
      </c>
      <c r="F23" t="str">
        <f>FinalPayment!F21</f>
        <v>0414</v>
      </c>
      <c r="G23" s="28" t="str">
        <f>FinalPayment!G21</f>
        <v>Audubon</v>
      </c>
      <c r="H23" s="85">
        <f>SUMPRODUCT(SUMIFS(RawTransportationData!$D:$D,RawTransportationData!$A:$A,Compare!$H$2,RawTransportationData!$B:$B,Compare!$D23:$F23))</f>
        <v>498.9</v>
      </c>
      <c r="I23" s="86">
        <f>SUMPRODUCT(SUMIFS(RawTransportationData!$G:$G,RawTransportationData!$A:$A,Compare!$H$2,RawTransportationData!$B:$B,Compare!$D23:$F23))</f>
        <v>197519.41</v>
      </c>
      <c r="J23" s="32">
        <f t="shared" si="7"/>
        <v>395.90982160753663</v>
      </c>
      <c r="K23" s="32">
        <f>SUMPRODUCT(SUMIFS(RawTransportationData!$H:$H,RawTransportationData!$A:$A,Compare!$E$1,RawTransportationData!$B:$B,Compare!$D23:$F23))</f>
        <v>24485</v>
      </c>
      <c r="L23" s="32">
        <f t="shared" si="0"/>
        <v>173034.41</v>
      </c>
      <c r="M23" s="70">
        <f t="shared" si="1"/>
        <v>0.15418313878848453</v>
      </c>
      <c r="N23" s="70">
        <f t="shared" si="2"/>
        <v>4.4636336891176465E-3</v>
      </c>
      <c r="O23" s="45"/>
      <c r="P23" s="85">
        <f>SUMPRODUCT(SUMIFS(RawTransportationData!$D:$D,RawTransportationData!$A:$A,Compare!$P$2,RawTransportationData!$B:$B,Compare!$D23:$F23))</f>
        <v>491.1</v>
      </c>
      <c r="Q23" s="86">
        <f>SUMPRODUCT(SUMIFS(RawTransportationData!$G:$G,RawTransportationData!$A:$A,Compare!$P$2,RawTransportationData!$B:$B,Compare!$D23:$F23))</f>
        <v>195991.31999999998</v>
      </c>
      <c r="R23" s="32">
        <f t="shared" si="3"/>
        <v>399.08637751985333</v>
      </c>
      <c r="S23" s="32">
        <f>SUMPRODUCT(SUMIFS(RawTransportationData!$H:$H,RawTransportationData!$A:$A,Compare!$P$1,RawTransportationData!$B:$B,Compare!$D23:$F23))</f>
        <v>8851</v>
      </c>
      <c r="T23" s="32">
        <f t="shared" si="4"/>
        <v>187140.31999999998</v>
      </c>
      <c r="U23" s="45"/>
      <c r="V23" s="85">
        <f>SUMPRODUCT(SUMIFS(RawTransportationData!$D:$D,RawTransportationData!$A:$A,Compare!$V$2,RawTransportationData!$B:$B,Compare!$D23:$F23))</f>
        <v>502.2</v>
      </c>
      <c r="W23" s="86">
        <f>SUMPRODUCT(SUMIFS(RawTransportationData!$G:$G,RawTransportationData!$A:$A,Compare!$V$2,RawTransportationData!$B:$B,Compare!$D23:$F23))</f>
        <v>172265.47999999998</v>
      </c>
      <c r="X23" s="32">
        <f t="shared" si="5"/>
        <v>343.0216646754281</v>
      </c>
      <c r="Y23" s="32">
        <f>SUMPRODUCT(SUMIFS(RawTransportationData!$H:$H,RawTransportationData!$A:$A,Compare!$V$1,RawTransportationData!$B:$B,Compare!$D23:$F23))</f>
        <v>0</v>
      </c>
      <c r="Z23" s="32">
        <f t="shared" si="6"/>
        <v>172265.47999999998</v>
      </c>
    </row>
    <row r="24" spans="1:26" x14ac:dyDescent="0.55000000000000004">
      <c r="A24">
        <f>FinalPayment!A22</f>
        <v>2021</v>
      </c>
      <c r="B24" t="str">
        <f>FinalPayment!B22</f>
        <v>11</v>
      </c>
      <c r="C24" t="str">
        <f>FinalPayment!C22</f>
        <v>0472</v>
      </c>
      <c r="D24" t="str">
        <f>FinalPayment!D22</f>
        <v/>
      </c>
      <c r="E24" t="str">
        <f>FinalPayment!E22</f>
        <v/>
      </c>
      <c r="F24" t="str">
        <f>FinalPayment!F22</f>
        <v>0472</v>
      </c>
      <c r="G24" s="28" t="str">
        <f>FinalPayment!G22</f>
        <v>Ballard</v>
      </c>
      <c r="H24" s="85">
        <f>SUMPRODUCT(SUMIFS(RawTransportationData!$D:$D,RawTransportationData!$A:$A,Compare!$H$2,RawTransportationData!$B:$B,Compare!$D24:$F24))</f>
        <v>1622.3</v>
      </c>
      <c r="I24" s="86">
        <f>SUMPRODUCT(SUMIFS(RawTransportationData!$G:$G,RawTransportationData!$A:$A,Compare!$H$2,RawTransportationData!$B:$B,Compare!$D24:$F24))</f>
        <v>621027.94000000006</v>
      </c>
      <c r="J24" s="32">
        <f t="shared" si="7"/>
        <v>382.80708870122669</v>
      </c>
      <c r="K24" s="32">
        <f>SUMPRODUCT(SUMIFS(RawTransportationData!$H:$H,RawTransportationData!$A:$A,Compare!$E$1,RawTransportationData!$B:$B,Compare!$D24:$F24))</f>
        <v>58368</v>
      </c>
      <c r="L24" s="32">
        <f t="shared" si="0"/>
        <v>562659.94000000006</v>
      </c>
      <c r="M24" s="70">
        <f t="shared" si="1"/>
        <v>7.1606329302251774E-3</v>
      </c>
      <c r="N24" s="70">
        <f t="shared" si="2"/>
        <v>-7.70877672469754E-2</v>
      </c>
      <c r="O24" s="45"/>
      <c r="P24" s="85">
        <f>SUMPRODUCT(SUMIFS(RawTransportationData!$D:$D,RawTransportationData!$A:$A,Compare!$P$2,RawTransportationData!$B:$B,Compare!$D24:$F24))</f>
        <v>1619.2</v>
      </c>
      <c r="Q24" s="86">
        <f>SUMPRODUCT(SUMIFS(RawTransportationData!$G:$G,RawTransportationData!$A:$A,Compare!$P$2,RawTransportationData!$B:$B,Compare!$D24:$F24))</f>
        <v>635376.26</v>
      </c>
      <c r="R24" s="32">
        <f t="shared" si="3"/>
        <v>392.40134634387351</v>
      </c>
      <c r="S24" s="32">
        <f>SUMPRODUCT(SUMIFS(RawTransportationData!$H:$H,RawTransportationData!$A:$A,Compare!$P$1,RawTransportationData!$B:$B,Compare!$D24:$F24))</f>
        <v>18349</v>
      </c>
      <c r="T24" s="32">
        <f t="shared" si="4"/>
        <v>617027.26</v>
      </c>
      <c r="U24" s="45"/>
      <c r="V24" s="85">
        <f>SUMPRODUCT(SUMIFS(RawTransportationData!$D:$D,RawTransportationData!$A:$A,Compare!$V$2,RawTransportationData!$B:$B,Compare!$D24:$F24))</f>
        <v>1604</v>
      </c>
      <c r="W24" s="86">
        <f>SUMPRODUCT(SUMIFS(RawTransportationData!$G:$G,RawTransportationData!$A:$A,Compare!$V$2,RawTransportationData!$B:$B,Compare!$D24:$F24))</f>
        <v>609657.04</v>
      </c>
      <c r="X24" s="32">
        <f t="shared" si="5"/>
        <v>380.08543640897756</v>
      </c>
      <c r="Y24" s="32">
        <f>SUMPRODUCT(SUMIFS(RawTransportationData!$H:$H,RawTransportationData!$A:$A,Compare!$V$1,RawTransportationData!$B:$B,Compare!$D24:$F24))</f>
        <v>0</v>
      </c>
      <c r="Z24" s="32">
        <f t="shared" si="6"/>
        <v>609657.04</v>
      </c>
    </row>
    <row r="25" spans="1:26" x14ac:dyDescent="0.55000000000000004">
      <c r="A25">
        <f>FinalPayment!A23</f>
        <v>2021</v>
      </c>
      <c r="B25" t="str">
        <f>FinalPayment!B23</f>
        <v>11</v>
      </c>
      <c r="C25" t="str">
        <f>FinalPayment!C23</f>
        <v>0513</v>
      </c>
      <c r="D25" t="str">
        <f>FinalPayment!D23</f>
        <v/>
      </c>
      <c r="E25" t="str">
        <f>FinalPayment!E23</f>
        <v/>
      </c>
      <c r="F25" t="str">
        <f>FinalPayment!F23</f>
        <v>0513</v>
      </c>
      <c r="G25" s="28" t="str">
        <f>FinalPayment!G23</f>
        <v>Baxter</v>
      </c>
      <c r="H25" s="85">
        <f>SUMPRODUCT(SUMIFS(RawTransportationData!$D:$D,RawTransportationData!$A:$A,Compare!$H$2,RawTransportationData!$B:$B,Compare!$D25:$F25))</f>
        <v>309.10000000000002</v>
      </c>
      <c r="I25" s="86">
        <f>SUMPRODUCT(SUMIFS(RawTransportationData!$G:$G,RawTransportationData!$A:$A,Compare!$H$2,RawTransportationData!$B:$B,Compare!$D25:$F25))</f>
        <v>143200.99</v>
      </c>
      <c r="J25" s="32">
        <f t="shared" si="7"/>
        <v>463.28369459721767</v>
      </c>
      <c r="K25" s="32">
        <f>SUMPRODUCT(SUMIFS(RawTransportationData!$H:$H,RawTransportationData!$A:$A,Compare!$E$1,RawTransportationData!$B:$B,Compare!$D25:$F25))</f>
        <v>35994</v>
      </c>
      <c r="L25" s="32">
        <f t="shared" si="0"/>
        <v>107206.98999999999</v>
      </c>
      <c r="M25" s="70">
        <f t="shared" si="1"/>
        <v>0.48218282437500726</v>
      </c>
      <c r="N25" s="70">
        <f t="shared" si="2"/>
        <v>4.3148300426193574E-2</v>
      </c>
      <c r="O25" s="45"/>
      <c r="P25" s="85">
        <f>SUMPRODUCT(SUMIFS(RawTransportationData!$D:$D,RawTransportationData!$A:$A,Compare!$P$2,RawTransportationData!$B:$B,Compare!$D25:$F25))</f>
        <v>315.39999999999998</v>
      </c>
      <c r="Q25" s="86">
        <f>SUMPRODUCT(SUMIFS(RawTransportationData!$G:$G,RawTransportationData!$A:$A,Compare!$P$2,RawTransportationData!$B:$B,Compare!$D25:$F25))</f>
        <v>123753.1</v>
      </c>
      <c r="R25" s="32">
        <f t="shared" si="3"/>
        <v>392.36873811033615</v>
      </c>
      <c r="S25" s="32">
        <f>SUMPRODUCT(SUMIFS(RawTransportationData!$H:$H,RawTransportationData!$A:$A,Compare!$P$1,RawTransportationData!$B:$B,Compare!$D25:$F25))</f>
        <v>3565</v>
      </c>
      <c r="T25" s="32">
        <f t="shared" si="4"/>
        <v>120188.1</v>
      </c>
      <c r="U25" s="45"/>
      <c r="V25" s="85">
        <f>SUMPRODUCT(SUMIFS(RawTransportationData!$D:$D,RawTransportationData!$A:$A,Compare!$V$2,RawTransportationData!$B:$B,Compare!$D25:$F25))</f>
        <v>328.8</v>
      </c>
      <c r="W25" s="86">
        <f>SUMPRODUCT(SUMIFS(RawTransportationData!$G:$G,RawTransportationData!$A:$A,Compare!$V$2,RawTransportationData!$B:$B,Compare!$D25:$F25))</f>
        <v>102772.53</v>
      </c>
      <c r="X25" s="32">
        <f t="shared" si="5"/>
        <v>312.56852189781023</v>
      </c>
      <c r="Y25" s="32">
        <f>SUMPRODUCT(SUMIFS(RawTransportationData!$H:$H,RawTransportationData!$A:$A,Compare!$V$1,RawTransportationData!$B:$B,Compare!$D25:$F25))</f>
        <v>0</v>
      </c>
      <c r="Z25" s="32">
        <f t="shared" si="6"/>
        <v>102772.53</v>
      </c>
    </row>
    <row r="26" spans="1:26" x14ac:dyDescent="0.55000000000000004">
      <c r="A26">
        <f>FinalPayment!A24</f>
        <v>2021</v>
      </c>
      <c r="B26" t="str">
        <f>FinalPayment!B24</f>
        <v>07</v>
      </c>
      <c r="C26" t="str">
        <f>FinalPayment!C24</f>
        <v>0540</v>
      </c>
      <c r="D26" t="str">
        <f>FinalPayment!D24</f>
        <v/>
      </c>
      <c r="E26" t="str">
        <f>FinalPayment!E24</f>
        <v/>
      </c>
      <c r="F26" t="str">
        <f>FinalPayment!F24</f>
        <v>0540</v>
      </c>
      <c r="G26" s="28" t="str">
        <f>FinalPayment!G24</f>
        <v>BCLUW</v>
      </c>
      <c r="H26" s="85">
        <f>SUMPRODUCT(SUMIFS(RawTransportationData!$D:$D,RawTransportationData!$A:$A,Compare!$H$2,RawTransportationData!$B:$B,Compare!$D26:$F26))</f>
        <v>520.20000000000005</v>
      </c>
      <c r="I26" s="86">
        <f>SUMPRODUCT(SUMIFS(RawTransportationData!$G:$G,RawTransportationData!$A:$A,Compare!$H$2,RawTransportationData!$B:$B,Compare!$D26:$F26))</f>
        <v>314851.98</v>
      </c>
      <c r="J26" s="32">
        <f t="shared" si="7"/>
        <v>605.25178777393296</v>
      </c>
      <c r="K26" s="32">
        <f>SUMPRODUCT(SUMIFS(RawTransportationData!$H:$H,RawTransportationData!$A:$A,Compare!$E$1,RawTransportationData!$B:$B,Compare!$D26:$F26))</f>
        <v>134430</v>
      </c>
      <c r="L26" s="32">
        <f t="shared" si="0"/>
        <v>180421.97999999998</v>
      </c>
      <c r="M26" s="70">
        <f t="shared" si="1"/>
        <v>1.0935604275749033E-2</v>
      </c>
      <c r="N26" s="70">
        <f t="shared" si="2"/>
        <v>-0.21743656423982874</v>
      </c>
      <c r="O26" s="45"/>
      <c r="P26" s="85">
        <f>SUMPRODUCT(SUMIFS(RawTransportationData!$D:$D,RawTransportationData!$A:$A,Compare!$P$2,RawTransportationData!$B:$B,Compare!$D26:$F26))</f>
        <v>531.29999999999995</v>
      </c>
      <c r="Q26" s="86">
        <f>SUMPRODUCT(SUMIFS(RawTransportationData!$G:$G,RawTransportationData!$A:$A,Compare!$P$2,RawTransportationData!$B:$B,Compare!$D26:$F26))</f>
        <v>331239.75</v>
      </c>
      <c r="R26" s="32">
        <f t="shared" si="3"/>
        <v>623.4514398644834</v>
      </c>
      <c r="S26" s="32">
        <f>SUMPRODUCT(SUMIFS(RawTransportationData!$H:$H,RawTransportationData!$A:$A,Compare!$P$1,RawTransportationData!$B:$B,Compare!$D26:$F26))</f>
        <v>128778</v>
      </c>
      <c r="T26" s="32">
        <f t="shared" si="4"/>
        <v>202461.75</v>
      </c>
      <c r="U26" s="45"/>
      <c r="V26" s="85">
        <f>SUMPRODUCT(SUMIFS(RawTransportationData!$D:$D,RawTransportationData!$A:$A,Compare!$V$2,RawTransportationData!$B:$B,Compare!$D26:$F26))</f>
        <v>555.4</v>
      </c>
      <c r="W26" s="86">
        <f>SUMPRODUCT(SUMIFS(RawTransportationData!$G:$G,RawTransportationData!$A:$A,Compare!$V$2,RawTransportationData!$B:$B,Compare!$D26:$F26))</f>
        <v>332520.53000000003</v>
      </c>
      <c r="X26" s="32">
        <f t="shared" si="5"/>
        <v>598.70459128556001</v>
      </c>
      <c r="Y26" s="32">
        <f>SUMPRODUCT(SUMIFS(RawTransportationData!$H:$H,RawTransportationData!$A:$A,Compare!$V$1,RawTransportationData!$B:$B,Compare!$D26:$F26))</f>
        <v>101968</v>
      </c>
      <c r="Z26" s="32">
        <f t="shared" si="6"/>
        <v>230552.53000000003</v>
      </c>
    </row>
    <row r="27" spans="1:26" x14ac:dyDescent="0.55000000000000004">
      <c r="A27">
        <f>FinalPayment!A25</f>
        <v>2021</v>
      </c>
      <c r="B27" t="str">
        <f>FinalPayment!B25</f>
        <v>13</v>
      </c>
      <c r="C27" t="str">
        <f>FinalPayment!C25</f>
        <v>0549</v>
      </c>
      <c r="D27" t="str">
        <f>FinalPayment!D25</f>
        <v/>
      </c>
      <c r="E27" t="str">
        <f>FinalPayment!E25</f>
        <v/>
      </c>
      <c r="F27" t="str">
        <f>FinalPayment!F25</f>
        <v>0549</v>
      </c>
      <c r="G27" s="28" t="str">
        <f>FinalPayment!G25</f>
        <v>Bedford</v>
      </c>
      <c r="H27" s="85">
        <f>SUMPRODUCT(SUMIFS(RawTransportationData!$D:$D,RawTransportationData!$A:$A,Compare!$H$2,RawTransportationData!$B:$B,Compare!$D27:$F27))</f>
        <v>473.6</v>
      </c>
      <c r="I27" s="86">
        <f>SUMPRODUCT(SUMIFS(RawTransportationData!$G:$G,RawTransportationData!$A:$A,Compare!$H$2,RawTransportationData!$B:$B,Compare!$D27:$F27))</f>
        <v>200097.15</v>
      </c>
      <c r="J27" s="32">
        <f t="shared" si="7"/>
        <v>422.50242820945942</v>
      </c>
      <c r="K27" s="32">
        <f>SUMPRODUCT(SUMIFS(RawTransportationData!$H:$H,RawTransportationData!$A:$A,Compare!$E$1,RawTransportationData!$B:$B,Compare!$D27:$F27))</f>
        <v>35837</v>
      </c>
      <c r="L27" s="32">
        <f t="shared" si="0"/>
        <v>164260.15</v>
      </c>
      <c r="M27" s="70">
        <f t="shared" si="1"/>
        <v>0.10664608072935337</v>
      </c>
      <c r="N27" s="70">
        <f t="shared" si="2"/>
        <v>-3.3166377223101624E-2</v>
      </c>
      <c r="O27" s="45"/>
      <c r="P27" s="85">
        <f>SUMPRODUCT(SUMIFS(RawTransportationData!$D:$D,RawTransportationData!$A:$A,Compare!$P$2,RawTransportationData!$B:$B,Compare!$D27:$F27))</f>
        <v>450.1</v>
      </c>
      <c r="Q27" s="86">
        <f>SUMPRODUCT(SUMIFS(RawTransportationData!$G:$G,RawTransportationData!$A:$A,Compare!$P$2,RawTransportationData!$B:$B,Compare!$D27:$F27))</f>
        <v>177828.81</v>
      </c>
      <c r="R27" s="32">
        <f t="shared" si="3"/>
        <v>395.08733614752276</v>
      </c>
      <c r="S27" s="32">
        <f>SUMPRODUCT(SUMIFS(RawTransportationData!$H:$H,RawTransportationData!$A:$A,Compare!$P$1,RawTransportationData!$B:$B,Compare!$D27:$F27))</f>
        <v>6311</v>
      </c>
      <c r="T27" s="32">
        <f t="shared" si="4"/>
        <v>171517.81</v>
      </c>
      <c r="U27" s="45"/>
      <c r="V27" s="85">
        <f>SUMPRODUCT(SUMIFS(RawTransportationData!$D:$D,RawTransportationData!$A:$A,Compare!$V$2,RawTransportationData!$B:$B,Compare!$D27:$F27))</f>
        <v>445</v>
      </c>
      <c r="W27" s="86">
        <f>SUMPRODUCT(SUMIFS(RawTransportationData!$G:$G,RawTransportationData!$A:$A,Compare!$V$2,RawTransportationData!$B:$B,Compare!$D27:$F27))</f>
        <v>169894.94999999998</v>
      </c>
      <c r="X27" s="32">
        <f t="shared" si="5"/>
        <v>381.786404494382</v>
      </c>
      <c r="Y27" s="32">
        <f>SUMPRODUCT(SUMIFS(RawTransportationData!$H:$H,RawTransportationData!$A:$A,Compare!$V$1,RawTransportationData!$B:$B,Compare!$D27:$F27))</f>
        <v>0</v>
      </c>
      <c r="Z27" s="32">
        <f t="shared" si="6"/>
        <v>169894.94999999998</v>
      </c>
    </row>
    <row r="28" spans="1:26" x14ac:dyDescent="0.55000000000000004">
      <c r="A28">
        <f>FinalPayment!A26</f>
        <v>2021</v>
      </c>
      <c r="B28" t="str">
        <f>FinalPayment!B26</f>
        <v>10</v>
      </c>
      <c r="C28" t="str">
        <f>FinalPayment!C26</f>
        <v>0576</v>
      </c>
      <c r="D28" t="str">
        <f>FinalPayment!D26</f>
        <v/>
      </c>
      <c r="E28" t="str">
        <f>FinalPayment!E26</f>
        <v/>
      </c>
      <c r="F28" t="str">
        <f>FinalPayment!F26</f>
        <v>0576</v>
      </c>
      <c r="G28" s="28" t="str">
        <f>FinalPayment!G26</f>
        <v>Belle Plaine</v>
      </c>
      <c r="H28" s="85">
        <f>SUMPRODUCT(SUMIFS(RawTransportationData!$D:$D,RawTransportationData!$A:$A,Compare!$H$2,RawTransportationData!$B:$B,Compare!$D28:$F28))</f>
        <v>488.4</v>
      </c>
      <c r="I28" s="86">
        <f>SUMPRODUCT(SUMIFS(RawTransportationData!$G:$G,RawTransportationData!$A:$A,Compare!$H$2,RawTransportationData!$B:$B,Compare!$D28:$F28))</f>
        <v>223363.17</v>
      </c>
      <c r="J28" s="32">
        <f t="shared" si="7"/>
        <v>457.33654791154794</v>
      </c>
      <c r="K28" s="32">
        <f>SUMPRODUCT(SUMIFS(RawTransportationData!$H:$H,RawTransportationData!$A:$A,Compare!$E$1,RawTransportationData!$B:$B,Compare!$D28:$F28))</f>
        <v>53973</v>
      </c>
      <c r="L28" s="32">
        <f t="shared" si="0"/>
        <v>169390.17</v>
      </c>
      <c r="M28" s="70">
        <f t="shared" si="1"/>
        <v>-0.34810331671908917</v>
      </c>
      <c r="N28" s="70">
        <f t="shared" si="2"/>
        <v>-0.23209147218919515</v>
      </c>
      <c r="O28" s="45"/>
      <c r="P28" s="85">
        <f>SUMPRODUCT(SUMIFS(RawTransportationData!$D:$D,RawTransportationData!$A:$A,Compare!$P$2,RawTransportationData!$B:$B,Compare!$D28:$F28))</f>
        <v>532.79999999999995</v>
      </c>
      <c r="Q28" s="86">
        <f>SUMPRODUCT(SUMIFS(RawTransportationData!$G:$G,RawTransportationData!$A:$A,Compare!$P$2,RawTransportationData!$B:$B,Compare!$D28:$F28))</f>
        <v>219174.92</v>
      </c>
      <c r="R28" s="32">
        <f t="shared" si="3"/>
        <v>411.36433933933938</v>
      </c>
      <c r="S28" s="32">
        <f>SUMPRODUCT(SUMIFS(RawTransportationData!$H:$H,RawTransportationData!$A:$A,Compare!$P$1,RawTransportationData!$B:$B,Compare!$D28:$F28))</f>
        <v>16140</v>
      </c>
      <c r="T28" s="32">
        <f t="shared" si="4"/>
        <v>203034.92</v>
      </c>
      <c r="U28" s="45"/>
      <c r="V28" s="85">
        <f>SUMPRODUCT(SUMIFS(RawTransportationData!$D:$D,RawTransportationData!$A:$A,Compare!$V$2,RawTransportationData!$B:$B,Compare!$D28:$F28))</f>
        <v>531.4</v>
      </c>
      <c r="W28" s="86">
        <f>SUMPRODUCT(SUMIFS(RawTransportationData!$G:$G,RawTransportationData!$A:$A,Compare!$V$2,RawTransportationData!$B:$B,Compare!$D28:$F28))</f>
        <v>372802.38999999996</v>
      </c>
      <c r="X28" s="32">
        <f t="shared" si="5"/>
        <v>701.54759126834767</v>
      </c>
      <c r="Y28" s="32">
        <f>SUMPRODUCT(SUMIFS(RawTransportationData!$H:$H,RawTransportationData!$A:$A,Compare!$V$1,RawTransportationData!$B:$B,Compare!$D28:$F28))</f>
        <v>152216</v>
      </c>
      <c r="Z28" s="32">
        <f t="shared" si="6"/>
        <v>220586.38999999996</v>
      </c>
    </row>
    <row r="29" spans="1:26" x14ac:dyDescent="0.55000000000000004">
      <c r="A29">
        <f>FinalPayment!A27</f>
        <v>2021</v>
      </c>
      <c r="B29" t="str">
        <f>FinalPayment!B27</f>
        <v>09</v>
      </c>
      <c r="C29" t="str">
        <f>FinalPayment!C27</f>
        <v>0585</v>
      </c>
      <c r="D29" t="str">
        <f>FinalPayment!D27</f>
        <v/>
      </c>
      <c r="E29" t="str">
        <f>FinalPayment!E27</f>
        <v/>
      </c>
      <c r="F29" t="str">
        <f>FinalPayment!F27</f>
        <v>0585</v>
      </c>
      <c r="G29" s="28" t="str">
        <f>FinalPayment!G27</f>
        <v>Bellevue</v>
      </c>
      <c r="H29" s="85">
        <f>SUMPRODUCT(SUMIFS(RawTransportationData!$D:$D,RawTransportationData!$A:$A,Compare!$H$2,RawTransportationData!$B:$B,Compare!$D29:$F29))</f>
        <v>591</v>
      </c>
      <c r="I29" s="86">
        <f>SUMPRODUCT(SUMIFS(RawTransportationData!$G:$G,RawTransportationData!$A:$A,Compare!$H$2,RawTransportationData!$B:$B,Compare!$D29:$F29))</f>
        <v>246842</v>
      </c>
      <c r="J29" s="32">
        <f t="shared" si="7"/>
        <v>417.66835871404402</v>
      </c>
      <c r="K29" s="32">
        <f>SUMPRODUCT(SUMIFS(RawTransportationData!$H:$H,RawTransportationData!$A:$A,Compare!$E$1,RawTransportationData!$B:$B,Compare!$D29:$F29))</f>
        <v>41866</v>
      </c>
      <c r="L29" s="32">
        <f t="shared" si="0"/>
        <v>204976</v>
      </c>
      <c r="M29" s="70">
        <f t="shared" si="1"/>
        <v>5.1218517504320819E-2</v>
      </c>
      <c r="N29" s="70">
        <f t="shared" si="2"/>
        <v>-9.8079180935367868E-2</v>
      </c>
      <c r="O29" s="45"/>
      <c r="P29" s="85">
        <f>SUMPRODUCT(SUMIFS(RawTransportationData!$D:$D,RawTransportationData!$A:$A,Compare!$P$2,RawTransportationData!$B:$B,Compare!$D29:$F29))</f>
        <v>577</v>
      </c>
      <c r="Q29" s="86">
        <f>SUMPRODUCT(SUMIFS(RawTransportationData!$G:$G,RawTransportationData!$A:$A,Compare!$P$2,RawTransportationData!$B:$B,Compare!$D29:$F29))</f>
        <v>241101.85</v>
      </c>
      <c r="R29" s="32">
        <f t="shared" si="3"/>
        <v>417.85415944540728</v>
      </c>
      <c r="S29" s="32">
        <f>SUMPRODUCT(SUMIFS(RawTransportationData!$H:$H,RawTransportationData!$A:$A,Compare!$P$1,RawTransportationData!$B:$B,Compare!$D29:$F29))</f>
        <v>21223</v>
      </c>
      <c r="T29" s="32">
        <f t="shared" si="4"/>
        <v>219878.85</v>
      </c>
      <c r="U29" s="45"/>
      <c r="V29" s="85">
        <f>SUMPRODUCT(SUMIFS(RawTransportationData!$D:$D,RawTransportationData!$A:$A,Compare!$V$2,RawTransportationData!$B:$B,Compare!$D29:$F29))</f>
        <v>572</v>
      </c>
      <c r="W29" s="86">
        <f>SUMPRODUCT(SUMIFS(RawTransportationData!$G:$G,RawTransportationData!$A:$A,Compare!$V$2,RawTransportationData!$B:$B,Compare!$D29:$F29))</f>
        <v>227266.06999999998</v>
      </c>
      <c r="X29" s="32">
        <f t="shared" si="5"/>
        <v>397.31830419580416</v>
      </c>
      <c r="Y29" s="32">
        <f>SUMPRODUCT(SUMIFS(RawTransportationData!$H:$H,RawTransportationData!$A:$A,Compare!$V$1,RawTransportationData!$B:$B,Compare!$D29:$F29))</f>
        <v>0</v>
      </c>
      <c r="Z29" s="32">
        <f t="shared" si="6"/>
        <v>227266.06999999998</v>
      </c>
    </row>
    <row r="30" spans="1:26" x14ac:dyDescent="0.55000000000000004">
      <c r="A30">
        <f>FinalPayment!A28</f>
        <v>2021</v>
      </c>
      <c r="B30" t="str">
        <f>FinalPayment!B28</f>
        <v>07</v>
      </c>
      <c r="C30" t="str">
        <f>FinalPayment!C28</f>
        <v>0594</v>
      </c>
      <c r="D30" t="str">
        <f>FinalPayment!D28</f>
        <v/>
      </c>
      <c r="E30" t="str">
        <f>FinalPayment!E28</f>
        <v/>
      </c>
      <c r="F30" t="str">
        <f>FinalPayment!F28</f>
        <v>0594</v>
      </c>
      <c r="G30" s="28" t="str">
        <f>FinalPayment!G28</f>
        <v>Belmond-Klemme</v>
      </c>
      <c r="H30" s="85">
        <f>SUMPRODUCT(SUMIFS(RawTransportationData!$D:$D,RawTransportationData!$A:$A,Compare!$H$2,RawTransportationData!$B:$B,Compare!$D30:$F30))</f>
        <v>791.5</v>
      </c>
      <c r="I30" s="86">
        <f>SUMPRODUCT(SUMIFS(RawTransportationData!$G:$G,RawTransportationData!$A:$A,Compare!$H$2,RawTransportationData!$B:$B,Compare!$D30:$F30))</f>
        <v>210511.55</v>
      </c>
      <c r="J30" s="32">
        <f t="shared" si="7"/>
        <v>265.96531901452937</v>
      </c>
      <c r="K30" s="32">
        <f>SUMPRODUCT(SUMIFS(RawTransportationData!$H:$H,RawTransportationData!$A:$A,Compare!$E$1,RawTransportationData!$B:$B,Compare!$D30:$F30))</f>
        <v>648</v>
      </c>
      <c r="L30" s="32">
        <f t="shared" si="0"/>
        <v>209863.55</v>
      </c>
      <c r="M30" s="70">
        <f t="shared" si="1"/>
        <v>4.8376998207226234E-2</v>
      </c>
      <c r="N30" s="70">
        <f t="shared" si="2"/>
        <v>1.8512829472601119E-2</v>
      </c>
      <c r="O30" s="45"/>
      <c r="P30" s="85">
        <f>SUMPRODUCT(SUMIFS(RawTransportationData!$D:$D,RawTransportationData!$A:$A,Compare!$P$2,RawTransportationData!$B:$B,Compare!$D30:$F30))</f>
        <v>797.6</v>
      </c>
      <c r="Q30" s="86">
        <f>SUMPRODUCT(SUMIFS(RawTransportationData!$G:$G,RawTransportationData!$A:$A,Compare!$P$2,RawTransportationData!$B:$B,Compare!$D30:$F30))</f>
        <v>212362.64</v>
      </c>
      <c r="R30" s="32">
        <f t="shared" si="3"/>
        <v>266.25205616850553</v>
      </c>
      <c r="S30" s="32">
        <f>SUMPRODUCT(SUMIFS(RawTransportationData!$H:$H,RawTransportationData!$A:$A,Compare!$P$1,RawTransportationData!$B:$B,Compare!$D30:$F30))</f>
        <v>0</v>
      </c>
      <c r="T30" s="32">
        <f t="shared" si="4"/>
        <v>212362.64</v>
      </c>
      <c r="U30" s="45"/>
      <c r="V30" s="85">
        <f>SUMPRODUCT(SUMIFS(RawTransportationData!$D:$D,RawTransportationData!$A:$A,Compare!$V$2,RawTransportationData!$B:$B,Compare!$D30:$F30))</f>
        <v>812.2</v>
      </c>
      <c r="W30" s="86">
        <f>SUMPRODUCT(SUMIFS(RawTransportationData!$G:$G,RawTransportationData!$A:$A,Compare!$V$2,RawTransportationData!$B:$B,Compare!$D30:$F30))</f>
        <v>206049</v>
      </c>
      <c r="X30" s="32">
        <f t="shared" si="5"/>
        <v>253.69244028564393</v>
      </c>
      <c r="Y30" s="32">
        <f>SUMPRODUCT(SUMIFS(RawTransportationData!$H:$H,RawTransportationData!$A:$A,Compare!$V$1,RawTransportationData!$B:$B,Compare!$D30:$F30))</f>
        <v>0</v>
      </c>
      <c r="Z30" s="32">
        <f t="shared" si="6"/>
        <v>206049</v>
      </c>
    </row>
    <row r="31" spans="1:26" x14ac:dyDescent="0.55000000000000004">
      <c r="A31">
        <f>FinalPayment!A29</f>
        <v>2021</v>
      </c>
      <c r="B31" t="str">
        <f>FinalPayment!B29</f>
        <v>09</v>
      </c>
      <c r="C31" t="str">
        <f>FinalPayment!C29</f>
        <v>0603</v>
      </c>
      <c r="D31" t="str">
        <f>FinalPayment!D29</f>
        <v/>
      </c>
      <c r="E31" t="str">
        <f>FinalPayment!E29</f>
        <v/>
      </c>
      <c r="F31" t="str">
        <f>FinalPayment!F29</f>
        <v>0603</v>
      </c>
      <c r="G31" s="28" t="str">
        <f>FinalPayment!G29</f>
        <v>Bennett</v>
      </c>
      <c r="H31" s="85">
        <f>SUMPRODUCT(SUMIFS(RawTransportationData!$D:$D,RawTransportationData!$A:$A,Compare!$H$2,RawTransportationData!$B:$B,Compare!$D31:$F31))</f>
        <v>207.3</v>
      </c>
      <c r="I31" s="86">
        <f>SUMPRODUCT(SUMIFS(RawTransportationData!$G:$G,RawTransportationData!$A:$A,Compare!$H$2,RawTransportationData!$B:$B,Compare!$D31:$F31))</f>
        <v>127977.59</v>
      </c>
      <c r="J31" s="32">
        <f t="shared" si="7"/>
        <v>617.3545103714423</v>
      </c>
      <c r="K31" s="32">
        <f>SUMPRODUCT(SUMIFS(RawTransportationData!$H:$H,RawTransportationData!$A:$A,Compare!$E$1,RawTransportationData!$B:$B,Compare!$D31:$F31))</f>
        <v>56079</v>
      </c>
      <c r="L31" s="32">
        <f t="shared" si="0"/>
        <v>71898.59</v>
      </c>
      <c r="M31" s="70">
        <f t="shared" si="1"/>
        <v>-7.9118708652419489E-2</v>
      </c>
      <c r="N31" s="70">
        <f t="shared" si="2"/>
        <v>-6.8774007224331329E-2</v>
      </c>
      <c r="O31" s="45"/>
      <c r="P31" s="85">
        <f>SUMPRODUCT(SUMIFS(RawTransportationData!$D:$D,RawTransportationData!$A:$A,Compare!$P$2,RawTransportationData!$B:$B,Compare!$D31:$F31))</f>
        <v>187.1</v>
      </c>
      <c r="Q31" s="86">
        <f>SUMPRODUCT(SUMIFS(RawTransportationData!$G:$G,RawTransportationData!$A:$A,Compare!$P$2,RawTransportationData!$B:$B,Compare!$D31:$F31))</f>
        <v>132082.5</v>
      </c>
      <c r="R31" s="32">
        <f t="shared" si="3"/>
        <v>705.94601817210048</v>
      </c>
      <c r="S31" s="32">
        <f>SUMPRODUCT(SUMIFS(RawTransportationData!$H:$H,RawTransportationData!$A:$A,Compare!$P$1,RawTransportationData!$B:$B,Compare!$D31:$F31))</f>
        <v>60785</v>
      </c>
      <c r="T31" s="32">
        <f t="shared" si="4"/>
        <v>71297.5</v>
      </c>
      <c r="U31" s="45"/>
      <c r="V31" s="85">
        <f>SUMPRODUCT(SUMIFS(RawTransportationData!$D:$D,RawTransportationData!$A:$A,Compare!$V$2,RawTransportationData!$B:$B,Compare!$D31:$F31))</f>
        <v>186</v>
      </c>
      <c r="W31" s="86">
        <f>SUMPRODUCT(SUMIFS(RawTransportationData!$G:$G,RawTransportationData!$A:$A,Compare!$V$2,RawTransportationData!$B:$B,Compare!$D31:$F31))</f>
        <v>124693.53</v>
      </c>
      <c r="X31" s="32">
        <f t="shared" si="5"/>
        <v>670.39532258064514</v>
      </c>
      <c r="Y31" s="32">
        <f>SUMPRODUCT(SUMIFS(RawTransportationData!$H:$H,RawTransportationData!$A:$A,Compare!$V$1,RawTransportationData!$B:$B,Compare!$D31:$F31))</f>
        <v>47485</v>
      </c>
      <c r="Z31" s="32">
        <f t="shared" si="6"/>
        <v>77208.53</v>
      </c>
    </row>
    <row r="32" spans="1:26" x14ac:dyDescent="0.55000000000000004">
      <c r="A32">
        <f>FinalPayment!A30</f>
        <v>2021</v>
      </c>
      <c r="B32" t="str">
        <f>FinalPayment!B30</f>
        <v>10</v>
      </c>
      <c r="C32" t="str">
        <f>FinalPayment!C30</f>
        <v>0609</v>
      </c>
      <c r="D32" t="str">
        <f>FinalPayment!D30</f>
        <v/>
      </c>
      <c r="E32" t="str">
        <f>FinalPayment!E30</f>
        <v/>
      </c>
      <c r="F32" t="str">
        <f>FinalPayment!F30</f>
        <v>0609</v>
      </c>
      <c r="G32" s="28" t="str">
        <f>FinalPayment!G30</f>
        <v>Benton</v>
      </c>
      <c r="H32" s="85">
        <f>SUMPRODUCT(SUMIFS(RawTransportationData!$D:$D,RawTransportationData!$A:$A,Compare!$H$2,RawTransportationData!$B:$B,Compare!$D32:$F32))</f>
        <v>1502.1</v>
      </c>
      <c r="I32" s="86">
        <f>SUMPRODUCT(SUMIFS(RawTransportationData!$G:$G,RawTransportationData!$A:$A,Compare!$H$2,RawTransportationData!$B:$B,Compare!$D32:$F32))</f>
        <v>866517.71000000008</v>
      </c>
      <c r="J32" s="32">
        <f t="shared" si="7"/>
        <v>576.87085413754085</v>
      </c>
      <c r="K32" s="32">
        <f>SUMPRODUCT(SUMIFS(RawTransportationData!$H:$H,RawTransportationData!$A:$A,Compare!$E$1,RawTransportationData!$B:$B,Compare!$D32:$F32))</f>
        <v>345541</v>
      </c>
      <c r="L32" s="32">
        <f t="shared" si="0"/>
        <v>520976.71000000008</v>
      </c>
      <c r="M32" s="70">
        <f t="shared" si="1"/>
        <v>0.14213822330654413</v>
      </c>
      <c r="N32" s="70">
        <f t="shared" si="2"/>
        <v>-0.17147833447804831</v>
      </c>
      <c r="O32" s="45"/>
      <c r="P32" s="85">
        <f>SUMPRODUCT(SUMIFS(RawTransportationData!$D:$D,RawTransportationData!$A:$A,Compare!$P$2,RawTransportationData!$B:$B,Compare!$D32:$F32))</f>
        <v>1486.7</v>
      </c>
      <c r="Q32" s="86">
        <f>SUMPRODUCT(SUMIFS(RawTransportationData!$G:$G,RawTransportationData!$A:$A,Compare!$P$2,RawTransportationData!$B:$B,Compare!$D32:$F32))</f>
        <v>792932.4</v>
      </c>
      <c r="R32" s="32">
        <f t="shared" si="3"/>
        <v>533.3506423622789</v>
      </c>
      <c r="S32" s="32">
        <f>SUMPRODUCT(SUMIFS(RawTransportationData!$H:$H,RawTransportationData!$A:$A,Compare!$P$1,RawTransportationData!$B:$B,Compare!$D32:$F32))</f>
        <v>226398</v>
      </c>
      <c r="T32" s="32">
        <f t="shared" si="4"/>
        <v>566534.40000000002</v>
      </c>
      <c r="U32" s="45"/>
      <c r="V32" s="85">
        <f>SUMPRODUCT(SUMIFS(RawTransportationData!$D:$D,RawTransportationData!$A:$A,Compare!$V$2,RawTransportationData!$B:$B,Compare!$D32:$F32))</f>
        <v>1514.8</v>
      </c>
      <c r="W32" s="86">
        <f>SUMPRODUCT(SUMIFS(RawTransportationData!$G:$G,RawTransportationData!$A:$A,Compare!$V$2,RawTransportationData!$B:$B,Compare!$D32:$F32))</f>
        <v>765094.76</v>
      </c>
      <c r="X32" s="32">
        <f t="shared" si="5"/>
        <v>505.0797200950621</v>
      </c>
      <c r="Y32" s="32">
        <f>SUMPRODUCT(SUMIFS(RawTransportationData!$H:$H,RawTransportationData!$A:$A,Compare!$V$1,RawTransportationData!$B:$B,Compare!$D32:$F32))</f>
        <v>136292</v>
      </c>
      <c r="Z32" s="32">
        <f t="shared" si="6"/>
        <v>628802.76</v>
      </c>
    </row>
    <row r="33" spans="1:26" x14ac:dyDescent="0.55000000000000004">
      <c r="A33">
        <f>FinalPayment!A31</f>
        <v>2021</v>
      </c>
      <c r="B33" t="str">
        <f>FinalPayment!B31</f>
        <v>09</v>
      </c>
      <c r="C33" t="str">
        <f>FinalPayment!C31</f>
        <v>0621</v>
      </c>
      <c r="D33" t="str">
        <f>FinalPayment!D31</f>
        <v/>
      </c>
      <c r="E33" t="str">
        <f>FinalPayment!E31</f>
        <v/>
      </c>
      <c r="F33" t="str">
        <f>FinalPayment!F31</f>
        <v>0621</v>
      </c>
      <c r="G33" s="28" t="str">
        <f>FinalPayment!G31</f>
        <v>Bettendorf</v>
      </c>
      <c r="H33" s="85">
        <f>SUMPRODUCT(SUMIFS(RawTransportationData!$D:$D,RawTransportationData!$A:$A,Compare!$H$2,RawTransportationData!$B:$B,Compare!$D33:$F33))</f>
        <v>4185.3</v>
      </c>
      <c r="I33" s="86">
        <f>SUMPRODUCT(SUMIFS(RawTransportationData!$G:$G,RawTransportationData!$A:$A,Compare!$H$2,RawTransportationData!$B:$B,Compare!$D33:$F33))</f>
        <v>441548.47</v>
      </c>
      <c r="J33" s="32">
        <f t="shared" si="7"/>
        <v>105.49983752658112</v>
      </c>
      <c r="K33" s="32">
        <f>SUMPRODUCT(SUMIFS(RawTransportationData!$H:$H,RawTransportationData!$A:$A,Compare!$E$1,RawTransportationData!$B:$B,Compare!$D33:$F33))</f>
        <v>3426</v>
      </c>
      <c r="L33" s="32">
        <f t="shared" si="0"/>
        <v>438122.47</v>
      </c>
      <c r="M33" s="70">
        <f t="shared" si="1"/>
        <v>0.22409769634935328</v>
      </c>
      <c r="N33" s="70">
        <f t="shared" si="2"/>
        <v>0.22964242759998976</v>
      </c>
      <c r="O33" s="45"/>
      <c r="P33" s="85">
        <f>SUMPRODUCT(SUMIFS(RawTransportationData!$D:$D,RawTransportationData!$A:$A,Compare!$P$2,RawTransportationData!$B:$B,Compare!$D33:$F33))</f>
        <v>4100</v>
      </c>
      <c r="Q33" s="86">
        <f>SUMPRODUCT(SUMIFS(RawTransportationData!$G:$G,RawTransportationData!$A:$A,Compare!$P$2,RawTransportationData!$B:$B,Compare!$D33:$F33))</f>
        <v>423252.5</v>
      </c>
      <c r="R33" s="32">
        <f t="shared" si="3"/>
        <v>103.23231707317073</v>
      </c>
      <c r="S33" s="32">
        <f>SUMPRODUCT(SUMIFS(RawTransportationData!$H:$H,RawTransportationData!$A:$A,Compare!$P$1,RawTransportationData!$B:$B,Compare!$D33:$F33))</f>
        <v>0</v>
      </c>
      <c r="T33" s="32">
        <f t="shared" si="4"/>
        <v>423252.5</v>
      </c>
      <c r="U33" s="45"/>
      <c r="V33" s="85">
        <f>SUMPRODUCT(SUMIFS(RawTransportationData!$D:$D,RawTransportationData!$A:$A,Compare!$V$2,RawTransportationData!$B:$B,Compare!$D33:$F33))</f>
        <v>4134.1000000000004</v>
      </c>
      <c r="W33" s="86">
        <f>SUMPRODUCT(SUMIFS(RawTransportationData!$G:$G,RawTransportationData!$A:$A,Compare!$V$2,RawTransportationData!$B:$B,Compare!$D33:$F33))</f>
        <v>356300.71</v>
      </c>
      <c r="X33" s="32">
        <f t="shared" si="5"/>
        <v>86.185798601872236</v>
      </c>
      <c r="Y33" s="32">
        <f>SUMPRODUCT(SUMIFS(RawTransportationData!$H:$H,RawTransportationData!$A:$A,Compare!$V$1,RawTransportationData!$B:$B,Compare!$D33:$F33))</f>
        <v>0</v>
      </c>
      <c r="Z33" s="32">
        <f t="shared" si="6"/>
        <v>356300.71</v>
      </c>
    </row>
    <row r="34" spans="1:26" x14ac:dyDescent="0.55000000000000004">
      <c r="A34">
        <f>FinalPayment!A32</f>
        <v>2021</v>
      </c>
      <c r="B34" t="str">
        <f>FinalPayment!B32</f>
        <v>11</v>
      </c>
      <c r="C34" t="str">
        <f>FinalPayment!C32</f>
        <v>0720</v>
      </c>
      <c r="D34" t="str">
        <f>FinalPayment!D32</f>
        <v/>
      </c>
      <c r="E34" t="str">
        <f>FinalPayment!E32</f>
        <v/>
      </c>
      <c r="F34" t="str">
        <f>FinalPayment!F32</f>
        <v>0720</v>
      </c>
      <c r="G34" s="28" t="str">
        <f>FinalPayment!G32</f>
        <v>Bondurant-Farrar</v>
      </c>
      <c r="H34" s="85">
        <f>SUMPRODUCT(SUMIFS(RawTransportationData!$D:$D,RawTransportationData!$A:$A,Compare!$H$2,RawTransportationData!$B:$B,Compare!$D34:$F34))</f>
        <v>2142.1999999999998</v>
      </c>
      <c r="I34" s="86">
        <f>SUMPRODUCT(SUMIFS(RawTransportationData!$G:$G,RawTransportationData!$A:$A,Compare!$H$2,RawTransportationData!$B:$B,Compare!$D34:$F34))</f>
        <v>544174.05000000005</v>
      </c>
      <c r="J34" s="32">
        <f t="shared" si="7"/>
        <v>254.02579124264778</v>
      </c>
      <c r="K34" s="32">
        <f>SUMPRODUCT(SUMIFS(RawTransportationData!$H:$H,RawTransportationData!$A:$A,Compare!$E$1,RawTransportationData!$B:$B,Compare!$D34:$F34))</f>
        <v>1754</v>
      </c>
      <c r="L34" s="32">
        <f t="shared" si="0"/>
        <v>542420.05000000005</v>
      </c>
      <c r="M34" s="70">
        <f t="shared" si="1"/>
        <v>-1.8900550544148704E-2</v>
      </c>
      <c r="N34" s="70">
        <f t="shared" si="2"/>
        <v>9.3276763726933901E-2</v>
      </c>
      <c r="O34" s="45"/>
      <c r="P34" s="85">
        <f>SUMPRODUCT(SUMIFS(RawTransportationData!$D:$D,RawTransportationData!$A:$A,Compare!$P$2,RawTransportationData!$B:$B,Compare!$D34:$F34))</f>
        <v>1989.4</v>
      </c>
      <c r="Q34" s="86">
        <f>SUMPRODUCT(SUMIFS(RawTransportationData!$G:$G,RawTransportationData!$A:$A,Compare!$P$2,RawTransportationData!$B:$B,Compare!$D34:$F34))</f>
        <v>486465.54</v>
      </c>
      <c r="R34" s="32">
        <f t="shared" si="3"/>
        <v>244.52877249421934</v>
      </c>
      <c r="S34" s="32">
        <f>SUMPRODUCT(SUMIFS(RawTransportationData!$H:$H,RawTransportationData!$A:$A,Compare!$P$1,RawTransportationData!$B:$B,Compare!$D34:$F34))</f>
        <v>0</v>
      </c>
      <c r="T34" s="32">
        <f t="shared" si="4"/>
        <v>486465.54</v>
      </c>
      <c r="U34" s="45"/>
      <c r="V34" s="85">
        <f>SUMPRODUCT(SUMIFS(RawTransportationData!$D:$D,RawTransportationData!$A:$A,Compare!$V$2,RawTransportationData!$B:$B,Compare!$D34:$F34))</f>
        <v>1916.2</v>
      </c>
      <c r="W34" s="86">
        <f>SUMPRODUCT(SUMIFS(RawTransportationData!$G:$G,RawTransportationData!$A:$A,Compare!$V$2,RawTransportationData!$B:$B,Compare!$D34:$F34))</f>
        <v>496141.57</v>
      </c>
      <c r="X34" s="32">
        <f t="shared" si="5"/>
        <v>258.91951257697525</v>
      </c>
      <c r="Y34" s="32">
        <f>SUMPRODUCT(SUMIFS(RawTransportationData!$H:$H,RawTransportationData!$A:$A,Compare!$V$1,RawTransportationData!$B:$B,Compare!$D34:$F34))</f>
        <v>0</v>
      </c>
      <c r="Z34" s="32">
        <f t="shared" si="6"/>
        <v>496141.57</v>
      </c>
    </row>
    <row r="35" spans="1:26" x14ac:dyDescent="0.55000000000000004">
      <c r="A35">
        <f>FinalPayment!A33</f>
        <v>2021</v>
      </c>
      <c r="B35" t="str">
        <f>FinalPayment!B33</f>
        <v>11</v>
      </c>
      <c r="C35" t="str">
        <f>FinalPayment!C33</f>
        <v>0729</v>
      </c>
      <c r="D35" t="str">
        <f>FinalPayment!D33</f>
        <v/>
      </c>
      <c r="E35" t="str">
        <f>FinalPayment!E33</f>
        <v/>
      </c>
      <c r="F35" t="str">
        <f>FinalPayment!F33</f>
        <v>0729</v>
      </c>
      <c r="G35" s="28" t="str">
        <f>FinalPayment!G33</f>
        <v>Boone</v>
      </c>
      <c r="H35" s="85">
        <f>SUMPRODUCT(SUMIFS(RawTransportationData!$D:$D,RawTransportationData!$A:$A,Compare!$H$2,RawTransportationData!$B:$B,Compare!$D35:$F35))</f>
        <v>2056.5</v>
      </c>
      <c r="I35" s="86">
        <f>SUMPRODUCT(SUMIFS(RawTransportationData!$G:$G,RawTransportationData!$A:$A,Compare!$H$2,RawTransportationData!$B:$B,Compare!$D35:$F35))</f>
        <v>322526.06</v>
      </c>
      <c r="J35" s="32">
        <f t="shared" si="7"/>
        <v>156.83251154874787</v>
      </c>
      <c r="K35" s="32">
        <f>SUMPRODUCT(SUMIFS(RawTransportationData!$H:$H,RawTransportationData!$A:$A,Compare!$E$1,RawTransportationData!$B:$B,Compare!$D35:$F35))</f>
        <v>1683</v>
      </c>
      <c r="L35" s="32">
        <f t="shared" si="0"/>
        <v>320843.06</v>
      </c>
      <c r="M35" s="70">
        <f t="shared" si="1"/>
        <v>0.18447354093503188</v>
      </c>
      <c r="N35" s="70">
        <f t="shared" si="2"/>
        <v>0.18515065166041761</v>
      </c>
      <c r="O35" s="45"/>
      <c r="P35" s="85">
        <f>SUMPRODUCT(SUMIFS(RawTransportationData!$D:$D,RawTransportationData!$A:$A,Compare!$P$2,RawTransportationData!$B:$B,Compare!$D35:$F35))</f>
        <v>2049.9</v>
      </c>
      <c r="Q35" s="86">
        <f>SUMPRODUCT(SUMIFS(RawTransportationData!$G:$G,RawTransportationData!$A:$A,Compare!$P$2,RawTransportationData!$B:$B,Compare!$D35:$F35))</f>
        <v>308578.95</v>
      </c>
      <c r="R35" s="32">
        <f t="shared" si="3"/>
        <v>150.53366017854529</v>
      </c>
      <c r="S35" s="32">
        <f>SUMPRODUCT(SUMIFS(RawTransportationData!$H:$H,RawTransportationData!$A:$A,Compare!$P$1,RawTransportationData!$B:$B,Compare!$D35:$F35))</f>
        <v>0</v>
      </c>
      <c r="T35" s="32">
        <f t="shared" si="4"/>
        <v>308578.95</v>
      </c>
      <c r="U35" s="45"/>
      <c r="V35" s="85">
        <f>SUMPRODUCT(SUMIFS(RawTransportationData!$D:$D,RawTransportationData!$A:$A,Compare!$V$2,RawTransportationData!$B:$B,Compare!$D35:$F35))</f>
        <v>2044.6000000000001</v>
      </c>
      <c r="W35" s="86">
        <f>SUMPRODUCT(SUMIFS(RawTransportationData!$G:$G,RawTransportationData!$A:$A,Compare!$V$2,RawTransportationData!$B:$B,Compare!$D35:$F35))</f>
        <v>270719.22000000003</v>
      </c>
      <c r="X35" s="32">
        <f t="shared" si="5"/>
        <v>132.40693534187616</v>
      </c>
      <c r="Y35" s="32">
        <f>SUMPRODUCT(SUMIFS(RawTransportationData!$H:$H,RawTransportationData!$A:$A,Compare!$V$1,RawTransportationData!$B:$B,Compare!$D35:$F35))</f>
        <v>0</v>
      </c>
      <c r="Z35" s="32">
        <f t="shared" si="6"/>
        <v>270719.22000000003</v>
      </c>
    </row>
    <row r="36" spans="1:26" x14ac:dyDescent="0.55000000000000004">
      <c r="A36">
        <f>FinalPayment!A34</f>
        <v>2021</v>
      </c>
      <c r="B36" t="str">
        <f>FinalPayment!B34</f>
        <v>12</v>
      </c>
      <c r="C36" t="str">
        <f>FinalPayment!C34</f>
        <v>0747</v>
      </c>
      <c r="D36" t="str">
        <f>FinalPayment!D34</f>
        <v/>
      </c>
      <c r="E36" t="str">
        <f>FinalPayment!E34</f>
        <v/>
      </c>
      <c r="F36" t="str">
        <f>FinalPayment!F34</f>
        <v>0747</v>
      </c>
      <c r="G36" s="28" t="str">
        <f>FinalPayment!G34</f>
        <v>Boyden-Hull</v>
      </c>
      <c r="H36" s="85">
        <f>SUMPRODUCT(SUMIFS(RawTransportationData!$D:$D,RawTransportationData!$A:$A,Compare!$H$2,RawTransportationData!$B:$B,Compare!$D36:$F36))</f>
        <v>583.09999999999991</v>
      </c>
      <c r="I36" s="86">
        <f>SUMPRODUCT(SUMIFS(RawTransportationData!$G:$G,RawTransportationData!$A:$A,Compare!$H$2,RawTransportationData!$B:$B,Compare!$D36:$F36))</f>
        <v>223128.24</v>
      </c>
      <c r="J36" s="32">
        <f t="shared" si="7"/>
        <v>382.65861773280744</v>
      </c>
      <c r="K36" s="32">
        <f>SUMPRODUCT(SUMIFS(RawTransportationData!$H:$H,RawTransportationData!$A:$A,Compare!$E$1,RawTransportationData!$B:$B,Compare!$D36:$F36))</f>
        <v>20891</v>
      </c>
      <c r="L36" s="32">
        <f t="shared" si="0"/>
        <v>202237.24</v>
      </c>
      <c r="M36" s="70">
        <f t="shared" si="1"/>
        <v>0.69215807582099909</v>
      </c>
      <c r="N36" s="70">
        <f t="shared" si="2"/>
        <v>0.4925151821802588</v>
      </c>
      <c r="O36" s="45"/>
      <c r="P36" s="85">
        <f>SUMPRODUCT(SUMIFS(RawTransportationData!$D:$D,RawTransportationData!$A:$A,Compare!$P$2,RawTransportationData!$B:$B,Compare!$D36:$F36))</f>
        <v>590.5</v>
      </c>
      <c r="Q36" s="86">
        <f>SUMPRODUCT(SUMIFS(RawTransportationData!$G:$G,RawTransportationData!$A:$A,Compare!$P$2,RawTransportationData!$B:$B,Compare!$D36:$F36))</f>
        <v>146270.82999999999</v>
      </c>
      <c r="R36" s="32">
        <f t="shared" si="3"/>
        <v>247.70674005080437</v>
      </c>
      <c r="S36" s="32">
        <f>SUMPRODUCT(SUMIFS(RawTransportationData!$H:$H,RawTransportationData!$A:$A,Compare!$P$1,RawTransportationData!$B:$B,Compare!$D36:$F36))</f>
        <v>0</v>
      </c>
      <c r="T36" s="32">
        <f t="shared" si="4"/>
        <v>146270.82999999999</v>
      </c>
      <c r="U36" s="45"/>
      <c r="V36" s="85">
        <f>SUMPRODUCT(SUMIFS(RawTransportationData!$D:$D,RawTransportationData!$A:$A,Compare!$V$2,RawTransportationData!$B:$B,Compare!$D36:$F36))</f>
        <v>599.19999999999993</v>
      </c>
      <c r="W36" s="86">
        <f>SUMPRODUCT(SUMIFS(RawTransportationData!$G:$G,RawTransportationData!$A:$A,Compare!$V$2,RawTransportationData!$B:$B,Compare!$D36:$F36))</f>
        <v>135500.96000000002</v>
      </c>
      <c r="X36" s="32">
        <f t="shared" si="5"/>
        <v>226.1364485981309</v>
      </c>
      <c r="Y36" s="32">
        <f>SUMPRODUCT(SUMIFS(RawTransportationData!$H:$H,RawTransportationData!$A:$A,Compare!$V$1,RawTransportationData!$B:$B,Compare!$D36:$F36))</f>
        <v>0</v>
      </c>
      <c r="Z36" s="32">
        <f t="shared" si="6"/>
        <v>135500.96000000002</v>
      </c>
    </row>
    <row r="37" spans="1:26" x14ac:dyDescent="0.55000000000000004">
      <c r="A37">
        <f>FinalPayment!A35</f>
        <v>2021</v>
      </c>
      <c r="B37" t="str">
        <f>FinalPayment!B35</f>
        <v>13</v>
      </c>
      <c r="C37" t="str">
        <f>FinalPayment!C35</f>
        <v>1917</v>
      </c>
      <c r="D37" t="str">
        <f>FinalPayment!D35</f>
        <v/>
      </c>
      <c r="E37" t="str">
        <f>FinalPayment!E35</f>
        <v/>
      </c>
      <c r="F37" t="str">
        <f>FinalPayment!F35</f>
        <v>1917</v>
      </c>
      <c r="G37" s="28" t="str">
        <f>FinalPayment!G35</f>
        <v>Boyer Valley</v>
      </c>
      <c r="H37" s="85">
        <f>SUMPRODUCT(SUMIFS(RawTransportationData!$D:$D,RawTransportationData!$A:$A,Compare!$H$2,RawTransportationData!$B:$B,Compare!$D37:$F37))</f>
        <v>393.7</v>
      </c>
      <c r="I37" s="86">
        <f>SUMPRODUCT(SUMIFS(RawTransportationData!$G:$G,RawTransportationData!$A:$A,Compare!$H$2,RawTransportationData!$B:$B,Compare!$D37:$F37))</f>
        <v>225667.24</v>
      </c>
      <c r="J37" s="32">
        <f t="shared" si="7"/>
        <v>573.19593599187192</v>
      </c>
      <c r="K37" s="32">
        <f>SUMPRODUCT(SUMIFS(RawTransportationData!$H:$H,RawTransportationData!$A:$A,Compare!$E$1,RawTransportationData!$B:$B,Compare!$D37:$F37))</f>
        <v>89121</v>
      </c>
      <c r="L37" s="32">
        <f t="shared" si="0"/>
        <v>136546.23999999999</v>
      </c>
      <c r="M37" s="70">
        <f t="shared" si="1"/>
        <v>0.17088738821134625</v>
      </c>
      <c r="N37" s="70">
        <f t="shared" si="2"/>
        <v>-0.20870136059593994</v>
      </c>
      <c r="O37" s="45"/>
      <c r="P37" s="85">
        <f>SUMPRODUCT(SUMIFS(RawTransportationData!$D:$D,RawTransportationData!$A:$A,Compare!$P$2,RawTransportationData!$B:$B,Compare!$D37:$F37))</f>
        <v>406.6</v>
      </c>
      <c r="Q37" s="86">
        <f>SUMPRODUCT(SUMIFS(RawTransportationData!$G:$G,RawTransportationData!$A:$A,Compare!$P$2,RawTransportationData!$B:$B,Compare!$D37:$F37))</f>
        <v>205919.86</v>
      </c>
      <c r="R37" s="32">
        <f t="shared" si="3"/>
        <v>506.44333497294633</v>
      </c>
      <c r="S37" s="32">
        <f>SUMPRODUCT(SUMIFS(RawTransportationData!$H:$H,RawTransportationData!$A:$A,Compare!$P$1,RawTransportationData!$B:$B,Compare!$D37:$F37))</f>
        <v>50976</v>
      </c>
      <c r="T37" s="32">
        <f t="shared" si="4"/>
        <v>154943.85999999999</v>
      </c>
      <c r="U37" s="45"/>
      <c r="V37" s="85">
        <f>SUMPRODUCT(SUMIFS(RawTransportationData!$D:$D,RawTransportationData!$A:$A,Compare!$V$2,RawTransportationData!$B:$B,Compare!$D37:$F37))</f>
        <v>415.7</v>
      </c>
      <c r="W37" s="86">
        <f>SUMPRODUCT(SUMIFS(RawTransportationData!$G:$G,RawTransportationData!$A:$A,Compare!$V$2,RawTransportationData!$B:$B,Compare!$D37:$F37))</f>
        <v>203501.68</v>
      </c>
      <c r="X37" s="32">
        <f t="shared" si="5"/>
        <v>489.53976425306712</v>
      </c>
      <c r="Y37" s="32">
        <f>SUMPRODUCT(SUMIFS(RawTransportationData!$H:$H,RawTransportationData!$A:$A,Compare!$V$1,RawTransportationData!$B:$B,Compare!$D37:$F37))</f>
        <v>30942</v>
      </c>
      <c r="Z37" s="32">
        <f t="shared" si="6"/>
        <v>172559.68</v>
      </c>
    </row>
    <row r="38" spans="1:26" x14ac:dyDescent="0.55000000000000004">
      <c r="A38">
        <f>FinalPayment!A36</f>
        <v>2021</v>
      </c>
      <c r="B38" t="str">
        <f>FinalPayment!B36</f>
        <v>07</v>
      </c>
      <c r="C38" t="str">
        <f>FinalPayment!C36</f>
        <v>0846</v>
      </c>
      <c r="D38" t="str">
        <f>FinalPayment!D36</f>
        <v/>
      </c>
      <c r="E38" t="str">
        <f>FinalPayment!E36</f>
        <v/>
      </c>
      <c r="F38" t="str">
        <f>FinalPayment!F36</f>
        <v>0846</v>
      </c>
      <c r="G38" s="28" t="str">
        <f>FinalPayment!G36</f>
        <v>Brooklyn-Guernsey-Malcom</v>
      </c>
      <c r="H38" s="85">
        <f>SUMPRODUCT(SUMIFS(RawTransportationData!$D:$D,RawTransportationData!$A:$A,Compare!$H$2,RawTransportationData!$B:$B,Compare!$D38:$F38))</f>
        <v>551.6</v>
      </c>
      <c r="I38" s="86">
        <f>SUMPRODUCT(SUMIFS(RawTransportationData!$G:$G,RawTransportationData!$A:$A,Compare!$H$2,RawTransportationData!$B:$B,Compare!$D38:$F38))</f>
        <v>192909.72</v>
      </c>
      <c r="J38" s="32">
        <f t="shared" si="7"/>
        <v>349.72755620014505</v>
      </c>
      <c r="K38" s="32">
        <f>SUMPRODUCT(SUMIFS(RawTransportationData!$H:$H,RawTransportationData!$A:$A,Compare!$E$1,RawTransportationData!$B:$B,Compare!$D38:$F38))</f>
        <v>1599</v>
      </c>
      <c r="L38" s="32">
        <f t="shared" si="0"/>
        <v>191310.72</v>
      </c>
      <c r="M38" s="70">
        <f t="shared" si="1"/>
        <v>-8.8693223095265339E-2</v>
      </c>
      <c r="N38" s="70">
        <f t="shared" si="2"/>
        <v>-5.4239793777493772E-2</v>
      </c>
      <c r="O38" s="45"/>
      <c r="P38" s="85">
        <f>SUMPRODUCT(SUMIFS(RawTransportationData!$D:$D,RawTransportationData!$A:$A,Compare!$P$2,RawTransportationData!$B:$B,Compare!$D38:$F38))</f>
        <v>563.1</v>
      </c>
      <c r="Q38" s="86">
        <f>SUMPRODUCT(SUMIFS(RawTransportationData!$G:$G,RawTransportationData!$A:$A,Compare!$P$2,RawTransportationData!$B:$B,Compare!$D38:$F38))</f>
        <v>188884.33</v>
      </c>
      <c r="R38" s="32">
        <f t="shared" si="3"/>
        <v>335.43656544130704</v>
      </c>
      <c r="S38" s="32">
        <f>SUMPRODUCT(SUMIFS(RawTransportationData!$H:$H,RawTransportationData!$A:$A,Compare!$P$1,RawTransportationData!$B:$B,Compare!$D38:$F38))</f>
        <v>0</v>
      </c>
      <c r="T38" s="32">
        <f t="shared" si="4"/>
        <v>188884.33</v>
      </c>
      <c r="U38" s="45"/>
      <c r="V38" s="85">
        <f>SUMPRODUCT(SUMIFS(RawTransportationData!$D:$D,RawTransportationData!$A:$A,Compare!$V$2,RawTransportationData!$B:$B,Compare!$D38:$F38))</f>
        <v>527.1</v>
      </c>
      <c r="W38" s="86">
        <f>SUMPRODUCT(SUMIFS(RawTransportationData!$G:$G,RawTransportationData!$A:$A,Compare!$V$2,RawTransportationData!$B:$B,Compare!$D38:$F38))</f>
        <v>202282.48</v>
      </c>
      <c r="X38" s="32">
        <f t="shared" si="5"/>
        <v>383.76490229557959</v>
      </c>
      <c r="Y38" s="32">
        <f>SUMPRODUCT(SUMIFS(RawTransportationData!$H:$H,RawTransportationData!$A:$A,Compare!$V$1,RawTransportationData!$B:$B,Compare!$D38:$F38))</f>
        <v>0</v>
      </c>
      <c r="Z38" s="32">
        <f t="shared" si="6"/>
        <v>202282.48</v>
      </c>
    </row>
    <row r="39" spans="1:26" x14ac:dyDescent="0.55000000000000004">
      <c r="A39">
        <f>FinalPayment!A37</f>
        <v>2021</v>
      </c>
      <c r="B39" t="str">
        <f>FinalPayment!B37</f>
        <v>15</v>
      </c>
      <c r="C39" t="str">
        <f>FinalPayment!C37</f>
        <v>0882</v>
      </c>
      <c r="D39" t="str">
        <f>FinalPayment!D37</f>
        <v/>
      </c>
      <c r="E39" t="str">
        <f>FinalPayment!E37</f>
        <v/>
      </c>
      <c r="F39" t="str">
        <f>FinalPayment!F37</f>
        <v>0882</v>
      </c>
      <c r="G39" s="28" t="str">
        <f>FinalPayment!G37</f>
        <v>Burlington</v>
      </c>
      <c r="H39" s="85">
        <f>SUMPRODUCT(SUMIFS(RawTransportationData!$D:$D,RawTransportationData!$A:$A,Compare!$H$2,RawTransportationData!$B:$B,Compare!$D39:$F39))</f>
        <v>4133.5999999999995</v>
      </c>
      <c r="I39" s="86">
        <f>SUMPRODUCT(SUMIFS(RawTransportationData!$G:$G,RawTransportationData!$A:$A,Compare!$H$2,RawTransportationData!$B:$B,Compare!$D39:$F39))</f>
        <v>838027.42</v>
      </c>
      <c r="J39" s="32">
        <f t="shared" si="7"/>
        <v>202.73548964582935</v>
      </c>
      <c r="K39" s="32">
        <f>SUMPRODUCT(SUMIFS(RawTransportationData!$H:$H,RawTransportationData!$A:$A,Compare!$E$1,RawTransportationData!$B:$B,Compare!$D39:$F39))</f>
        <v>3384</v>
      </c>
      <c r="L39" s="32">
        <f t="shared" si="0"/>
        <v>834643.42</v>
      </c>
      <c r="M39" s="70">
        <f t="shared" si="1"/>
        <v>0.23475970591542272</v>
      </c>
      <c r="N39" s="70">
        <f t="shared" si="2"/>
        <v>0.14980264676695937</v>
      </c>
      <c r="O39" s="45"/>
      <c r="P39" s="85">
        <f>SUMPRODUCT(SUMIFS(RawTransportationData!$D:$D,RawTransportationData!$A:$A,Compare!$P$2,RawTransportationData!$B:$B,Compare!$D39:$F39))</f>
        <v>4261.3</v>
      </c>
      <c r="Q39" s="86">
        <f>SUMPRODUCT(SUMIFS(RawTransportationData!$G:$G,RawTransportationData!$A:$A,Compare!$P$2,RawTransportationData!$B:$B,Compare!$D39:$F39))</f>
        <v>834135.85</v>
      </c>
      <c r="R39" s="32">
        <f t="shared" si="3"/>
        <v>195.74680261891911</v>
      </c>
      <c r="S39" s="32">
        <f>SUMPRODUCT(SUMIFS(RawTransportationData!$H:$H,RawTransportationData!$A:$A,Compare!$P$1,RawTransportationData!$B:$B,Compare!$D39:$F39))</f>
        <v>0</v>
      </c>
      <c r="T39" s="32">
        <f t="shared" si="4"/>
        <v>834135.85</v>
      </c>
      <c r="U39" s="45"/>
      <c r="V39" s="85">
        <f>SUMPRODUCT(SUMIFS(RawTransportationData!$D:$D,RawTransportationData!$A:$A,Compare!$V$2,RawTransportationData!$B:$B,Compare!$D39:$F39))</f>
        <v>4421.0999999999995</v>
      </c>
      <c r="W39" s="86">
        <f>SUMPRODUCT(SUMIFS(RawTransportationData!$G:$G,RawTransportationData!$A:$A,Compare!$V$2,RawTransportationData!$B:$B,Compare!$D39:$F39))</f>
        <v>725901.46</v>
      </c>
      <c r="X39" s="32">
        <f t="shared" si="5"/>
        <v>164.19023772364346</v>
      </c>
      <c r="Y39" s="32">
        <f>SUMPRODUCT(SUMIFS(RawTransportationData!$H:$H,RawTransportationData!$A:$A,Compare!$V$1,RawTransportationData!$B:$B,Compare!$D39:$F39))</f>
        <v>0</v>
      </c>
      <c r="Z39" s="32">
        <f t="shared" si="6"/>
        <v>725901.46</v>
      </c>
    </row>
    <row r="40" spans="1:26" x14ac:dyDescent="0.55000000000000004">
      <c r="A40">
        <f>FinalPayment!A38</f>
        <v>2021</v>
      </c>
      <c r="B40" t="str">
        <f>FinalPayment!B38</f>
        <v>07</v>
      </c>
      <c r="C40" t="str">
        <f>FinalPayment!C38</f>
        <v>0916</v>
      </c>
      <c r="D40" t="str">
        <f>FinalPayment!D38</f>
        <v/>
      </c>
      <c r="E40" t="str">
        <f>FinalPayment!E38</f>
        <v/>
      </c>
      <c r="F40" t="str">
        <f>FinalPayment!F38</f>
        <v>0916</v>
      </c>
      <c r="G40" s="28" t="str">
        <f>FinalPayment!G38</f>
        <v>CAL</v>
      </c>
      <c r="H40" s="85">
        <f>SUMPRODUCT(SUMIFS(RawTransportationData!$D:$D,RawTransportationData!$A:$A,Compare!$H$2,RawTransportationData!$B:$B,Compare!$D40:$F40))</f>
        <v>239.9</v>
      </c>
      <c r="I40" s="86">
        <f>SUMPRODUCT(SUMIFS(RawTransportationData!$G:$G,RawTransportationData!$A:$A,Compare!$H$2,RawTransportationData!$B:$B,Compare!$D40:$F40))</f>
        <v>129103.45</v>
      </c>
      <c r="J40" s="32">
        <f t="shared" si="7"/>
        <v>538.15527303042927</v>
      </c>
      <c r="K40" s="32">
        <f>SUMPRODUCT(SUMIFS(RawTransportationData!$H:$H,RawTransportationData!$A:$A,Compare!$E$1,RawTransportationData!$B:$B,Compare!$D40:$F40))</f>
        <v>45899</v>
      </c>
      <c r="L40" s="32">
        <f t="shared" si="0"/>
        <v>83204.45</v>
      </c>
      <c r="M40" s="70">
        <f t="shared" si="1"/>
        <v>0.48858353311701591</v>
      </c>
      <c r="N40" s="70">
        <f t="shared" si="2"/>
        <v>-0.11853455308066287</v>
      </c>
      <c r="O40" s="45"/>
      <c r="P40" s="85">
        <f>SUMPRODUCT(SUMIFS(RawTransportationData!$D:$D,RawTransportationData!$A:$A,Compare!$P$2,RawTransportationData!$B:$B,Compare!$D40:$F40))</f>
        <v>256.60000000000002</v>
      </c>
      <c r="Q40" s="86">
        <f>SUMPRODUCT(SUMIFS(RawTransportationData!$G:$G,RawTransportationData!$A:$A,Compare!$P$2,RawTransportationData!$B:$B,Compare!$D40:$F40))</f>
        <v>99860.91</v>
      </c>
      <c r="R40" s="32">
        <f t="shared" si="3"/>
        <v>389.16956352299297</v>
      </c>
      <c r="S40" s="32">
        <f>SUMPRODUCT(SUMIFS(RawTransportationData!$H:$H,RawTransportationData!$A:$A,Compare!$P$1,RawTransportationData!$B:$B,Compare!$D40:$F40))</f>
        <v>2079</v>
      </c>
      <c r="T40" s="32">
        <f t="shared" si="4"/>
        <v>97781.91</v>
      </c>
      <c r="U40" s="45"/>
      <c r="V40" s="85">
        <f>SUMPRODUCT(SUMIFS(RawTransportationData!$D:$D,RawTransportationData!$A:$A,Compare!$V$2,RawTransportationData!$B:$B,Compare!$D40:$F40))</f>
        <v>261.09999999999997</v>
      </c>
      <c r="W40" s="86">
        <f>SUMPRODUCT(SUMIFS(RawTransportationData!$G:$G,RawTransportationData!$A:$A,Compare!$V$2,RawTransportationData!$B:$B,Compare!$D40:$F40))</f>
        <v>94393.319999999992</v>
      </c>
      <c r="X40" s="32">
        <f t="shared" si="5"/>
        <v>361.52171581769437</v>
      </c>
      <c r="Y40" s="32">
        <f>SUMPRODUCT(SUMIFS(RawTransportationData!$H:$H,RawTransportationData!$A:$A,Compare!$V$1,RawTransportationData!$B:$B,Compare!$D40:$F40))</f>
        <v>0</v>
      </c>
      <c r="Z40" s="32">
        <f t="shared" si="6"/>
        <v>94393.319999999992</v>
      </c>
    </row>
    <row r="41" spans="1:26" x14ac:dyDescent="0.55000000000000004">
      <c r="A41">
        <f>FinalPayment!A39</f>
        <v>2021</v>
      </c>
      <c r="B41" t="str">
        <f>FinalPayment!B39</f>
        <v>09</v>
      </c>
      <c r="C41" t="str">
        <f>FinalPayment!C39</f>
        <v>0918</v>
      </c>
      <c r="D41" t="str">
        <f>FinalPayment!D39</f>
        <v/>
      </c>
      <c r="E41" t="str">
        <f>FinalPayment!E39</f>
        <v/>
      </c>
      <c r="F41" t="str">
        <f>FinalPayment!F39</f>
        <v>0918</v>
      </c>
      <c r="G41" s="28" t="str">
        <f>FinalPayment!G39</f>
        <v>Calamus-Wheatland</v>
      </c>
      <c r="H41" s="85">
        <f>SUMPRODUCT(SUMIFS(RawTransportationData!$D:$D,RawTransportationData!$A:$A,Compare!$H$2,RawTransportationData!$B:$B,Compare!$D41:$F41))</f>
        <v>424.9</v>
      </c>
      <c r="I41" s="86">
        <f>SUMPRODUCT(SUMIFS(RawTransportationData!$G:$G,RawTransportationData!$A:$A,Compare!$H$2,RawTransportationData!$B:$B,Compare!$D41:$F41))</f>
        <v>233503.39</v>
      </c>
      <c r="J41" s="32">
        <f t="shared" si="7"/>
        <v>549.54904683454936</v>
      </c>
      <c r="K41" s="32">
        <f>SUMPRODUCT(SUMIFS(RawTransportationData!$H:$H,RawTransportationData!$A:$A,Compare!$E$1,RawTransportationData!$B:$B,Compare!$D41:$F41))</f>
        <v>86135</v>
      </c>
      <c r="L41" s="32">
        <f t="shared" si="0"/>
        <v>147368.39000000001</v>
      </c>
      <c r="M41" s="70">
        <f t="shared" si="1"/>
        <v>0.15421449834999032</v>
      </c>
      <c r="N41" s="70">
        <f t="shared" si="2"/>
        <v>-0.20880182553645374</v>
      </c>
      <c r="O41" s="45"/>
      <c r="P41" s="85">
        <f>SUMPRODUCT(SUMIFS(RawTransportationData!$D:$D,RawTransportationData!$A:$A,Compare!$P$2,RawTransportationData!$B:$B,Compare!$D41:$F41))</f>
        <v>437.3</v>
      </c>
      <c r="Q41" s="86">
        <f>SUMPRODUCT(SUMIFS(RawTransportationData!$G:$G,RawTransportationData!$A:$A,Compare!$P$2,RawTransportationData!$B:$B,Compare!$D41:$F41))</f>
        <v>229289.06</v>
      </c>
      <c r="R41" s="32">
        <f t="shared" si="3"/>
        <v>524.32897324491194</v>
      </c>
      <c r="S41" s="32">
        <f>SUMPRODUCT(SUMIFS(RawTransportationData!$H:$H,RawTransportationData!$A:$A,Compare!$P$1,RawTransportationData!$B:$B,Compare!$D41:$F41))</f>
        <v>62649</v>
      </c>
      <c r="T41" s="32">
        <f t="shared" si="4"/>
        <v>166640.06</v>
      </c>
      <c r="U41" s="45"/>
      <c r="V41" s="85">
        <f>SUMPRODUCT(SUMIFS(RawTransportationData!$D:$D,RawTransportationData!$A:$A,Compare!$V$2,RawTransportationData!$B:$B,Compare!$D41:$F41))</f>
        <v>448.7</v>
      </c>
      <c r="W41" s="86">
        <f>SUMPRODUCT(SUMIFS(RawTransportationData!$G:$G,RawTransportationData!$A:$A,Compare!$V$2,RawTransportationData!$B:$B,Compare!$D41:$F41))</f>
        <v>213636.77000000002</v>
      </c>
      <c r="X41" s="32">
        <f t="shared" si="5"/>
        <v>476.12384666815251</v>
      </c>
      <c r="Y41" s="32">
        <f>SUMPRODUCT(SUMIFS(RawTransportationData!$H:$H,RawTransportationData!$A:$A,Compare!$V$1,RawTransportationData!$B:$B,Compare!$D41:$F41))</f>
        <v>27377</v>
      </c>
      <c r="Z41" s="32">
        <f t="shared" si="6"/>
        <v>186259.77000000002</v>
      </c>
    </row>
    <row r="42" spans="1:26" x14ac:dyDescent="0.55000000000000004">
      <c r="A42">
        <f>FinalPayment!A40</f>
        <v>2021</v>
      </c>
      <c r="B42" t="str">
        <f>FinalPayment!B40</f>
        <v>13</v>
      </c>
      <c r="C42" t="str">
        <f>FinalPayment!C40</f>
        <v>0914</v>
      </c>
      <c r="D42" t="str">
        <f>FinalPayment!D40</f>
        <v/>
      </c>
      <c r="E42" t="str">
        <f>FinalPayment!E40</f>
        <v/>
      </c>
      <c r="F42" t="str">
        <f>FinalPayment!F40</f>
        <v>0914</v>
      </c>
      <c r="G42" s="28" t="str">
        <f>FinalPayment!G40</f>
        <v>CAM</v>
      </c>
      <c r="H42" s="85">
        <f>SUMPRODUCT(SUMIFS(RawTransportationData!$D:$D,RawTransportationData!$A:$A,Compare!$H$2,RawTransportationData!$B:$B,Compare!$D42:$F42))</f>
        <v>491.6</v>
      </c>
      <c r="I42" s="86">
        <f>SUMPRODUCT(SUMIFS(RawTransportationData!$G:$G,RawTransportationData!$A:$A,Compare!$H$2,RawTransportationData!$B:$B,Compare!$D42:$F42))</f>
        <v>310642.55</v>
      </c>
      <c r="J42" s="32">
        <f t="shared" si="7"/>
        <v>631.90103742880387</v>
      </c>
      <c r="K42" s="32">
        <f>SUMPRODUCT(SUMIFS(RawTransportationData!$H:$H,RawTransportationData!$A:$A,Compare!$E$1,RawTransportationData!$B:$B,Compare!$D42:$F42))</f>
        <v>140139</v>
      </c>
      <c r="L42" s="32">
        <f t="shared" si="0"/>
        <v>170503.55</v>
      </c>
      <c r="M42" s="70">
        <f t="shared" si="1"/>
        <v>-2.0076723435324406E-4</v>
      </c>
      <c r="N42" s="70">
        <f t="shared" si="2"/>
        <v>-0.15899327721608802</v>
      </c>
      <c r="O42" s="45"/>
      <c r="P42" s="85">
        <f>SUMPRODUCT(SUMIFS(RawTransportationData!$D:$D,RawTransportationData!$A:$A,Compare!$P$2,RawTransportationData!$B:$B,Compare!$D42:$F42))</f>
        <v>496.9</v>
      </c>
      <c r="Q42" s="86">
        <f>SUMPRODUCT(SUMIFS(RawTransportationData!$G:$G,RawTransportationData!$A:$A,Compare!$P$2,RawTransportationData!$B:$B,Compare!$D42:$F42))</f>
        <v>319309.57</v>
      </c>
      <c r="R42" s="32">
        <f t="shared" si="3"/>
        <v>642.60328033809628</v>
      </c>
      <c r="S42" s="32">
        <f>SUMPRODUCT(SUMIFS(RawTransportationData!$H:$H,RawTransportationData!$A:$A,Compare!$P$1,RawTransportationData!$B:$B,Compare!$D42:$F42))</f>
        <v>129955</v>
      </c>
      <c r="T42" s="32">
        <f t="shared" si="4"/>
        <v>189354.57</v>
      </c>
      <c r="U42" s="45"/>
      <c r="V42" s="85">
        <f>SUMPRODUCT(SUMIFS(RawTransportationData!$D:$D,RawTransportationData!$A:$A,Compare!$V$2,RawTransportationData!$B:$B,Compare!$D42:$F42))</f>
        <v>488.4</v>
      </c>
      <c r="W42" s="86">
        <f>SUMPRODUCT(SUMIFS(RawTransportationData!$G:$G,RawTransportationData!$A:$A,Compare!$V$2,RawTransportationData!$B:$B,Compare!$D42:$F42))</f>
        <v>308682.44</v>
      </c>
      <c r="X42" s="32">
        <f t="shared" si="5"/>
        <v>632.02792792792798</v>
      </c>
      <c r="Y42" s="32">
        <f>SUMPRODUCT(SUMIFS(RawTransportationData!$H:$H,RawTransportationData!$A:$A,Compare!$V$1,RawTransportationData!$B:$B,Compare!$D42:$F42))</f>
        <v>105945</v>
      </c>
      <c r="Z42" s="32">
        <f t="shared" si="6"/>
        <v>202737.44</v>
      </c>
    </row>
    <row r="43" spans="1:26" x14ac:dyDescent="0.55000000000000004">
      <c r="A43">
        <f>FinalPayment!A41</f>
        <v>2021</v>
      </c>
      <c r="B43" t="str">
        <f>FinalPayment!B41</f>
        <v>09</v>
      </c>
      <c r="C43" t="str">
        <f>FinalPayment!C41</f>
        <v>0936</v>
      </c>
      <c r="D43" t="str">
        <f>FinalPayment!D41</f>
        <v/>
      </c>
      <c r="E43" t="str">
        <f>FinalPayment!E41</f>
        <v/>
      </c>
      <c r="F43" t="str">
        <f>FinalPayment!F41</f>
        <v>0936</v>
      </c>
      <c r="G43" s="28" t="str">
        <f>FinalPayment!G41</f>
        <v>Camanche</v>
      </c>
      <c r="H43" s="85">
        <f>SUMPRODUCT(SUMIFS(RawTransportationData!$D:$D,RawTransportationData!$A:$A,Compare!$H$2,RawTransportationData!$B:$B,Compare!$D43:$F43))</f>
        <v>821</v>
      </c>
      <c r="I43" s="86">
        <f>SUMPRODUCT(SUMIFS(RawTransportationData!$G:$G,RawTransportationData!$A:$A,Compare!$H$2,RawTransportationData!$B:$B,Compare!$D43:$F43))</f>
        <v>166661.4</v>
      </c>
      <c r="J43" s="32">
        <f t="shared" si="7"/>
        <v>202.99805115712545</v>
      </c>
      <c r="K43" s="32">
        <f>SUMPRODUCT(SUMIFS(RawTransportationData!$H:$H,RawTransportationData!$A:$A,Compare!$E$1,RawTransportationData!$B:$B,Compare!$D43:$F43))</f>
        <v>672</v>
      </c>
      <c r="L43" s="32">
        <f t="shared" si="0"/>
        <v>165989.4</v>
      </c>
      <c r="M43" s="70">
        <f t="shared" si="1"/>
        <v>-0.13839023841411321</v>
      </c>
      <c r="N43" s="70">
        <f t="shared" si="2"/>
        <v>-0.18192131739187162</v>
      </c>
      <c r="O43" s="45"/>
      <c r="P43" s="85">
        <f>SUMPRODUCT(SUMIFS(RawTransportationData!$D:$D,RawTransportationData!$A:$A,Compare!$P$2,RawTransportationData!$B:$B,Compare!$D43:$F43))</f>
        <v>839.3</v>
      </c>
      <c r="Q43" s="86">
        <f>SUMPRODUCT(SUMIFS(RawTransportationData!$G:$G,RawTransportationData!$A:$A,Compare!$P$2,RawTransportationData!$B:$B,Compare!$D43:$F43))</f>
        <v>168843.02</v>
      </c>
      <c r="R43" s="32">
        <f t="shared" si="3"/>
        <v>201.17123793637555</v>
      </c>
      <c r="S43" s="32">
        <f>SUMPRODUCT(SUMIFS(RawTransportationData!$H:$H,RawTransportationData!$A:$A,Compare!$P$1,RawTransportationData!$B:$B,Compare!$D43:$F43))</f>
        <v>0</v>
      </c>
      <c r="T43" s="32">
        <f t="shared" si="4"/>
        <v>168843.02</v>
      </c>
      <c r="U43" s="45"/>
      <c r="V43" s="85">
        <f>SUMPRODUCT(SUMIFS(RawTransportationData!$D:$D,RawTransportationData!$A:$A,Compare!$V$2,RawTransportationData!$B:$B,Compare!$D43:$F43))</f>
        <v>861.2</v>
      </c>
      <c r="W43" s="86">
        <f>SUMPRODUCT(SUMIFS(RawTransportationData!$G:$G,RawTransportationData!$A:$A,Compare!$V$2,RawTransportationData!$B:$B,Compare!$D43:$F43))</f>
        <v>202901.51</v>
      </c>
      <c r="X43" s="32">
        <f t="shared" si="5"/>
        <v>235.60323966558292</v>
      </c>
      <c r="Y43" s="32">
        <f>SUMPRODUCT(SUMIFS(RawTransportationData!$H:$H,RawTransportationData!$A:$A,Compare!$V$1,RawTransportationData!$B:$B,Compare!$D43:$F43))</f>
        <v>0</v>
      </c>
      <c r="Z43" s="32">
        <f t="shared" si="6"/>
        <v>202901.51</v>
      </c>
    </row>
    <row r="44" spans="1:26" x14ac:dyDescent="0.55000000000000004">
      <c r="A44">
        <f>FinalPayment!A42</f>
        <v>2021</v>
      </c>
      <c r="B44" t="str">
        <f>FinalPayment!B42</f>
        <v>15</v>
      </c>
      <c r="C44" t="str">
        <f>FinalPayment!C42</f>
        <v>0977</v>
      </c>
      <c r="D44" t="str">
        <f>FinalPayment!D42</f>
        <v/>
      </c>
      <c r="E44" t="str">
        <f>FinalPayment!E42</f>
        <v/>
      </c>
      <c r="F44" t="str">
        <f>FinalPayment!F42</f>
        <v>0977</v>
      </c>
      <c r="G44" s="28" t="str">
        <f>FinalPayment!G42</f>
        <v>Cardinal</v>
      </c>
      <c r="H44" s="85">
        <f>SUMPRODUCT(SUMIFS(RawTransportationData!$D:$D,RawTransportationData!$A:$A,Compare!$H$2,RawTransportationData!$B:$B,Compare!$D44:$F44))</f>
        <v>570.9</v>
      </c>
      <c r="I44" s="86">
        <f>SUMPRODUCT(SUMIFS(RawTransportationData!$G:$G,RawTransportationData!$A:$A,Compare!$H$2,RawTransportationData!$B:$B,Compare!$D44:$F44))</f>
        <v>474580.55</v>
      </c>
      <c r="J44" s="32">
        <f t="shared" si="7"/>
        <v>831.28490103345598</v>
      </c>
      <c r="K44" s="32">
        <f>SUMPRODUCT(SUMIFS(RawTransportationData!$H:$H,RawTransportationData!$A:$A,Compare!$E$1,RawTransportationData!$B:$B,Compare!$D44:$F44))</f>
        <v>276571</v>
      </c>
      <c r="L44" s="32">
        <f t="shared" si="0"/>
        <v>198009.55</v>
      </c>
      <c r="M44" s="70">
        <f t="shared" si="1"/>
        <v>0.32812713631486534</v>
      </c>
      <c r="N44" s="70">
        <f t="shared" si="2"/>
        <v>-0.16004377572825151</v>
      </c>
      <c r="O44" s="45"/>
      <c r="P44" s="85">
        <f>SUMPRODUCT(SUMIFS(RawTransportationData!$D:$D,RawTransportationData!$A:$A,Compare!$P$2,RawTransportationData!$B:$B,Compare!$D44:$F44))</f>
        <v>573.70000000000005</v>
      </c>
      <c r="Q44" s="86">
        <f>SUMPRODUCT(SUMIFS(RawTransportationData!$G:$G,RawTransportationData!$A:$A,Compare!$P$2,RawTransportationData!$B:$B,Compare!$D44:$F44))</f>
        <v>510139.9</v>
      </c>
      <c r="R44" s="32">
        <f t="shared" si="3"/>
        <v>889.21021439776882</v>
      </c>
      <c r="S44" s="32">
        <f>SUMPRODUCT(SUMIFS(RawTransportationData!$H:$H,RawTransportationData!$A:$A,Compare!$P$1,RawTransportationData!$B:$B,Compare!$D44:$F44))</f>
        <v>291521</v>
      </c>
      <c r="T44" s="32">
        <f t="shared" si="4"/>
        <v>218618.90000000002</v>
      </c>
      <c r="U44" s="45"/>
      <c r="V44" s="85">
        <f>SUMPRODUCT(SUMIFS(RawTransportationData!$D:$D,RawTransportationData!$A:$A,Compare!$V$2,RawTransportationData!$B:$B,Compare!$D44:$F44))</f>
        <v>567.9</v>
      </c>
      <c r="W44" s="86">
        <f>SUMPRODUCT(SUMIFS(RawTransportationData!$G:$G,RawTransportationData!$A:$A,Compare!$V$2,RawTransportationData!$B:$B,Compare!$D44:$F44))</f>
        <v>355452.94</v>
      </c>
      <c r="X44" s="32">
        <f t="shared" si="5"/>
        <v>625.90762458179256</v>
      </c>
      <c r="Y44" s="32">
        <f>SUMPRODUCT(SUMIFS(RawTransportationData!$H:$H,RawTransportationData!$A:$A,Compare!$V$1,RawTransportationData!$B:$B,Compare!$D44:$F44))</f>
        <v>119715</v>
      </c>
      <c r="Z44" s="32">
        <f t="shared" si="6"/>
        <v>235737.94</v>
      </c>
    </row>
    <row r="45" spans="1:26" x14ac:dyDescent="0.55000000000000004">
      <c r="A45">
        <f>FinalPayment!A43</f>
        <v>2021</v>
      </c>
      <c r="B45" t="str">
        <f>FinalPayment!B43</f>
        <v>11</v>
      </c>
      <c r="C45" t="str">
        <f>FinalPayment!C43</f>
        <v>0981</v>
      </c>
      <c r="D45" t="str">
        <f>FinalPayment!D43</f>
        <v/>
      </c>
      <c r="E45" t="str">
        <f>FinalPayment!E43</f>
        <v/>
      </c>
      <c r="F45" t="str">
        <f>FinalPayment!F43</f>
        <v>0981</v>
      </c>
      <c r="G45" s="28" t="str">
        <f>FinalPayment!G43</f>
        <v>Carlisle</v>
      </c>
      <c r="H45" s="85">
        <f>SUMPRODUCT(SUMIFS(RawTransportationData!$D:$D,RawTransportationData!$A:$A,Compare!$H$2,RawTransportationData!$B:$B,Compare!$D45:$F45))</f>
        <v>1981.5</v>
      </c>
      <c r="I45" s="86">
        <f>SUMPRODUCT(SUMIFS(RawTransportationData!$G:$G,RawTransportationData!$A:$A,Compare!$H$2,RawTransportationData!$B:$B,Compare!$D45:$F45))</f>
        <v>757540.94</v>
      </c>
      <c r="J45" s="32">
        <f t="shared" si="7"/>
        <v>382.3068079737572</v>
      </c>
      <c r="K45" s="32">
        <f>SUMPRODUCT(SUMIFS(RawTransportationData!$H:$H,RawTransportationData!$A:$A,Compare!$E$1,RawTransportationData!$B:$B,Compare!$D45:$F45))</f>
        <v>70301</v>
      </c>
      <c r="L45" s="32">
        <f t="shared" si="0"/>
        <v>687239.94</v>
      </c>
      <c r="M45" s="70">
        <f t="shared" si="1"/>
        <v>0.1547251348056041</v>
      </c>
      <c r="N45" s="70">
        <f t="shared" si="2"/>
        <v>9.1178928082531377E-2</v>
      </c>
      <c r="O45" s="45"/>
      <c r="P45" s="85">
        <f>SUMPRODUCT(SUMIFS(RawTransportationData!$D:$D,RawTransportationData!$A:$A,Compare!$P$2,RawTransportationData!$B:$B,Compare!$D45:$F45))</f>
        <v>1943.7</v>
      </c>
      <c r="Q45" s="86">
        <f>SUMPRODUCT(SUMIFS(RawTransportationData!$G:$G,RawTransportationData!$A:$A,Compare!$P$2,RawTransportationData!$B:$B,Compare!$D45:$F45))</f>
        <v>751647.2300000001</v>
      </c>
      <c r="R45" s="32">
        <f t="shared" si="3"/>
        <v>386.70948706076047</v>
      </c>
      <c r="S45" s="32">
        <f>SUMPRODUCT(SUMIFS(RawTransportationData!$H:$H,RawTransportationData!$A:$A,Compare!$P$1,RawTransportationData!$B:$B,Compare!$D45:$F45))</f>
        <v>10967</v>
      </c>
      <c r="T45" s="32">
        <f t="shared" si="4"/>
        <v>740680.2300000001</v>
      </c>
      <c r="U45" s="45"/>
      <c r="V45" s="85">
        <f>SUMPRODUCT(SUMIFS(RawTransportationData!$D:$D,RawTransportationData!$A:$A,Compare!$V$2,RawTransportationData!$B:$B,Compare!$D45:$F45))</f>
        <v>1902.3</v>
      </c>
      <c r="W45" s="86">
        <f>SUMPRODUCT(SUMIFS(RawTransportationData!$G:$G,RawTransportationData!$A:$A,Compare!$V$2,RawTransportationData!$B:$B,Compare!$D45:$F45))</f>
        <v>629814.16</v>
      </c>
      <c r="X45" s="32">
        <f t="shared" si="5"/>
        <v>331.0803553593019</v>
      </c>
      <c r="Y45" s="32">
        <f>SUMPRODUCT(SUMIFS(RawTransportationData!$H:$H,RawTransportationData!$A:$A,Compare!$V$1,RawTransportationData!$B:$B,Compare!$D45:$F45))</f>
        <v>0</v>
      </c>
      <c r="Z45" s="32">
        <f t="shared" si="6"/>
        <v>629814.16</v>
      </c>
    </row>
    <row r="46" spans="1:26" x14ac:dyDescent="0.55000000000000004">
      <c r="A46">
        <f>FinalPayment!A44</f>
        <v>2021</v>
      </c>
      <c r="B46" t="str">
        <f>FinalPayment!B44</f>
        <v>11</v>
      </c>
      <c r="C46" t="str">
        <f>FinalPayment!C44</f>
        <v>0999</v>
      </c>
      <c r="D46" t="str">
        <f>FinalPayment!D44</f>
        <v/>
      </c>
      <c r="E46" t="str">
        <f>FinalPayment!E44</f>
        <v/>
      </c>
      <c r="F46" t="str">
        <f>FinalPayment!F44</f>
        <v>0999</v>
      </c>
      <c r="G46" s="28" t="str">
        <f>FinalPayment!G44</f>
        <v>Carroll</v>
      </c>
      <c r="H46" s="85">
        <f>SUMPRODUCT(SUMIFS(RawTransportationData!$D:$D,RawTransportationData!$A:$A,Compare!$H$2,RawTransportationData!$B:$B,Compare!$D46:$F46))</f>
        <v>1698.7</v>
      </c>
      <c r="I46" s="86">
        <f>SUMPRODUCT(SUMIFS(RawTransportationData!$G:$G,RawTransportationData!$A:$A,Compare!$H$2,RawTransportationData!$B:$B,Compare!$D46:$F46))</f>
        <v>724780.16</v>
      </c>
      <c r="J46" s="32">
        <f t="shared" si="7"/>
        <v>426.66754577029496</v>
      </c>
      <c r="K46" s="32">
        <f>SUMPRODUCT(SUMIFS(RawTransportationData!$H:$H,RawTransportationData!$A:$A,Compare!$E$1,RawTransportationData!$B:$B,Compare!$D46:$F46))</f>
        <v>135622</v>
      </c>
      <c r="L46" s="32">
        <f t="shared" si="0"/>
        <v>589158.16</v>
      </c>
      <c r="M46" s="70">
        <f t="shared" si="1"/>
        <v>0.49953921591604578</v>
      </c>
      <c r="N46" s="70">
        <f t="shared" si="2"/>
        <v>0.24999614917832813</v>
      </c>
      <c r="O46" s="45"/>
      <c r="P46" s="85">
        <f>SUMPRODUCT(SUMIFS(RawTransportationData!$D:$D,RawTransportationData!$A:$A,Compare!$P$2,RawTransportationData!$B:$B,Compare!$D46:$F46))</f>
        <v>1672</v>
      </c>
      <c r="Q46" s="86">
        <f>SUMPRODUCT(SUMIFS(RawTransportationData!$G:$G,RawTransportationData!$A:$A,Compare!$P$2,RawTransportationData!$B:$B,Compare!$D46:$F46))</f>
        <v>788564.19</v>
      </c>
      <c r="R46" s="32">
        <f t="shared" si="3"/>
        <v>471.6293002392344</v>
      </c>
      <c r="S46" s="32">
        <f>SUMPRODUCT(SUMIFS(RawTransportationData!$H:$H,RawTransportationData!$A:$A,Compare!$P$1,RawTransportationData!$B:$B,Compare!$D46:$F46))</f>
        <v>151420</v>
      </c>
      <c r="T46" s="32">
        <f t="shared" si="4"/>
        <v>637144.18999999994</v>
      </c>
      <c r="U46" s="45"/>
      <c r="V46" s="85">
        <f>SUMPRODUCT(SUMIFS(RawTransportationData!$D:$D,RawTransportationData!$A:$A,Compare!$V$2,RawTransportationData!$B:$B,Compare!$D46:$F46))</f>
        <v>1656.5</v>
      </c>
      <c r="W46" s="86">
        <f>SUMPRODUCT(SUMIFS(RawTransportationData!$G:$G,RawTransportationData!$A:$A,Compare!$V$2,RawTransportationData!$B:$B,Compare!$D46:$F46))</f>
        <v>471327.98</v>
      </c>
      <c r="X46" s="32">
        <f t="shared" si="5"/>
        <v>284.53243585873827</v>
      </c>
      <c r="Y46" s="32">
        <f>SUMPRODUCT(SUMIFS(RawTransportationData!$H:$H,RawTransportationData!$A:$A,Compare!$V$1,RawTransportationData!$B:$B,Compare!$D46:$F46))</f>
        <v>0</v>
      </c>
      <c r="Z46" s="32">
        <f t="shared" si="6"/>
        <v>471327.98</v>
      </c>
    </row>
    <row r="47" spans="1:26" x14ac:dyDescent="0.55000000000000004">
      <c r="A47">
        <f>FinalPayment!A45</f>
        <v>2021</v>
      </c>
      <c r="B47" t="str">
        <f>FinalPayment!B45</f>
        <v>07</v>
      </c>
      <c r="C47" t="str">
        <f>FinalPayment!C45</f>
        <v>1044</v>
      </c>
      <c r="D47" t="str">
        <f>FinalPayment!D45</f>
        <v/>
      </c>
      <c r="E47" t="str">
        <f>FinalPayment!E45</f>
        <v/>
      </c>
      <c r="F47" t="str">
        <f>FinalPayment!F45</f>
        <v>1044</v>
      </c>
      <c r="G47" s="28" t="str">
        <f>FinalPayment!G45</f>
        <v>Cedar Falls</v>
      </c>
      <c r="H47" s="85">
        <f>SUMPRODUCT(SUMIFS(RawTransportationData!$D:$D,RawTransportationData!$A:$A,Compare!$H$2,RawTransportationData!$B:$B,Compare!$D47:$F47))</f>
        <v>5236.4000000000005</v>
      </c>
      <c r="I47" s="86">
        <f>SUMPRODUCT(SUMIFS(RawTransportationData!$G:$G,RawTransportationData!$A:$A,Compare!$H$2,RawTransportationData!$B:$B,Compare!$D47:$F47))</f>
        <v>1470094.92</v>
      </c>
      <c r="J47" s="32">
        <f t="shared" si="7"/>
        <v>280.74534412955461</v>
      </c>
      <c r="K47" s="32">
        <f>SUMPRODUCT(SUMIFS(RawTransportationData!$H:$H,RawTransportationData!$A:$A,Compare!$E$1,RawTransportationData!$B:$B,Compare!$D47:$F47))</f>
        <v>4286</v>
      </c>
      <c r="L47" s="32">
        <f t="shared" si="0"/>
        <v>1465808.92</v>
      </c>
      <c r="M47" s="70">
        <f t="shared" si="1"/>
        <v>0.16903874523869053</v>
      </c>
      <c r="N47" s="70">
        <f t="shared" si="2"/>
        <v>0.18608409291518099</v>
      </c>
      <c r="O47" s="45"/>
      <c r="P47" s="85">
        <f>SUMPRODUCT(SUMIFS(RawTransportationData!$D:$D,RawTransportationData!$A:$A,Compare!$P$2,RawTransportationData!$B:$B,Compare!$D47:$F47))</f>
        <v>5125.8999999999996</v>
      </c>
      <c r="Q47" s="86">
        <f>SUMPRODUCT(SUMIFS(RawTransportationData!$G:$G,RawTransportationData!$A:$A,Compare!$P$2,RawTransportationData!$B:$B,Compare!$D47:$F47))</f>
        <v>1480213.19</v>
      </c>
      <c r="R47" s="32">
        <f t="shared" si="3"/>
        <v>288.77137478296493</v>
      </c>
      <c r="S47" s="32">
        <f>SUMPRODUCT(SUMIFS(RawTransportationData!$H:$H,RawTransportationData!$A:$A,Compare!$P$1,RawTransportationData!$B:$B,Compare!$D47:$F47))</f>
        <v>0</v>
      </c>
      <c r="T47" s="32">
        <f t="shared" si="4"/>
        <v>1480213.19</v>
      </c>
      <c r="U47" s="45"/>
      <c r="V47" s="85">
        <f>SUMPRODUCT(SUMIFS(RawTransportationData!$D:$D,RawTransportationData!$A:$A,Compare!$V$2,RawTransportationData!$B:$B,Compare!$D47:$F47))</f>
        <v>5146.1000000000004</v>
      </c>
      <c r="W47" s="86">
        <f>SUMPRODUCT(SUMIFS(RawTransportationData!$G:$G,RawTransportationData!$A:$A,Compare!$V$2,RawTransportationData!$B:$B,Compare!$D47:$F47))</f>
        <v>1235838.9500000002</v>
      </c>
      <c r="X47" s="32">
        <f t="shared" si="5"/>
        <v>240.15058976700806</v>
      </c>
      <c r="Y47" s="32">
        <f>SUMPRODUCT(SUMIFS(RawTransportationData!$H:$H,RawTransportationData!$A:$A,Compare!$V$1,RawTransportationData!$B:$B,Compare!$D47:$F47))</f>
        <v>0</v>
      </c>
      <c r="Z47" s="32">
        <f t="shared" si="6"/>
        <v>1235838.9500000002</v>
      </c>
    </row>
    <row r="48" spans="1:26" x14ac:dyDescent="0.55000000000000004">
      <c r="A48">
        <f>FinalPayment!A46</f>
        <v>2021</v>
      </c>
      <c r="B48" t="str">
        <f>FinalPayment!B46</f>
        <v>10</v>
      </c>
      <c r="C48" t="str">
        <f>FinalPayment!C46</f>
        <v>1053</v>
      </c>
      <c r="D48" t="str">
        <f>FinalPayment!D46</f>
        <v/>
      </c>
      <c r="E48" t="str">
        <f>FinalPayment!E46</f>
        <v/>
      </c>
      <c r="F48" t="str">
        <f>FinalPayment!F46</f>
        <v>1053</v>
      </c>
      <c r="G48" s="28" t="str">
        <f>FinalPayment!G46</f>
        <v>Cedar Rapids</v>
      </c>
      <c r="H48" s="85">
        <f>SUMPRODUCT(SUMIFS(RawTransportationData!$D:$D,RawTransportationData!$A:$A,Compare!$H$2,RawTransportationData!$B:$B,Compare!$D48:$F48))</f>
        <v>16943.900000000001</v>
      </c>
      <c r="I48" s="86">
        <f>SUMPRODUCT(SUMIFS(RawTransportationData!$G:$G,RawTransportationData!$A:$A,Compare!$H$2,RawTransportationData!$B:$B,Compare!$D48:$F48))</f>
        <v>6172856.4099999992</v>
      </c>
      <c r="J48" s="32">
        <f t="shared" si="7"/>
        <v>364.3114283016306</v>
      </c>
      <c r="K48" s="32">
        <f>SUMPRODUCT(SUMIFS(RawTransportationData!$H:$H,RawTransportationData!$A:$A,Compare!$E$1,RawTransportationData!$B:$B,Compare!$D48:$F48))</f>
        <v>296155</v>
      </c>
      <c r="L48" s="32">
        <f t="shared" si="0"/>
        <v>5876701.4099999992</v>
      </c>
      <c r="M48" s="70">
        <f t="shared" si="1"/>
        <v>0.65002000446582608</v>
      </c>
      <c r="N48" s="70">
        <f t="shared" si="2"/>
        <v>0.55881441835112677</v>
      </c>
      <c r="O48" s="45"/>
      <c r="P48" s="85">
        <f>SUMPRODUCT(SUMIFS(RawTransportationData!$D:$D,RawTransportationData!$A:$A,Compare!$P$2,RawTransportationData!$B:$B,Compare!$D48:$F48))</f>
        <v>17104.800000000003</v>
      </c>
      <c r="Q48" s="86">
        <f>SUMPRODUCT(SUMIFS(RawTransportationData!$G:$G,RawTransportationData!$A:$A,Compare!$P$2,RawTransportationData!$B:$B,Compare!$D48:$F48))</f>
        <v>4687534.7700000005</v>
      </c>
      <c r="R48" s="32">
        <f t="shared" si="3"/>
        <v>274.04791462045739</v>
      </c>
      <c r="S48" s="32">
        <f>SUMPRODUCT(SUMIFS(RawTransportationData!$H:$H,RawTransportationData!$A:$A,Compare!$P$1,RawTransportationData!$B:$B,Compare!$D48:$F48))</f>
        <v>0</v>
      </c>
      <c r="T48" s="32">
        <f t="shared" si="4"/>
        <v>4687534.7700000005</v>
      </c>
      <c r="U48" s="45"/>
      <c r="V48" s="85">
        <f>SUMPRODUCT(SUMIFS(RawTransportationData!$D:$D,RawTransportationData!$A:$A,Compare!$V$2,RawTransportationData!$B:$B,Compare!$D48:$F48))</f>
        <v>17074.8</v>
      </c>
      <c r="W48" s="86">
        <f>SUMPRODUCT(SUMIFS(RawTransportationData!$G:$G,RawTransportationData!$A:$A,Compare!$V$2,RawTransportationData!$B:$B,Compare!$D48:$F48))</f>
        <v>3769981.43</v>
      </c>
      <c r="X48" s="32">
        <f t="shared" si="5"/>
        <v>220.79212816548366</v>
      </c>
      <c r="Y48" s="32">
        <f>SUMPRODUCT(SUMIFS(RawTransportationData!$H:$H,RawTransportationData!$A:$A,Compare!$V$1,RawTransportationData!$B:$B,Compare!$D48:$F48))</f>
        <v>0</v>
      </c>
      <c r="Z48" s="32">
        <f t="shared" si="6"/>
        <v>3769981.43</v>
      </c>
    </row>
    <row r="49" spans="1:26" x14ac:dyDescent="0.55000000000000004">
      <c r="A49">
        <f>FinalPayment!A47</f>
        <v>2021</v>
      </c>
      <c r="B49" t="str">
        <f>FinalPayment!B47</f>
        <v>10</v>
      </c>
      <c r="C49" t="str">
        <f>FinalPayment!C47</f>
        <v>1062</v>
      </c>
      <c r="D49" t="str">
        <f>FinalPayment!D47</f>
        <v/>
      </c>
      <c r="E49" t="str">
        <f>FinalPayment!E47</f>
        <v/>
      </c>
      <c r="F49" t="str">
        <f>FinalPayment!F47</f>
        <v>1062</v>
      </c>
      <c r="G49" s="28" t="str">
        <f>FinalPayment!G47</f>
        <v>Center Point-Urbana</v>
      </c>
      <c r="H49" s="85">
        <f>SUMPRODUCT(SUMIFS(RawTransportationData!$D:$D,RawTransportationData!$A:$A,Compare!$H$2,RawTransportationData!$B:$B,Compare!$D49:$F49))</f>
        <v>1331.4</v>
      </c>
      <c r="I49" s="86">
        <f>SUMPRODUCT(SUMIFS(RawTransportationData!$G:$G,RawTransportationData!$A:$A,Compare!$H$2,RawTransportationData!$B:$B,Compare!$D49:$F49))</f>
        <v>357489.45</v>
      </c>
      <c r="J49" s="32">
        <f t="shared" si="7"/>
        <v>268.50642181162686</v>
      </c>
      <c r="K49" s="32">
        <f>SUMPRODUCT(SUMIFS(RawTransportationData!$H:$H,RawTransportationData!$A:$A,Compare!$E$1,RawTransportationData!$B:$B,Compare!$D49:$F49))</f>
        <v>1090</v>
      </c>
      <c r="L49" s="32">
        <f t="shared" si="0"/>
        <v>356399.45</v>
      </c>
      <c r="M49" s="70">
        <f t="shared" si="1"/>
        <v>-4.3212055532472898E-2</v>
      </c>
      <c r="N49" s="70">
        <f t="shared" si="2"/>
        <v>-6.89953851722762E-2</v>
      </c>
      <c r="O49" s="45"/>
      <c r="P49" s="85">
        <f>SUMPRODUCT(SUMIFS(RawTransportationData!$D:$D,RawTransportationData!$A:$A,Compare!$P$2,RawTransportationData!$B:$B,Compare!$D49:$F49))</f>
        <v>1356.3</v>
      </c>
      <c r="Q49" s="86">
        <f>SUMPRODUCT(SUMIFS(RawTransportationData!$G:$G,RawTransportationData!$A:$A,Compare!$P$2,RawTransportationData!$B:$B,Compare!$D49:$F49))</f>
        <v>342877.62000000005</v>
      </c>
      <c r="R49" s="32">
        <f t="shared" si="3"/>
        <v>252.80367175403677</v>
      </c>
      <c r="S49" s="32">
        <f>SUMPRODUCT(SUMIFS(RawTransportationData!$H:$H,RawTransportationData!$A:$A,Compare!$P$1,RawTransportationData!$B:$B,Compare!$D49:$F49))</f>
        <v>0</v>
      </c>
      <c r="T49" s="32">
        <f t="shared" si="4"/>
        <v>342877.62000000005</v>
      </c>
      <c r="U49" s="45"/>
      <c r="V49" s="85">
        <f>SUMPRODUCT(SUMIFS(RawTransportationData!$D:$D,RawTransportationData!$A:$A,Compare!$V$2,RawTransportationData!$B:$B,Compare!$D49:$F49))</f>
        <v>1364.1</v>
      </c>
      <c r="W49" s="86">
        <f>SUMPRODUCT(SUMIFS(RawTransportationData!$G:$G,RawTransportationData!$A:$A,Compare!$V$2,RawTransportationData!$B:$B,Compare!$D49:$F49))</f>
        <v>382811.69</v>
      </c>
      <c r="X49" s="32">
        <f t="shared" si="5"/>
        <v>280.633157393153</v>
      </c>
      <c r="Y49" s="32">
        <f>SUMPRODUCT(SUMIFS(RawTransportationData!$H:$H,RawTransportationData!$A:$A,Compare!$V$1,RawTransportationData!$B:$B,Compare!$D49:$F49))</f>
        <v>0</v>
      </c>
      <c r="Z49" s="32">
        <f t="shared" si="6"/>
        <v>382811.69</v>
      </c>
    </row>
    <row r="50" spans="1:26" x14ac:dyDescent="0.55000000000000004">
      <c r="A50">
        <f>FinalPayment!A48</f>
        <v>2021</v>
      </c>
      <c r="B50" t="str">
        <f>FinalPayment!B48</f>
        <v>15</v>
      </c>
      <c r="C50" t="str">
        <f>FinalPayment!C48</f>
        <v>1071</v>
      </c>
      <c r="D50" t="str">
        <f>FinalPayment!D48</f>
        <v/>
      </c>
      <c r="E50" t="str">
        <f>FinalPayment!E48</f>
        <v/>
      </c>
      <c r="F50" t="str">
        <f>FinalPayment!F48</f>
        <v>1071</v>
      </c>
      <c r="G50" s="28" t="str">
        <f>FinalPayment!G48</f>
        <v>Centerville</v>
      </c>
      <c r="H50" s="85">
        <f>SUMPRODUCT(SUMIFS(RawTransportationData!$D:$D,RawTransportationData!$A:$A,Compare!$H$2,RawTransportationData!$B:$B,Compare!$D50:$F50))</f>
        <v>1374.8</v>
      </c>
      <c r="I50" s="86">
        <f>SUMPRODUCT(SUMIFS(RawTransportationData!$G:$G,RawTransportationData!$A:$A,Compare!$H$2,RawTransportationData!$B:$B,Compare!$D50:$F50))</f>
        <v>344504.3</v>
      </c>
      <c r="J50" s="32">
        <f t="shared" si="7"/>
        <v>250.58503054989816</v>
      </c>
      <c r="K50" s="32">
        <f>SUMPRODUCT(SUMIFS(RawTransportationData!$H:$H,RawTransportationData!$A:$A,Compare!$E$1,RawTransportationData!$B:$B,Compare!$D50:$F50))</f>
        <v>1125</v>
      </c>
      <c r="L50" s="32">
        <f t="shared" si="0"/>
        <v>343379.3</v>
      </c>
      <c r="M50" s="70">
        <f t="shared" si="1"/>
        <v>2.5930864465118757E-2</v>
      </c>
      <c r="N50" s="70">
        <f t="shared" si="2"/>
        <v>5.2357094071378646E-2</v>
      </c>
      <c r="O50" s="45"/>
      <c r="P50" s="85">
        <f>SUMPRODUCT(SUMIFS(RawTransportationData!$D:$D,RawTransportationData!$A:$A,Compare!$P$2,RawTransportationData!$B:$B,Compare!$D50:$F50))</f>
        <v>1376.4</v>
      </c>
      <c r="Q50" s="86">
        <f>SUMPRODUCT(SUMIFS(RawTransportationData!$G:$G,RawTransportationData!$A:$A,Compare!$P$2,RawTransportationData!$B:$B,Compare!$D50:$F50))</f>
        <v>353031.19</v>
      </c>
      <c r="R50" s="32">
        <f t="shared" si="3"/>
        <v>256.48880412670735</v>
      </c>
      <c r="S50" s="32">
        <f>SUMPRODUCT(SUMIFS(RawTransportationData!$H:$H,RawTransportationData!$A:$A,Compare!$P$1,RawTransportationData!$B:$B,Compare!$D50:$F50))</f>
        <v>0</v>
      </c>
      <c r="T50" s="32">
        <f t="shared" si="4"/>
        <v>353031.19</v>
      </c>
      <c r="U50" s="45"/>
      <c r="V50" s="85">
        <f>SUMPRODUCT(SUMIFS(RawTransportationData!$D:$D,RawTransportationData!$A:$A,Compare!$V$2,RawTransportationData!$B:$B,Compare!$D50:$F50))</f>
        <v>1335.9</v>
      </c>
      <c r="W50" s="86">
        <f>SUMPRODUCT(SUMIFS(RawTransportationData!$G:$G,RawTransportationData!$A:$A,Compare!$V$2,RawTransportationData!$B:$B,Compare!$D50:$F50))</f>
        <v>326295.42</v>
      </c>
      <c r="X50" s="32">
        <f t="shared" si="5"/>
        <v>244.25138109139903</v>
      </c>
      <c r="Y50" s="32">
        <f>SUMPRODUCT(SUMIFS(RawTransportationData!$H:$H,RawTransportationData!$A:$A,Compare!$V$1,RawTransportationData!$B:$B,Compare!$D50:$F50))</f>
        <v>0</v>
      </c>
      <c r="Z50" s="32">
        <f t="shared" si="6"/>
        <v>326295.42</v>
      </c>
    </row>
    <row r="51" spans="1:26" x14ac:dyDescent="0.55000000000000004">
      <c r="A51">
        <f>FinalPayment!A49</f>
        <v>2021</v>
      </c>
      <c r="B51" t="str">
        <f>FinalPayment!B49</f>
        <v>10</v>
      </c>
      <c r="C51" t="str">
        <f>FinalPayment!C49</f>
        <v>1089</v>
      </c>
      <c r="D51" t="str">
        <f>FinalPayment!D49</f>
        <v/>
      </c>
      <c r="E51" t="str">
        <f>FinalPayment!E49</f>
        <v/>
      </c>
      <c r="F51" t="str">
        <f>FinalPayment!F49</f>
        <v>1089</v>
      </c>
      <c r="G51" s="28" t="str">
        <f>FinalPayment!G49</f>
        <v>Central City</v>
      </c>
      <c r="H51" s="85">
        <f>SUMPRODUCT(SUMIFS(RawTransportationData!$D:$D,RawTransportationData!$A:$A,Compare!$H$2,RawTransportationData!$B:$B,Compare!$D51:$F51))</f>
        <v>458.9</v>
      </c>
      <c r="I51" s="86">
        <f>SUMPRODUCT(SUMIFS(RawTransportationData!$G:$G,RawTransportationData!$A:$A,Compare!$H$2,RawTransportationData!$B:$B,Compare!$D51:$F51))</f>
        <v>140707.45000000001</v>
      </c>
      <c r="J51" s="32">
        <f t="shared" si="7"/>
        <v>306.61898016997173</v>
      </c>
      <c r="K51" s="32">
        <f>SUMPRODUCT(SUMIFS(RawTransportationData!$H:$H,RawTransportationData!$A:$A,Compare!$E$1,RawTransportationData!$B:$B,Compare!$D51:$F51))</f>
        <v>376</v>
      </c>
      <c r="L51" s="32">
        <f t="shared" si="0"/>
        <v>140331.45000000001</v>
      </c>
      <c r="M51" s="70">
        <f t="shared" si="1"/>
        <v>2.6858261409172233E-3</v>
      </c>
      <c r="N51" s="70">
        <f t="shared" si="2"/>
        <v>-4.1556068493098293E-2</v>
      </c>
      <c r="O51" s="45"/>
      <c r="P51" s="85">
        <f>SUMPRODUCT(SUMIFS(RawTransportationData!$D:$D,RawTransportationData!$A:$A,Compare!$P$2,RawTransportationData!$B:$B,Compare!$D51:$F51))</f>
        <v>473.6</v>
      </c>
      <c r="Q51" s="86">
        <f>SUMPRODUCT(SUMIFS(RawTransportationData!$G:$G,RawTransportationData!$A:$A,Compare!$P$2,RawTransportationData!$B:$B,Compare!$D51:$F51))</f>
        <v>155938.18</v>
      </c>
      <c r="R51" s="32">
        <f t="shared" si="3"/>
        <v>329.26135979729725</v>
      </c>
      <c r="S51" s="32">
        <f>SUMPRODUCT(SUMIFS(RawTransportationData!$H:$H,RawTransportationData!$A:$A,Compare!$P$1,RawTransportationData!$B:$B,Compare!$D51:$F51))</f>
        <v>0</v>
      </c>
      <c r="T51" s="32">
        <f t="shared" si="4"/>
        <v>155938.18</v>
      </c>
      <c r="U51" s="45"/>
      <c r="V51" s="85">
        <f>SUMPRODUCT(SUMIFS(RawTransportationData!$D:$D,RawTransportationData!$A:$A,Compare!$V$2,RawTransportationData!$B:$B,Compare!$D51:$F51))</f>
        <v>478.8</v>
      </c>
      <c r="W51" s="86">
        <f>SUMPRODUCT(SUMIFS(RawTransportationData!$G:$G,RawTransportationData!$A:$A,Compare!$V$2,RawTransportationData!$B:$B,Compare!$D51:$F51))</f>
        <v>146415.92000000001</v>
      </c>
      <c r="X51" s="32">
        <f t="shared" si="5"/>
        <v>305.7976608187135</v>
      </c>
      <c r="Y51" s="32">
        <f>SUMPRODUCT(SUMIFS(RawTransportationData!$H:$H,RawTransportationData!$A:$A,Compare!$V$1,RawTransportationData!$B:$B,Compare!$D51:$F51))</f>
        <v>0</v>
      </c>
      <c r="Z51" s="32">
        <f t="shared" si="6"/>
        <v>146415.92000000001</v>
      </c>
    </row>
    <row r="52" spans="1:26" x14ac:dyDescent="0.55000000000000004">
      <c r="A52">
        <f>FinalPayment!A50</f>
        <v>2021</v>
      </c>
      <c r="B52" t="str">
        <f>FinalPayment!B50</f>
        <v>01</v>
      </c>
      <c r="C52" t="str">
        <f>FinalPayment!C50</f>
        <v>1080</v>
      </c>
      <c r="D52" t="str">
        <f>FinalPayment!D50</f>
        <v/>
      </c>
      <c r="E52" t="str">
        <f>FinalPayment!E50</f>
        <v/>
      </c>
      <c r="F52" t="str">
        <f>FinalPayment!F50</f>
        <v>1080</v>
      </c>
      <c r="G52" s="28" t="str">
        <f>FinalPayment!G50</f>
        <v>Central Clayton</v>
      </c>
      <c r="H52" s="85">
        <f>SUMPRODUCT(SUMIFS(RawTransportationData!$D:$D,RawTransportationData!$A:$A,Compare!$H$2,RawTransportationData!$B:$B,Compare!$D52:$F52))</f>
        <v>424.1</v>
      </c>
      <c r="I52" s="86">
        <f>SUMPRODUCT(SUMIFS(RawTransportationData!$G:$G,RawTransportationData!$A:$A,Compare!$H$2,RawTransportationData!$B:$B,Compare!$D52:$F52))</f>
        <v>289763.18</v>
      </c>
      <c r="J52" s="32">
        <f t="shared" si="7"/>
        <v>683.24258429615656</v>
      </c>
      <c r="K52" s="32">
        <f>SUMPRODUCT(SUMIFS(RawTransportationData!$H:$H,RawTransportationData!$A:$A,Compare!$E$1,RawTransportationData!$B:$B,Compare!$D52:$F52))</f>
        <v>142671</v>
      </c>
      <c r="L52" s="32">
        <f t="shared" si="0"/>
        <v>147092.18</v>
      </c>
      <c r="M52" s="70">
        <f t="shared" si="1"/>
        <v>0.15365906093017626</v>
      </c>
      <c r="N52" s="70">
        <f t="shared" si="2"/>
        <v>-0.18220978774018939</v>
      </c>
      <c r="O52" s="45"/>
      <c r="P52" s="85">
        <f>SUMPRODUCT(SUMIFS(RawTransportationData!$D:$D,RawTransportationData!$A:$A,Compare!$P$2,RawTransportationData!$B:$B,Compare!$D52:$F52))</f>
        <v>418.6</v>
      </c>
      <c r="Q52" s="86">
        <f>SUMPRODUCT(SUMIFS(RawTransportationData!$G:$G,RawTransportationData!$A:$A,Compare!$P$2,RawTransportationData!$B:$B,Compare!$D52:$F52))</f>
        <v>288506.21999999997</v>
      </c>
      <c r="R52" s="32">
        <f t="shared" si="3"/>
        <v>689.2169612995699</v>
      </c>
      <c r="S52" s="32">
        <f>SUMPRODUCT(SUMIFS(RawTransportationData!$H:$H,RawTransportationData!$A:$A,Compare!$P$1,RawTransportationData!$B:$B,Compare!$D52:$F52))</f>
        <v>128993</v>
      </c>
      <c r="T52" s="32">
        <f t="shared" si="4"/>
        <v>159513.21999999997</v>
      </c>
      <c r="U52" s="45"/>
      <c r="V52" s="85">
        <f>SUMPRODUCT(SUMIFS(RawTransportationData!$D:$D,RawTransportationData!$A:$A,Compare!$V$2,RawTransportationData!$B:$B,Compare!$D52:$F52))</f>
        <v>433.3</v>
      </c>
      <c r="W52" s="86">
        <f>SUMPRODUCT(SUMIFS(RawTransportationData!$G:$G,RawTransportationData!$A:$A,Compare!$V$2,RawTransportationData!$B:$B,Compare!$D52:$F52))</f>
        <v>256617.42</v>
      </c>
      <c r="X52" s="32">
        <f t="shared" si="5"/>
        <v>592.2396030463882</v>
      </c>
      <c r="Y52" s="32">
        <f>SUMPRODUCT(SUMIFS(RawTransportationData!$H:$H,RawTransportationData!$A:$A,Compare!$V$1,RawTransportationData!$B:$B,Compare!$D52:$F52))</f>
        <v>76752</v>
      </c>
      <c r="Z52" s="32">
        <f t="shared" si="6"/>
        <v>179865.42</v>
      </c>
    </row>
    <row r="53" spans="1:26" x14ac:dyDescent="0.55000000000000004">
      <c r="A53">
        <f>FinalPayment!A51</f>
        <v>2021</v>
      </c>
      <c r="B53" t="str">
        <f>FinalPayment!B51</f>
        <v>09</v>
      </c>
      <c r="C53" t="str">
        <f>FinalPayment!C51</f>
        <v>1082</v>
      </c>
      <c r="D53" t="str">
        <f>FinalPayment!D51</f>
        <v/>
      </c>
      <c r="E53" t="str">
        <f>FinalPayment!E51</f>
        <v/>
      </c>
      <c r="F53" t="str">
        <f>FinalPayment!F51</f>
        <v>1082</v>
      </c>
      <c r="G53" s="28" t="str">
        <f>FinalPayment!G51</f>
        <v>Central De Witt</v>
      </c>
      <c r="H53" s="85">
        <f>SUMPRODUCT(SUMIFS(RawTransportationData!$D:$D,RawTransportationData!$A:$A,Compare!$H$2,RawTransportationData!$B:$B,Compare!$D53:$F53))</f>
        <v>1472.6</v>
      </c>
      <c r="I53" s="86">
        <f>SUMPRODUCT(SUMIFS(RawTransportationData!$G:$G,RawTransportationData!$A:$A,Compare!$H$2,RawTransportationData!$B:$B,Compare!$D53:$F53))</f>
        <v>498817.02</v>
      </c>
      <c r="J53" s="32">
        <f t="shared" si="7"/>
        <v>338.73218796686137</v>
      </c>
      <c r="K53" s="32">
        <f>SUMPRODUCT(SUMIFS(RawTransportationData!$H:$H,RawTransportationData!$A:$A,Compare!$E$1,RawTransportationData!$B:$B,Compare!$D53:$F53))</f>
        <v>1205</v>
      </c>
      <c r="L53" s="32">
        <f t="shared" si="0"/>
        <v>497612.02</v>
      </c>
      <c r="M53" s="70">
        <f t="shared" si="1"/>
        <v>0.14081981398616072</v>
      </c>
      <c r="N53" s="70">
        <f t="shared" si="2"/>
        <v>0.14592336785743265</v>
      </c>
      <c r="O53" s="45"/>
      <c r="P53" s="85">
        <f>SUMPRODUCT(SUMIFS(RawTransportationData!$D:$D,RawTransportationData!$A:$A,Compare!$P$2,RawTransportationData!$B:$B,Compare!$D53:$F53))</f>
        <v>1462.7</v>
      </c>
      <c r="Q53" s="86">
        <f>SUMPRODUCT(SUMIFS(RawTransportationData!$G:$G,RawTransportationData!$A:$A,Compare!$P$2,RawTransportationData!$B:$B,Compare!$D53:$F53))</f>
        <v>528120.66</v>
      </c>
      <c r="R53" s="32">
        <f t="shared" si="3"/>
        <v>361.0587680317222</v>
      </c>
      <c r="S53" s="32">
        <f>SUMPRODUCT(SUMIFS(RawTransportationData!$H:$H,RawTransportationData!$A:$A,Compare!$P$1,RawTransportationData!$B:$B,Compare!$D53:$F53))</f>
        <v>0</v>
      </c>
      <c r="T53" s="32">
        <f t="shared" si="4"/>
        <v>528120.66</v>
      </c>
      <c r="U53" s="45"/>
      <c r="V53" s="85">
        <f>SUMPRODUCT(SUMIFS(RawTransportationData!$D:$D,RawTransportationData!$A:$A,Compare!$V$2,RawTransportationData!$B:$B,Compare!$D53:$F53))</f>
        <v>1462.5</v>
      </c>
      <c r="W53" s="86">
        <f>SUMPRODUCT(SUMIFS(RawTransportationData!$G:$G,RawTransportationData!$A:$A,Compare!$V$2,RawTransportationData!$B:$B,Compare!$D53:$F53))</f>
        <v>434245.45999999996</v>
      </c>
      <c r="X53" s="32">
        <f t="shared" si="5"/>
        <v>296.91997264957263</v>
      </c>
      <c r="Y53" s="32">
        <f>SUMPRODUCT(SUMIFS(RawTransportationData!$H:$H,RawTransportationData!$A:$A,Compare!$V$1,RawTransportationData!$B:$B,Compare!$D53:$F53))</f>
        <v>0</v>
      </c>
      <c r="Z53" s="32">
        <f t="shared" si="6"/>
        <v>434245.45999999996</v>
      </c>
    </row>
    <row r="54" spans="1:26" x14ac:dyDescent="0.55000000000000004">
      <c r="A54">
        <f>FinalPayment!A52</f>
        <v>2021</v>
      </c>
      <c r="B54" t="str">
        <f>FinalPayment!B52</f>
        <v>13</v>
      </c>
      <c r="C54" t="str">
        <f>FinalPayment!C52</f>
        <v>1093</v>
      </c>
      <c r="D54" t="str">
        <f>FinalPayment!D52</f>
        <v/>
      </c>
      <c r="E54" t="str">
        <f>FinalPayment!E52</f>
        <v/>
      </c>
      <c r="F54" t="str">
        <f>FinalPayment!F52</f>
        <v>1093</v>
      </c>
      <c r="G54" s="28" t="str">
        <f>FinalPayment!G52</f>
        <v>Central Decatur</v>
      </c>
      <c r="H54" s="85">
        <f>SUMPRODUCT(SUMIFS(RawTransportationData!$D:$D,RawTransportationData!$A:$A,Compare!$H$2,RawTransportationData!$B:$B,Compare!$D54:$F54))</f>
        <v>615.4</v>
      </c>
      <c r="I54" s="86">
        <f>SUMPRODUCT(SUMIFS(RawTransportationData!$G:$G,RawTransportationData!$A:$A,Compare!$H$2,RawTransportationData!$B:$B,Compare!$D54:$F54))</f>
        <v>674595.55</v>
      </c>
      <c r="J54" s="32">
        <f t="shared" si="7"/>
        <v>1096.1903639909003</v>
      </c>
      <c r="K54" s="32">
        <f>SUMPRODUCT(SUMIFS(RawTransportationData!$H:$H,RawTransportationData!$A:$A,Compare!$E$1,RawTransportationData!$B:$B,Compare!$D54:$F54))</f>
        <v>461156</v>
      </c>
      <c r="L54" s="32">
        <f t="shared" si="0"/>
        <v>213439.55000000005</v>
      </c>
      <c r="M54" s="70">
        <f t="shared" si="1"/>
        <v>0.31542116842011658</v>
      </c>
      <c r="N54" s="70">
        <f t="shared" si="2"/>
        <v>-0.20992304543918167</v>
      </c>
      <c r="O54" s="45"/>
      <c r="P54" s="85">
        <f>SUMPRODUCT(SUMIFS(RawTransportationData!$D:$D,RawTransportationData!$A:$A,Compare!$P$2,RawTransportationData!$B:$B,Compare!$D54:$F54))</f>
        <v>616.70000000000005</v>
      </c>
      <c r="Q54" s="86">
        <f>SUMPRODUCT(SUMIFS(RawTransportationData!$G:$G,RawTransportationData!$A:$A,Compare!$P$2,RawTransportationData!$B:$B,Compare!$D54:$F54))</f>
        <v>535187.82000000007</v>
      </c>
      <c r="R54" s="32">
        <f t="shared" si="3"/>
        <v>867.82523106859094</v>
      </c>
      <c r="S54" s="32">
        <f>SUMPRODUCT(SUMIFS(RawTransportationData!$H:$H,RawTransportationData!$A:$A,Compare!$P$1,RawTransportationData!$B:$B,Compare!$D54:$F54))</f>
        <v>300186</v>
      </c>
      <c r="T54" s="32">
        <f t="shared" si="4"/>
        <v>235001.82000000007</v>
      </c>
      <c r="U54" s="45"/>
      <c r="V54" s="85">
        <f>SUMPRODUCT(SUMIFS(RawTransportationData!$D:$D,RawTransportationData!$A:$A,Compare!$V$2,RawTransportationData!$B:$B,Compare!$D54:$F54))</f>
        <v>650.79999999999995</v>
      </c>
      <c r="W54" s="86">
        <f>SUMPRODUCT(SUMIFS(RawTransportationData!$G:$G,RawTransportationData!$A:$A,Compare!$V$2,RawTransportationData!$B:$B,Compare!$D54:$F54))</f>
        <v>542336.32999999996</v>
      </c>
      <c r="X54" s="32">
        <f t="shared" si="5"/>
        <v>833.33793792255688</v>
      </c>
      <c r="Y54" s="32">
        <f>SUMPRODUCT(SUMIFS(RawTransportationData!$H:$H,RawTransportationData!$A:$A,Compare!$V$1,RawTransportationData!$B:$B,Compare!$D54:$F54))</f>
        <v>272186</v>
      </c>
      <c r="Z54" s="32">
        <f t="shared" si="6"/>
        <v>270150.32999999996</v>
      </c>
    </row>
    <row r="55" spans="1:26" x14ac:dyDescent="0.55000000000000004">
      <c r="A55">
        <f>FinalPayment!A53</f>
        <v>2021</v>
      </c>
      <c r="B55" t="str">
        <f>FinalPayment!B53</f>
        <v>15</v>
      </c>
      <c r="C55" t="str">
        <f>FinalPayment!C53</f>
        <v>1079</v>
      </c>
      <c r="D55" t="str">
        <f>FinalPayment!D53</f>
        <v/>
      </c>
      <c r="E55" t="str">
        <f>FinalPayment!E53</f>
        <v/>
      </c>
      <c r="F55" t="str">
        <f>FinalPayment!F53</f>
        <v>1079</v>
      </c>
      <c r="G55" s="28" t="str">
        <f>FinalPayment!G53</f>
        <v>Central Lee</v>
      </c>
      <c r="H55" s="85">
        <f>SUMPRODUCT(SUMIFS(RawTransportationData!$D:$D,RawTransportationData!$A:$A,Compare!$H$2,RawTransportationData!$B:$B,Compare!$D55:$F55))</f>
        <v>764</v>
      </c>
      <c r="I55" s="86">
        <f>SUMPRODUCT(SUMIFS(RawTransportationData!$G:$G,RawTransportationData!$A:$A,Compare!$H$2,RawTransportationData!$B:$B,Compare!$D55:$F55))</f>
        <v>517915.06</v>
      </c>
      <c r="J55" s="32">
        <f t="shared" si="7"/>
        <v>677.89929319371731</v>
      </c>
      <c r="K55" s="32">
        <f>SUMPRODUCT(SUMIFS(RawTransportationData!$H:$H,RawTransportationData!$A:$A,Compare!$E$1,RawTransportationData!$B:$B,Compare!$D55:$F55))</f>
        <v>252936</v>
      </c>
      <c r="L55" s="32">
        <f t="shared" si="0"/>
        <v>264979.06</v>
      </c>
      <c r="M55" s="70">
        <f t="shared" si="1"/>
        <v>0.15661893475435559</v>
      </c>
      <c r="N55" s="70">
        <f t="shared" si="2"/>
        <v>-0.18931568247422051</v>
      </c>
      <c r="O55" s="45"/>
      <c r="P55" s="85">
        <f>SUMPRODUCT(SUMIFS(RawTransportationData!$D:$D,RawTransportationData!$A:$A,Compare!$P$2,RawTransportationData!$B:$B,Compare!$D55:$F55))</f>
        <v>766.7</v>
      </c>
      <c r="Q55" s="86">
        <f>SUMPRODUCT(SUMIFS(RawTransportationData!$G:$G,RawTransportationData!$A:$A,Compare!$P$2,RawTransportationData!$B:$B,Compare!$D55:$F55))</f>
        <v>514899.42</v>
      </c>
      <c r="R55" s="32">
        <f t="shared" si="3"/>
        <v>671.57874005478016</v>
      </c>
      <c r="S55" s="32">
        <f>SUMPRODUCT(SUMIFS(RawTransportationData!$H:$H,RawTransportationData!$A:$A,Compare!$P$1,RawTransportationData!$B:$B,Compare!$D55:$F55))</f>
        <v>222736</v>
      </c>
      <c r="T55" s="32">
        <f t="shared" si="4"/>
        <v>292163.42</v>
      </c>
      <c r="U55" s="45"/>
      <c r="V55" s="85">
        <f>SUMPRODUCT(SUMIFS(RawTransportationData!$D:$D,RawTransportationData!$A:$A,Compare!$V$2,RawTransportationData!$B:$B,Compare!$D55:$F55))</f>
        <v>787.4</v>
      </c>
      <c r="W55" s="86">
        <f>SUMPRODUCT(SUMIFS(RawTransportationData!$G:$G,RawTransportationData!$A:$A,Compare!$V$2,RawTransportationData!$B:$B,Compare!$D55:$F55))</f>
        <v>461498.5</v>
      </c>
      <c r="X55" s="32">
        <f t="shared" si="5"/>
        <v>586.10426720853445</v>
      </c>
      <c r="Y55" s="32">
        <f>SUMPRODUCT(SUMIFS(RawTransportationData!$H:$H,RawTransportationData!$A:$A,Compare!$V$1,RawTransportationData!$B:$B,Compare!$D55:$F55))</f>
        <v>134640</v>
      </c>
      <c r="Z55" s="32">
        <f t="shared" si="6"/>
        <v>326858.5</v>
      </c>
    </row>
    <row r="56" spans="1:26" x14ac:dyDescent="0.55000000000000004">
      <c r="A56">
        <f>FinalPayment!A54</f>
        <v>2021</v>
      </c>
      <c r="B56" t="str">
        <f>FinalPayment!B54</f>
        <v>12</v>
      </c>
      <c r="C56" t="str">
        <f>FinalPayment!C54</f>
        <v>1095</v>
      </c>
      <c r="D56" t="str">
        <f>FinalPayment!D54</f>
        <v/>
      </c>
      <c r="E56" t="str">
        <f>FinalPayment!E54</f>
        <v/>
      </c>
      <c r="F56" t="str">
        <f>FinalPayment!F54</f>
        <v>1095</v>
      </c>
      <c r="G56" s="28" t="str">
        <f>FinalPayment!G54</f>
        <v>Central Lyon</v>
      </c>
      <c r="H56" s="85">
        <f>SUMPRODUCT(SUMIFS(RawTransportationData!$D:$D,RawTransportationData!$A:$A,Compare!$H$2,RawTransportationData!$B:$B,Compare!$D56:$F56))</f>
        <v>774.4</v>
      </c>
      <c r="I56" s="86">
        <f>SUMPRODUCT(SUMIFS(RawTransportationData!$G:$G,RawTransportationData!$A:$A,Compare!$H$2,RawTransportationData!$B:$B,Compare!$D56:$F56))</f>
        <v>204208.71</v>
      </c>
      <c r="J56" s="32">
        <f t="shared" si="7"/>
        <v>263.69926394628101</v>
      </c>
      <c r="K56" s="32">
        <f>SUMPRODUCT(SUMIFS(RawTransportationData!$H:$H,RawTransportationData!$A:$A,Compare!$E$1,RawTransportationData!$B:$B,Compare!$D56:$F56))</f>
        <v>634</v>
      </c>
      <c r="L56" s="32">
        <f t="shared" si="0"/>
        <v>203574.71</v>
      </c>
      <c r="M56" s="70">
        <f t="shared" si="1"/>
        <v>1.1088520560956254</v>
      </c>
      <c r="N56" s="70">
        <f t="shared" si="2"/>
        <v>1.1666553318209565</v>
      </c>
      <c r="O56" s="45"/>
      <c r="P56" s="85">
        <f>SUMPRODUCT(SUMIFS(RawTransportationData!$D:$D,RawTransportationData!$A:$A,Compare!$P$2,RawTransportationData!$B:$B,Compare!$D56:$F56))</f>
        <v>761.2</v>
      </c>
      <c r="Q56" s="86">
        <f>SUMPRODUCT(SUMIFS(RawTransportationData!$G:$G,RawTransportationData!$A:$A,Compare!$P$2,RawTransportationData!$B:$B,Compare!$D56:$F56))</f>
        <v>159569.51</v>
      </c>
      <c r="R56" s="32">
        <f t="shared" si="3"/>
        <v>209.62888859695218</v>
      </c>
      <c r="S56" s="32">
        <f>SUMPRODUCT(SUMIFS(RawTransportationData!$H:$H,RawTransportationData!$A:$A,Compare!$P$1,RawTransportationData!$B:$B,Compare!$D56:$F56))</f>
        <v>0</v>
      </c>
      <c r="T56" s="32">
        <f t="shared" si="4"/>
        <v>159569.51</v>
      </c>
      <c r="U56" s="45"/>
      <c r="V56" s="85">
        <f>SUMPRODUCT(SUMIFS(RawTransportationData!$D:$D,RawTransportationData!$A:$A,Compare!$V$2,RawTransportationData!$B:$B,Compare!$D56:$F56))</f>
        <v>751.4</v>
      </c>
      <c r="W56" s="86">
        <f>SUMPRODUCT(SUMIFS(RawTransportationData!$G:$G,RawTransportationData!$A:$A,Compare!$V$2,RawTransportationData!$B:$B,Compare!$D56:$F56))</f>
        <v>93958.049999999988</v>
      </c>
      <c r="X56" s="32">
        <f t="shared" si="5"/>
        <v>125.04398456215064</v>
      </c>
      <c r="Y56" s="32">
        <f>SUMPRODUCT(SUMIFS(RawTransportationData!$H:$H,RawTransportationData!$A:$A,Compare!$V$1,RawTransportationData!$B:$B,Compare!$D56:$F56))</f>
        <v>0</v>
      </c>
      <c r="Z56" s="32">
        <f t="shared" si="6"/>
        <v>93958.049999999988</v>
      </c>
    </row>
    <row r="57" spans="1:26" x14ac:dyDescent="0.55000000000000004">
      <c r="A57">
        <f>FinalPayment!A55</f>
        <v>2021</v>
      </c>
      <c r="B57" t="str">
        <f>FinalPayment!B55</f>
        <v>07</v>
      </c>
      <c r="C57" t="str">
        <f>FinalPayment!C55</f>
        <v>4772</v>
      </c>
      <c r="D57" t="str">
        <f>FinalPayment!D55</f>
        <v/>
      </c>
      <c r="E57" t="str">
        <f>FinalPayment!E55</f>
        <v/>
      </c>
      <c r="F57" t="str">
        <f>FinalPayment!F55</f>
        <v>4772</v>
      </c>
      <c r="G57" s="28" t="str">
        <f>FinalPayment!G55</f>
        <v>Central Springs</v>
      </c>
      <c r="H57" s="85">
        <f>SUMPRODUCT(SUMIFS(RawTransportationData!$D:$D,RawTransportationData!$A:$A,Compare!$H$2,RawTransportationData!$B:$B,Compare!$D57:$F57))</f>
        <v>797</v>
      </c>
      <c r="I57" s="86">
        <f>SUMPRODUCT(SUMIFS(RawTransportationData!$G:$G,RawTransportationData!$A:$A,Compare!$H$2,RawTransportationData!$B:$B,Compare!$D57:$F57))</f>
        <v>412471.33999999997</v>
      </c>
      <c r="J57" s="32">
        <f t="shared" si="7"/>
        <v>517.52991217063982</v>
      </c>
      <c r="K57" s="32">
        <f>SUMPRODUCT(SUMIFS(RawTransportationData!$H:$H,RawTransportationData!$A:$A,Compare!$E$1,RawTransportationData!$B:$B,Compare!$D57:$F57))</f>
        <v>136046</v>
      </c>
      <c r="L57" s="32">
        <f t="shared" si="0"/>
        <v>276425.33999999997</v>
      </c>
      <c r="M57" s="70">
        <f t="shared" si="1"/>
        <v>-4.4707877552154114E-2</v>
      </c>
      <c r="N57" s="70">
        <f t="shared" si="2"/>
        <v>-0.18202597616575913</v>
      </c>
      <c r="O57" s="45"/>
      <c r="P57" s="85">
        <f>SUMPRODUCT(SUMIFS(RawTransportationData!$D:$D,RawTransportationData!$A:$A,Compare!$P$2,RawTransportationData!$B:$B,Compare!$D57:$F57))</f>
        <v>815</v>
      </c>
      <c r="Q57" s="86">
        <f>SUMPRODUCT(SUMIFS(RawTransportationData!$G:$G,RawTransportationData!$A:$A,Compare!$P$2,RawTransportationData!$B:$B,Compare!$D57:$F57))</f>
        <v>447291.06</v>
      </c>
      <c r="R57" s="32">
        <f t="shared" si="3"/>
        <v>548.82338650306747</v>
      </c>
      <c r="S57" s="32">
        <f>SUMPRODUCT(SUMIFS(RawTransportationData!$H:$H,RawTransportationData!$A:$A,Compare!$P$1,RawTransportationData!$B:$B,Compare!$D57:$F57))</f>
        <v>136718</v>
      </c>
      <c r="T57" s="32">
        <f t="shared" si="4"/>
        <v>310573.06</v>
      </c>
      <c r="U57" s="45"/>
      <c r="V57" s="85">
        <f>SUMPRODUCT(SUMIFS(RawTransportationData!$D:$D,RawTransportationData!$A:$A,Compare!$V$2,RawTransportationData!$B:$B,Compare!$D57:$F57))</f>
        <v>814.1</v>
      </c>
      <c r="W57" s="86">
        <f>SUMPRODUCT(SUMIFS(RawTransportationData!$G:$G,RawTransportationData!$A:$A,Compare!$V$2,RawTransportationData!$B:$B,Compare!$D57:$F57))</f>
        <v>441039.01999999996</v>
      </c>
      <c r="X57" s="32">
        <f t="shared" si="5"/>
        <v>541.75042378086221</v>
      </c>
      <c r="Y57" s="32">
        <f>SUMPRODUCT(SUMIFS(RawTransportationData!$H:$H,RawTransportationData!$A:$A,Compare!$V$1,RawTransportationData!$B:$B,Compare!$D57:$F57))</f>
        <v>103100</v>
      </c>
      <c r="Z57" s="32">
        <f t="shared" si="6"/>
        <v>337939.01999999996</v>
      </c>
    </row>
    <row r="58" spans="1:26" x14ac:dyDescent="0.55000000000000004">
      <c r="A58">
        <f>FinalPayment!A56</f>
        <v>2021</v>
      </c>
      <c r="B58" t="str">
        <f>FinalPayment!B56</f>
        <v>15</v>
      </c>
      <c r="C58" t="str">
        <f>FinalPayment!C56</f>
        <v>1107</v>
      </c>
      <c r="D58" t="str">
        <f>FinalPayment!D56</f>
        <v/>
      </c>
      <c r="E58" t="str">
        <f>FinalPayment!E56</f>
        <v/>
      </c>
      <c r="F58" t="str">
        <f>FinalPayment!F56</f>
        <v>1107</v>
      </c>
      <c r="G58" s="28" t="str">
        <f>FinalPayment!G56</f>
        <v>Chariton</v>
      </c>
      <c r="H58" s="85">
        <f>SUMPRODUCT(SUMIFS(RawTransportationData!$D:$D,RawTransportationData!$A:$A,Compare!$H$2,RawTransportationData!$B:$B,Compare!$D58:$F58))</f>
        <v>1275.8</v>
      </c>
      <c r="I58" s="86">
        <f>SUMPRODUCT(SUMIFS(RawTransportationData!$G:$G,RawTransportationData!$A:$A,Compare!$H$2,RawTransportationData!$B:$B,Compare!$D58:$F58))</f>
        <v>545932.31999999995</v>
      </c>
      <c r="J58" s="32">
        <f t="shared" si="7"/>
        <v>427.91371688352405</v>
      </c>
      <c r="K58" s="32">
        <f>SUMPRODUCT(SUMIFS(RawTransportationData!$H:$H,RawTransportationData!$A:$A,Compare!$E$1,RawTransportationData!$B:$B,Compare!$D58:$F58))</f>
        <v>103440</v>
      </c>
      <c r="L58" s="32">
        <f t="shared" si="0"/>
        <v>442492.31999999995</v>
      </c>
      <c r="M58" s="70">
        <f t="shared" si="1"/>
        <v>6.847539734150257E-2</v>
      </c>
      <c r="N58" s="70">
        <f t="shared" si="2"/>
        <v>-0.13789223442513929</v>
      </c>
      <c r="O58" s="45"/>
      <c r="P58" s="85">
        <f>SUMPRODUCT(SUMIFS(RawTransportationData!$D:$D,RawTransportationData!$A:$A,Compare!$P$2,RawTransportationData!$B:$B,Compare!$D58:$F58))</f>
        <v>1240.5</v>
      </c>
      <c r="Q58" s="86">
        <f>SUMPRODUCT(SUMIFS(RawTransportationData!$G:$G,RawTransportationData!$A:$A,Compare!$P$2,RawTransportationData!$B:$B,Compare!$D58:$F58))</f>
        <v>536343.48</v>
      </c>
      <c r="R58" s="32">
        <f t="shared" si="3"/>
        <v>432.36072551390566</v>
      </c>
      <c r="S58" s="32">
        <f>SUMPRODUCT(SUMIFS(RawTransportationData!$H:$H,RawTransportationData!$A:$A,Compare!$P$1,RawTransportationData!$B:$B,Compare!$D58:$F58))</f>
        <v>63628</v>
      </c>
      <c r="T58" s="32">
        <f t="shared" si="4"/>
        <v>472715.48</v>
      </c>
      <c r="U58" s="45"/>
      <c r="V58" s="85">
        <f>SUMPRODUCT(SUMIFS(RawTransportationData!$D:$D,RawTransportationData!$A:$A,Compare!$V$2,RawTransportationData!$B:$B,Compare!$D58:$F58))</f>
        <v>1281.5999999999999</v>
      </c>
      <c r="W58" s="86">
        <f>SUMPRODUCT(SUMIFS(RawTransportationData!$G:$G,RawTransportationData!$A:$A,Compare!$V$2,RawTransportationData!$B:$B,Compare!$D58:$F58))</f>
        <v>513267.99</v>
      </c>
      <c r="X58" s="32">
        <f t="shared" si="5"/>
        <v>400.49000468164797</v>
      </c>
      <c r="Y58" s="32">
        <f>SUMPRODUCT(SUMIFS(RawTransportationData!$H:$H,RawTransportationData!$A:$A,Compare!$V$1,RawTransportationData!$B:$B,Compare!$D58:$F58))</f>
        <v>0</v>
      </c>
      <c r="Z58" s="32">
        <f t="shared" si="6"/>
        <v>513267.99</v>
      </c>
    </row>
    <row r="59" spans="1:26" x14ac:dyDescent="0.55000000000000004">
      <c r="A59">
        <f>FinalPayment!A57</f>
        <v>2021</v>
      </c>
      <c r="B59" t="str">
        <f>FinalPayment!B57</f>
        <v>07</v>
      </c>
      <c r="C59" t="str">
        <f>FinalPayment!C57</f>
        <v>1116</v>
      </c>
      <c r="D59" t="str">
        <f>FinalPayment!D57</f>
        <v/>
      </c>
      <c r="E59" t="str">
        <f>FinalPayment!E57</f>
        <v/>
      </c>
      <c r="F59" t="str">
        <f>FinalPayment!F57</f>
        <v>1116</v>
      </c>
      <c r="G59" s="28" t="str">
        <f>FinalPayment!G57</f>
        <v>Charles City</v>
      </c>
      <c r="H59" s="85">
        <f>SUMPRODUCT(SUMIFS(RawTransportationData!$D:$D,RawTransportationData!$A:$A,Compare!$H$2,RawTransportationData!$B:$B,Compare!$D59:$F59))</f>
        <v>1538.3999999999999</v>
      </c>
      <c r="I59" s="86">
        <f>SUMPRODUCT(SUMIFS(RawTransportationData!$G:$G,RawTransportationData!$A:$A,Compare!$H$2,RawTransportationData!$B:$B,Compare!$D59:$F59))</f>
        <v>331592.53000000003</v>
      </c>
      <c r="J59" s="32">
        <f t="shared" si="7"/>
        <v>215.54376625065007</v>
      </c>
      <c r="K59" s="32">
        <f>SUMPRODUCT(SUMIFS(RawTransportationData!$H:$H,RawTransportationData!$A:$A,Compare!$E$1,RawTransportationData!$B:$B,Compare!$D59:$F59))</f>
        <v>1259</v>
      </c>
      <c r="L59" s="32">
        <f t="shared" si="0"/>
        <v>330333.53000000003</v>
      </c>
      <c r="M59" s="70">
        <f t="shared" si="1"/>
        <v>-7.8244109222110631E-3</v>
      </c>
      <c r="N59" s="70">
        <f t="shared" si="2"/>
        <v>6.5317983925525366E-3</v>
      </c>
      <c r="O59" s="45"/>
      <c r="P59" s="85">
        <f>SUMPRODUCT(SUMIFS(RawTransportationData!$D:$D,RawTransportationData!$A:$A,Compare!$P$2,RawTransportationData!$B:$B,Compare!$D59:$F59))</f>
        <v>1498.4</v>
      </c>
      <c r="Q59" s="86">
        <f>SUMPRODUCT(SUMIFS(RawTransportationData!$G:$G,RawTransportationData!$A:$A,Compare!$P$2,RawTransportationData!$B:$B,Compare!$D59:$F59))</f>
        <v>363878.86</v>
      </c>
      <c r="R59" s="32">
        <f t="shared" si="3"/>
        <v>242.84494127068871</v>
      </c>
      <c r="S59" s="32">
        <f>SUMPRODUCT(SUMIFS(RawTransportationData!$H:$H,RawTransportationData!$A:$A,Compare!$P$1,RawTransportationData!$B:$B,Compare!$D59:$F59))</f>
        <v>0</v>
      </c>
      <c r="T59" s="32">
        <f t="shared" si="4"/>
        <v>363878.86</v>
      </c>
      <c r="U59" s="45"/>
      <c r="V59" s="85">
        <f>SUMPRODUCT(SUMIFS(RawTransportationData!$D:$D,RawTransportationData!$A:$A,Compare!$V$2,RawTransportationData!$B:$B,Compare!$D59:$F59))</f>
        <v>1510.7</v>
      </c>
      <c r="W59" s="86">
        <f>SUMPRODUCT(SUMIFS(RawTransportationData!$G:$G,RawTransportationData!$A:$A,Compare!$V$2,RawTransportationData!$B:$B,Compare!$D59:$F59))</f>
        <v>328189.86</v>
      </c>
      <c r="X59" s="32">
        <f t="shared" si="5"/>
        <v>217.24356920632817</v>
      </c>
      <c r="Y59" s="32">
        <f>SUMPRODUCT(SUMIFS(RawTransportationData!$H:$H,RawTransportationData!$A:$A,Compare!$V$1,RawTransportationData!$B:$B,Compare!$D59:$F59))</f>
        <v>0</v>
      </c>
      <c r="Z59" s="32">
        <f t="shared" si="6"/>
        <v>328189.86</v>
      </c>
    </row>
    <row r="60" spans="1:26" x14ac:dyDescent="0.55000000000000004">
      <c r="A60">
        <f>FinalPayment!A58</f>
        <v>2021</v>
      </c>
      <c r="B60" t="str">
        <f>FinalPayment!B58</f>
        <v>12</v>
      </c>
      <c r="C60" t="str">
        <f>FinalPayment!C58</f>
        <v>1134</v>
      </c>
      <c r="D60" t="str">
        <f>FinalPayment!D58</f>
        <v/>
      </c>
      <c r="E60" t="str">
        <f>FinalPayment!E58</f>
        <v/>
      </c>
      <c r="F60" t="str">
        <f>FinalPayment!F58</f>
        <v>1134</v>
      </c>
      <c r="G60" s="28" t="str">
        <f>FinalPayment!G58</f>
        <v>Charter Oak-Ute</v>
      </c>
      <c r="H60" s="85">
        <f>SUMPRODUCT(SUMIFS(RawTransportationData!$D:$D,RawTransportationData!$A:$A,Compare!$H$2,RawTransportationData!$B:$B,Compare!$D60:$F60))</f>
        <v>268.8</v>
      </c>
      <c r="I60" s="86">
        <f>SUMPRODUCT(SUMIFS(RawTransportationData!$G:$G,RawTransportationData!$A:$A,Compare!$H$2,RawTransportationData!$B:$B,Compare!$D60:$F60))</f>
        <v>252934</v>
      </c>
      <c r="J60" s="32">
        <f t="shared" si="7"/>
        <v>940.97470238095229</v>
      </c>
      <c r="K60" s="32">
        <f>SUMPRODUCT(SUMIFS(RawTransportationData!$H:$H,RawTransportationData!$A:$A,Compare!$E$1,RawTransportationData!$B:$B,Compare!$D60:$F60))</f>
        <v>159704</v>
      </c>
      <c r="L60" s="32">
        <f t="shared" si="0"/>
        <v>93230</v>
      </c>
      <c r="M60" s="70">
        <f t="shared" si="1"/>
        <v>0.46948044940037575</v>
      </c>
      <c r="N60" s="70">
        <f t="shared" si="2"/>
        <v>-0.17123393249010119</v>
      </c>
      <c r="O60" s="45"/>
      <c r="P60" s="85">
        <f>SUMPRODUCT(SUMIFS(RawTransportationData!$D:$D,RawTransportationData!$A:$A,Compare!$P$2,RawTransportationData!$B:$B,Compare!$D60:$F60))</f>
        <v>259.10000000000002</v>
      </c>
      <c r="Q60" s="86">
        <f>SUMPRODUCT(SUMIFS(RawTransportationData!$G:$G,RawTransportationData!$A:$A,Compare!$P$2,RawTransportationData!$B:$B,Compare!$D60:$F60))</f>
        <v>200759.75</v>
      </c>
      <c r="R60" s="32">
        <f t="shared" si="3"/>
        <v>774.83500578927044</v>
      </c>
      <c r="S60" s="32">
        <f>SUMPRODUCT(SUMIFS(RawTransportationData!$H:$H,RawTransportationData!$A:$A,Compare!$P$1,RawTransportationData!$B:$B,Compare!$D60:$F60))</f>
        <v>102026</v>
      </c>
      <c r="T60" s="32">
        <f t="shared" si="4"/>
        <v>98733.75</v>
      </c>
      <c r="U60" s="45"/>
      <c r="V60" s="85">
        <f>SUMPRODUCT(SUMIFS(RawTransportationData!$D:$D,RawTransportationData!$A:$A,Compare!$V$2,RawTransportationData!$B:$B,Compare!$D60:$F60))</f>
        <v>271</v>
      </c>
      <c r="W60" s="86">
        <f>SUMPRODUCT(SUMIFS(RawTransportationData!$G:$G,RawTransportationData!$A:$A,Compare!$V$2,RawTransportationData!$B:$B,Compare!$D60:$F60))</f>
        <v>173533.54</v>
      </c>
      <c r="X60" s="32">
        <f t="shared" si="5"/>
        <v>640.3451660516605</v>
      </c>
      <c r="Y60" s="32">
        <f>SUMPRODUCT(SUMIFS(RawTransportationData!$H:$H,RawTransportationData!$A:$A,Compare!$V$1,RawTransportationData!$B:$B,Compare!$D60:$F60))</f>
        <v>61041</v>
      </c>
      <c r="Z60" s="32">
        <f t="shared" si="6"/>
        <v>112492.54000000001</v>
      </c>
    </row>
    <row r="61" spans="1:26" x14ac:dyDescent="0.55000000000000004">
      <c r="A61">
        <f>FinalPayment!A59</f>
        <v>2021</v>
      </c>
      <c r="B61" t="str">
        <f>FinalPayment!B59</f>
        <v>12</v>
      </c>
      <c r="C61" t="str">
        <f>FinalPayment!C59</f>
        <v>1152</v>
      </c>
      <c r="D61" t="str">
        <f>FinalPayment!D59</f>
        <v/>
      </c>
      <c r="E61" t="str">
        <f>FinalPayment!E59</f>
        <v/>
      </c>
      <c r="F61" t="str">
        <f>FinalPayment!F59</f>
        <v>1152</v>
      </c>
      <c r="G61" s="28" t="str">
        <f>FinalPayment!G59</f>
        <v>Cherokee</v>
      </c>
      <c r="H61" s="85">
        <f>SUMPRODUCT(SUMIFS(RawTransportationData!$D:$D,RawTransportationData!$A:$A,Compare!$H$2,RawTransportationData!$B:$B,Compare!$D61:$F61))</f>
        <v>1014.1</v>
      </c>
      <c r="I61" s="86">
        <f>SUMPRODUCT(SUMIFS(RawTransportationData!$G:$G,RawTransportationData!$A:$A,Compare!$H$2,RawTransportationData!$B:$B,Compare!$D61:$F61))</f>
        <v>219412.86</v>
      </c>
      <c r="J61" s="32">
        <f t="shared" si="7"/>
        <v>216.36215363376391</v>
      </c>
      <c r="K61" s="32">
        <f>SUMPRODUCT(SUMIFS(RawTransportationData!$H:$H,RawTransportationData!$A:$A,Compare!$E$1,RawTransportationData!$B:$B,Compare!$D61:$F61))</f>
        <v>830</v>
      </c>
      <c r="L61" s="32">
        <f t="shared" si="0"/>
        <v>218582.86</v>
      </c>
      <c r="M61" s="70">
        <f t="shared" si="1"/>
        <v>4.2823284487478276E-2</v>
      </c>
      <c r="N61" s="70">
        <f t="shared" si="2"/>
        <v>0.1178001645125847</v>
      </c>
      <c r="O61" s="45"/>
      <c r="P61" s="85">
        <f>SUMPRODUCT(SUMIFS(RawTransportationData!$D:$D,RawTransportationData!$A:$A,Compare!$P$2,RawTransportationData!$B:$B,Compare!$D61:$F61))</f>
        <v>973.5</v>
      </c>
      <c r="Q61" s="86">
        <f>SUMPRODUCT(SUMIFS(RawTransportationData!$G:$G,RawTransportationData!$A:$A,Compare!$P$2,RawTransportationData!$B:$B,Compare!$D61:$F61))</f>
        <v>244271.29</v>
      </c>
      <c r="R61" s="32">
        <f t="shared" si="3"/>
        <v>250.92068823831536</v>
      </c>
      <c r="S61" s="32">
        <f>SUMPRODUCT(SUMIFS(RawTransportationData!$H:$H,RawTransportationData!$A:$A,Compare!$P$1,RawTransportationData!$B:$B,Compare!$D61:$F61))</f>
        <v>0</v>
      </c>
      <c r="T61" s="32">
        <f t="shared" si="4"/>
        <v>244271.29</v>
      </c>
      <c r="U61" s="45"/>
      <c r="V61" s="85">
        <f>SUMPRODUCT(SUMIFS(RawTransportationData!$D:$D,RawTransportationData!$A:$A,Compare!$V$2,RawTransportationData!$B:$B,Compare!$D61:$F61))</f>
        <v>942.5</v>
      </c>
      <c r="W61" s="86">
        <f>SUMPRODUCT(SUMIFS(RawTransportationData!$G:$G,RawTransportationData!$A:$A,Compare!$V$2,RawTransportationData!$B:$B,Compare!$D61:$F61))</f>
        <v>195547.35</v>
      </c>
      <c r="X61" s="32">
        <f t="shared" si="5"/>
        <v>207.47729442970822</v>
      </c>
      <c r="Y61" s="32">
        <f>SUMPRODUCT(SUMIFS(RawTransportationData!$H:$H,RawTransportationData!$A:$A,Compare!$V$1,RawTransportationData!$B:$B,Compare!$D61:$F61))</f>
        <v>0</v>
      </c>
      <c r="Z61" s="32">
        <f t="shared" si="6"/>
        <v>195547.35</v>
      </c>
    </row>
    <row r="62" spans="1:26" x14ac:dyDescent="0.55000000000000004">
      <c r="A62">
        <f>FinalPayment!A60</f>
        <v>2021</v>
      </c>
      <c r="B62" t="str">
        <f>FinalPayment!B60</f>
        <v>13</v>
      </c>
      <c r="C62" t="str">
        <f>FinalPayment!C60</f>
        <v>1197</v>
      </c>
      <c r="D62" t="str">
        <f>FinalPayment!D60</f>
        <v/>
      </c>
      <c r="E62" t="str">
        <f>FinalPayment!E60</f>
        <v/>
      </c>
      <c r="F62" t="str">
        <f>FinalPayment!F60</f>
        <v>1197</v>
      </c>
      <c r="G62" s="28" t="str">
        <f>FinalPayment!G60</f>
        <v>Clarinda</v>
      </c>
      <c r="H62" s="85">
        <f>SUMPRODUCT(SUMIFS(RawTransportationData!$D:$D,RawTransportationData!$A:$A,Compare!$H$2,RawTransportationData!$B:$B,Compare!$D62:$F62))</f>
        <v>988.90000000000009</v>
      </c>
      <c r="I62" s="86">
        <f>SUMPRODUCT(SUMIFS(RawTransportationData!$G:$G,RawTransportationData!$A:$A,Compare!$H$2,RawTransportationData!$B:$B,Compare!$D62:$F62))</f>
        <v>226859.82</v>
      </c>
      <c r="J62" s="32">
        <f t="shared" si="7"/>
        <v>229.40622914349277</v>
      </c>
      <c r="K62" s="32">
        <f>SUMPRODUCT(SUMIFS(RawTransportationData!$H:$H,RawTransportationData!$A:$A,Compare!$E$1,RawTransportationData!$B:$B,Compare!$D62:$F62))</f>
        <v>809</v>
      </c>
      <c r="L62" s="32">
        <f t="shared" si="0"/>
        <v>226050.82</v>
      </c>
      <c r="M62" s="70">
        <f t="shared" si="1"/>
        <v>0.12205773541270361</v>
      </c>
      <c r="N62" s="70">
        <f t="shared" si="2"/>
        <v>0.1515945871939377</v>
      </c>
      <c r="O62" s="45"/>
      <c r="P62" s="85">
        <f>SUMPRODUCT(SUMIFS(RawTransportationData!$D:$D,RawTransportationData!$A:$A,Compare!$P$2,RawTransportationData!$B:$B,Compare!$D62:$F62))</f>
        <v>978.6</v>
      </c>
      <c r="Q62" s="86">
        <f>SUMPRODUCT(SUMIFS(RawTransportationData!$G:$G,RawTransportationData!$A:$A,Compare!$P$2,RawTransportationData!$B:$B,Compare!$D62:$F62))</f>
        <v>239648.83</v>
      </c>
      <c r="R62" s="32">
        <f t="shared" si="3"/>
        <v>244.88946454118127</v>
      </c>
      <c r="S62" s="32">
        <f>SUMPRODUCT(SUMIFS(RawTransportationData!$H:$H,RawTransportationData!$A:$A,Compare!$P$1,RawTransportationData!$B:$B,Compare!$D62:$F62))</f>
        <v>0</v>
      </c>
      <c r="T62" s="32">
        <f t="shared" si="4"/>
        <v>239648.83</v>
      </c>
      <c r="U62" s="45"/>
      <c r="V62" s="85">
        <f>SUMPRODUCT(SUMIFS(RawTransportationData!$D:$D,RawTransportationData!$A:$A,Compare!$V$2,RawTransportationData!$B:$B,Compare!$D62:$F62))</f>
        <v>960.09999999999991</v>
      </c>
      <c r="W62" s="86">
        <f>SUMPRODUCT(SUMIFS(RawTransportationData!$G:$G,RawTransportationData!$A:$A,Compare!$V$2,RawTransportationData!$B:$B,Compare!$D62:$F62))</f>
        <v>196293.75</v>
      </c>
      <c r="X62" s="32">
        <f t="shared" si="5"/>
        <v>204.4513592334132</v>
      </c>
      <c r="Y62" s="32">
        <f>SUMPRODUCT(SUMIFS(RawTransportationData!$H:$H,RawTransportationData!$A:$A,Compare!$V$1,RawTransportationData!$B:$B,Compare!$D62:$F62))</f>
        <v>0</v>
      </c>
      <c r="Z62" s="32">
        <f t="shared" si="6"/>
        <v>196293.75</v>
      </c>
    </row>
    <row r="63" spans="1:26" x14ac:dyDescent="0.55000000000000004">
      <c r="A63">
        <f>FinalPayment!A61</f>
        <v>2021</v>
      </c>
      <c r="B63" t="str">
        <f>FinalPayment!B61</f>
        <v>05</v>
      </c>
      <c r="C63" t="str">
        <f>FinalPayment!C61</f>
        <v>1206</v>
      </c>
      <c r="D63" t="str">
        <f>FinalPayment!D61</f>
        <v>1854</v>
      </c>
      <c r="E63" t="str">
        <f>FinalPayment!E61</f>
        <v/>
      </c>
      <c r="F63" t="str">
        <f>FinalPayment!F61</f>
        <v>1206</v>
      </c>
      <c r="G63" s="28" t="str">
        <f>FinalPayment!G61</f>
        <v>Clarion-Goldfield-Dows</v>
      </c>
      <c r="H63" s="85">
        <f>SUMPRODUCT(SUMIFS(RawTransportationData!$D:$D,RawTransportationData!$A:$A,Compare!$H$2,RawTransportationData!$B:$B,Compare!$D63:$F63))</f>
        <v>942.5</v>
      </c>
      <c r="I63" s="86">
        <f>SUMPRODUCT(SUMIFS(RawTransportationData!$G:$G,RawTransportationData!$A:$A,Compare!$H$2,RawTransportationData!$B:$B,Compare!$D63:$F63))</f>
        <v>661298.45000000007</v>
      </c>
      <c r="J63" s="32">
        <f t="shared" si="7"/>
        <v>701.64291777188339</v>
      </c>
      <c r="K63" s="32">
        <f>SUMPRODUCT(SUMIFS(RawTransportationData!$H:$H,RawTransportationData!$A:$A,Compare!$E$1,RawTransportationData!$B:$B,Compare!$D63:$F63))</f>
        <v>334408</v>
      </c>
      <c r="L63" s="32">
        <f t="shared" si="0"/>
        <v>326890.45000000007</v>
      </c>
      <c r="M63" s="70">
        <f t="shared" si="1"/>
        <v>1.4683643564156919E-2</v>
      </c>
      <c r="N63" s="70">
        <f t="shared" si="2"/>
        <v>-0.18538621920294884</v>
      </c>
      <c r="O63" s="45"/>
      <c r="P63" s="85">
        <f>SUMPRODUCT(SUMIFS(RawTransportationData!$D:$D,RawTransportationData!$A:$A,Compare!$P$2,RawTransportationData!$B:$B,Compare!$D63:$F63))</f>
        <v>943.6</v>
      </c>
      <c r="Q63" s="86">
        <f>SUMPRODUCT(SUMIFS(RawTransportationData!$G:$G,RawTransportationData!$A:$A,Compare!$P$2,RawTransportationData!$B:$B,Compare!$D63:$F63))</f>
        <v>623482.12</v>
      </c>
      <c r="R63" s="32">
        <f t="shared" si="3"/>
        <v>660.74832556167871</v>
      </c>
      <c r="S63" s="32">
        <f>SUMPRODUCT(SUMIFS(RawTransportationData!$H:$H,RawTransportationData!$A:$A,Compare!$P$1,RawTransportationData!$B:$B,Compare!$D63:$F63))</f>
        <v>263908</v>
      </c>
      <c r="T63" s="32">
        <f t="shared" si="4"/>
        <v>359574.12</v>
      </c>
      <c r="U63" s="45"/>
      <c r="V63" s="85">
        <f>SUMPRODUCT(SUMIFS(RawTransportationData!$D:$D,RawTransportationData!$A:$A,Compare!$V$2,RawTransportationData!$B:$B,Compare!$D63:$F63))</f>
        <v>966.7</v>
      </c>
      <c r="W63" s="86">
        <f>SUMPRODUCT(SUMIFS(RawTransportationData!$G:$G,RawTransportationData!$A:$A,Compare!$V$2,RawTransportationData!$B:$B,Compare!$D63:$F63))</f>
        <v>668462.74</v>
      </c>
      <c r="X63" s="32">
        <f t="shared" si="5"/>
        <v>691.48933485052237</v>
      </c>
      <c r="Y63" s="32">
        <f>SUMPRODUCT(SUMIFS(RawTransportationData!$H:$H,RawTransportationData!$A:$A,Compare!$V$1,RawTransportationData!$B:$B,Compare!$D63:$F63))</f>
        <v>267180</v>
      </c>
      <c r="Z63" s="32">
        <f t="shared" si="6"/>
        <v>401282.74</v>
      </c>
    </row>
    <row r="64" spans="1:26" x14ac:dyDescent="0.55000000000000004">
      <c r="A64">
        <f>FinalPayment!A62</f>
        <v>2021</v>
      </c>
      <c r="B64" t="str">
        <f>FinalPayment!B62</f>
        <v>13</v>
      </c>
      <c r="C64" t="str">
        <f>FinalPayment!C62</f>
        <v>1211</v>
      </c>
      <c r="D64" t="str">
        <f>FinalPayment!D62</f>
        <v/>
      </c>
      <c r="E64" t="str">
        <f>FinalPayment!E62</f>
        <v/>
      </c>
      <c r="F64" t="str">
        <f>FinalPayment!F62</f>
        <v>1211</v>
      </c>
      <c r="G64" s="28" t="str">
        <f>FinalPayment!G62</f>
        <v>Clarke</v>
      </c>
      <c r="H64" s="85">
        <f>SUMPRODUCT(SUMIFS(RawTransportationData!$D:$D,RawTransportationData!$A:$A,Compare!$H$2,RawTransportationData!$B:$B,Compare!$D64:$F64))</f>
        <v>1450.1</v>
      </c>
      <c r="I64" s="86">
        <f>SUMPRODUCT(SUMIFS(RawTransportationData!$G:$G,RawTransportationData!$A:$A,Compare!$H$2,RawTransportationData!$B:$B,Compare!$D64:$F64))</f>
        <v>602428.87</v>
      </c>
      <c r="J64" s="32">
        <f t="shared" si="7"/>
        <v>415.43953520446865</v>
      </c>
      <c r="K64" s="32">
        <f>SUMPRODUCT(SUMIFS(RawTransportationData!$H:$H,RawTransportationData!$A:$A,Compare!$E$1,RawTransportationData!$B:$B,Compare!$D64:$F64))</f>
        <v>99489</v>
      </c>
      <c r="L64" s="32">
        <f t="shared" si="0"/>
        <v>502939.87</v>
      </c>
      <c r="M64" s="70">
        <f t="shared" si="1"/>
        <v>-0.16291502935949806</v>
      </c>
      <c r="N64" s="70">
        <f t="shared" si="2"/>
        <v>-0.14502653131560861</v>
      </c>
      <c r="O64" s="45"/>
      <c r="P64" s="85">
        <f>SUMPRODUCT(SUMIFS(RawTransportationData!$D:$D,RawTransportationData!$A:$A,Compare!$P$2,RawTransportationData!$B:$B,Compare!$D64:$F64))</f>
        <v>1459.6</v>
      </c>
      <c r="Q64" s="86">
        <f>SUMPRODUCT(SUMIFS(RawTransportationData!$G:$G,RawTransportationData!$A:$A,Compare!$P$2,RawTransportationData!$B:$B,Compare!$D64:$F64))</f>
        <v>692797.11</v>
      </c>
      <c r="R64" s="32">
        <f t="shared" si="3"/>
        <v>474.6486092080022</v>
      </c>
      <c r="S64" s="32">
        <f>SUMPRODUCT(SUMIFS(RawTransportationData!$H:$H,RawTransportationData!$A:$A,Compare!$P$1,RawTransportationData!$B:$B,Compare!$D64:$F64))</f>
        <v>136593</v>
      </c>
      <c r="T64" s="32">
        <f t="shared" si="4"/>
        <v>556204.11</v>
      </c>
      <c r="U64" s="45"/>
      <c r="V64" s="85">
        <f>SUMPRODUCT(SUMIFS(RawTransportationData!$D:$D,RawTransportationData!$A:$A,Compare!$V$2,RawTransportationData!$B:$B,Compare!$D64:$F64))</f>
        <v>1417.1</v>
      </c>
      <c r="W64" s="86">
        <f>SUMPRODUCT(SUMIFS(RawTransportationData!$G:$G,RawTransportationData!$A:$A,Compare!$V$2,RawTransportationData!$B:$B,Compare!$D64:$F64))</f>
        <v>703297.02</v>
      </c>
      <c r="X64" s="32">
        <f t="shared" si="5"/>
        <v>496.29314797826549</v>
      </c>
      <c r="Y64" s="32">
        <f>SUMPRODUCT(SUMIFS(RawTransportationData!$H:$H,RawTransportationData!$A:$A,Compare!$V$1,RawTransportationData!$B:$B,Compare!$D64:$F64))</f>
        <v>115045</v>
      </c>
      <c r="Z64" s="32">
        <f t="shared" si="6"/>
        <v>588252.02</v>
      </c>
    </row>
    <row r="65" spans="1:26" x14ac:dyDescent="0.55000000000000004">
      <c r="A65">
        <f>FinalPayment!A63</f>
        <v>2021</v>
      </c>
      <c r="B65" t="str">
        <f>FinalPayment!B63</f>
        <v>07</v>
      </c>
      <c r="C65" t="str">
        <f>FinalPayment!C63</f>
        <v>1215</v>
      </c>
      <c r="D65" t="str">
        <f>FinalPayment!D63</f>
        <v/>
      </c>
      <c r="E65" t="str">
        <f>FinalPayment!E63</f>
        <v/>
      </c>
      <c r="F65" t="str">
        <f>FinalPayment!F63</f>
        <v>1215</v>
      </c>
      <c r="G65" s="28" t="str">
        <f>FinalPayment!G63</f>
        <v>Clarksville</v>
      </c>
      <c r="H65" s="85">
        <f>SUMPRODUCT(SUMIFS(RawTransportationData!$D:$D,RawTransportationData!$A:$A,Compare!$H$2,RawTransportationData!$B:$B,Compare!$D65:$F65))</f>
        <v>310</v>
      </c>
      <c r="I65" s="86">
        <f>SUMPRODUCT(SUMIFS(RawTransportationData!$G:$G,RawTransportationData!$A:$A,Compare!$H$2,RawTransportationData!$B:$B,Compare!$D65:$F65))</f>
        <v>51620.99</v>
      </c>
      <c r="J65" s="32">
        <f t="shared" si="7"/>
        <v>166.51932258064517</v>
      </c>
      <c r="K65" s="32">
        <f>SUMPRODUCT(SUMIFS(RawTransportationData!$H:$H,RawTransportationData!$A:$A,Compare!$E$1,RawTransportationData!$B:$B,Compare!$D65:$F65))</f>
        <v>254</v>
      </c>
      <c r="L65" s="32">
        <f t="shared" si="0"/>
        <v>51366.99</v>
      </c>
      <c r="M65" s="70">
        <f t="shared" si="1"/>
        <v>-0.13184900890774892</v>
      </c>
      <c r="N65" s="70">
        <f t="shared" si="2"/>
        <v>-0.17851971036525147</v>
      </c>
      <c r="O65" s="45"/>
      <c r="P65" s="85">
        <f>SUMPRODUCT(SUMIFS(RawTransportationData!$D:$D,RawTransportationData!$A:$A,Compare!$P$2,RawTransportationData!$B:$B,Compare!$D65:$F65))</f>
        <v>315</v>
      </c>
      <c r="Q65" s="86">
        <f>SUMPRODUCT(SUMIFS(RawTransportationData!$G:$G,RawTransportationData!$A:$A,Compare!$P$2,RawTransportationData!$B:$B,Compare!$D65:$F65))</f>
        <v>63327.839999999997</v>
      </c>
      <c r="R65" s="32">
        <f t="shared" si="3"/>
        <v>201.04076190476189</v>
      </c>
      <c r="S65" s="32">
        <f>SUMPRODUCT(SUMIFS(RawTransportationData!$H:$H,RawTransportationData!$A:$A,Compare!$P$1,RawTransportationData!$B:$B,Compare!$D65:$F65))</f>
        <v>0</v>
      </c>
      <c r="T65" s="32">
        <f t="shared" si="4"/>
        <v>63327.839999999997</v>
      </c>
      <c r="U65" s="45"/>
      <c r="V65" s="85">
        <f>SUMPRODUCT(SUMIFS(RawTransportationData!$D:$D,RawTransportationData!$A:$A,Compare!$V$2,RawTransportationData!$B:$B,Compare!$D65:$F65))</f>
        <v>326</v>
      </c>
      <c r="W65" s="86">
        <f>SUMPRODUCT(SUMIFS(RawTransportationData!$G:$G,RawTransportationData!$A:$A,Compare!$V$2,RawTransportationData!$B:$B,Compare!$D65:$F65))</f>
        <v>62529.789999999994</v>
      </c>
      <c r="X65" s="32">
        <f t="shared" si="5"/>
        <v>191.80917177914108</v>
      </c>
      <c r="Y65" s="32">
        <f>SUMPRODUCT(SUMIFS(RawTransportationData!$H:$H,RawTransportationData!$A:$A,Compare!$V$1,RawTransportationData!$B:$B,Compare!$D65:$F65))</f>
        <v>0</v>
      </c>
      <c r="Z65" s="32">
        <f t="shared" si="6"/>
        <v>62529.789999999994</v>
      </c>
    </row>
    <row r="66" spans="1:26" x14ac:dyDescent="0.55000000000000004">
      <c r="A66">
        <f>FinalPayment!A64</f>
        <v>2021</v>
      </c>
      <c r="B66" t="str">
        <f>FinalPayment!B64</f>
        <v>05</v>
      </c>
      <c r="C66" t="str">
        <f>FinalPayment!C64</f>
        <v>1218</v>
      </c>
      <c r="D66" t="str">
        <f>FinalPayment!D64</f>
        <v/>
      </c>
      <c r="E66" t="str">
        <f>FinalPayment!E64</f>
        <v/>
      </c>
      <c r="F66" t="str">
        <f>FinalPayment!F64</f>
        <v>1218</v>
      </c>
      <c r="G66" s="28" t="str">
        <f>FinalPayment!G64</f>
        <v>Clay Central-Everly</v>
      </c>
      <c r="H66" s="85">
        <f>SUMPRODUCT(SUMIFS(RawTransportationData!$D:$D,RawTransportationData!$A:$A,Compare!$H$2,RawTransportationData!$B:$B,Compare!$D66:$F66))</f>
        <v>312</v>
      </c>
      <c r="I66" s="86">
        <f>SUMPRODUCT(SUMIFS(RawTransportationData!$G:$G,RawTransportationData!$A:$A,Compare!$H$2,RawTransportationData!$B:$B,Compare!$D66:$F66))</f>
        <v>169219.65999999997</v>
      </c>
      <c r="J66" s="32">
        <f t="shared" si="7"/>
        <v>542.37070512820503</v>
      </c>
      <c r="K66" s="32">
        <f>SUMPRODUCT(SUMIFS(RawTransportationData!$H:$H,RawTransportationData!$A:$A,Compare!$E$1,RawTransportationData!$B:$B,Compare!$D66:$F66))</f>
        <v>61008</v>
      </c>
      <c r="L66" s="32">
        <f t="shared" si="0"/>
        <v>108211.65999999997</v>
      </c>
      <c r="M66" s="70">
        <f t="shared" si="1"/>
        <v>0.16515965847303909</v>
      </c>
      <c r="N66" s="70">
        <f t="shared" si="2"/>
        <v>-0.25091099344804668</v>
      </c>
      <c r="O66" s="45"/>
      <c r="P66" s="85">
        <f>SUMPRODUCT(SUMIFS(RawTransportationData!$D:$D,RawTransportationData!$A:$A,Compare!$P$2,RawTransportationData!$B:$B,Compare!$D66:$F66))</f>
        <v>332</v>
      </c>
      <c r="Q66" s="86">
        <f>SUMPRODUCT(SUMIFS(RawTransportationData!$G:$G,RawTransportationData!$A:$A,Compare!$P$2,RawTransportationData!$B:$B,Compare!$D66:$F66))</f>
        <v>131396.4</v>
      </c>
      <c r="R66" s="32">
        <f t="shared" si="3"/>
        <v>395.77228915662647</v>
      </c>
      <c r="S66" s="32">
        <f>SUMPRODUCT(SUMIFS(RawTransportationData!$H:$H,RawTransportationData!$A:$A,Compare!$P$1,RawTransportationData!$B:$B,Compare!$D66:$F66))</f>
        <v>4881</v>
      </c>
      <c r="T66" s="32">
        <f t="shared" si="4"/>
        <v>126515.4</v>
      </c>
      <c r="U66" s="45"/>
      <c r="V66" s="85">
        <f>SUMPRODUCT(SUMIFS(RawTransportationData!$D:$D,RawTransportationData!$A:$A,Compare!$V$2,RawTransportationData!$B:$B,Compare!$D66:$F66))</f>
        <v>348</v>
      </c>
      <c r="W66" s="86">
        <f>SUMPRODUCT(SUMIFS(RawTransportationData!$G:$G,RawTransportationData!$A:$A,Compare!$V$2,RawTransportationData!$B:$B,Compare!$D66:$F66))</f>
        <v>161990.68</v>
      </c>
      <c r="X66" s="32">
        <f t="shared" si="5"/>
        <v>465.49045977011491</v>
      </c>
      <c r="Y66" s="32">
        <f>SUMPRODUCT(SUMIFS(RawTransportationData!$H:$H,RawTransportationData!$A:$A,Compare!$V$1,RawTransportationData!$B:$B,Compare!$D66:$F66))</f>
        <v>17533</v>
      </c>
      <c r="Z66" s="32">
        <f t="shared" si="6"/>
        <v>144457.68</v>
      </c>
    </row>
    <row r="67" spans="1:26" x14ac:dyDescent="0.55000000000000004">
      <c r="A67">
        <f>FinalPayment!A65</f>
        <v>2021</v>
      </c>
      <c r="B67" t="str">
        <f>FinalPayment!B65</f>
        <v>01</v>
      </c>
      <c r="C67" t="str">
        <f>FinalPayment!C65</f>
        <v>2763</v>
      </c>
      <c r="D67" t="str">
        <f>FinalPayment!D65</f>
        <v/>
      </c>
      <c r="E67" t="str">
        <f>FinalPayment!E65</f>
        <v/>
      </c>
      <c r="F67" t="str">
        <f>FinalPayment!F65</f>
        <v>2763</v>
      </c>
      <c r="G67" s="28" t="str">
        <f>FinalPayment!G65</f>
        <v>Clayton Ridge</v>
      </c>
      <c r="H67" s="85">
        <f>SUMPRODUCT(SUMIFS(RawTransportationData!$D:$D,RawTransportationData!$A:$A,Compare!$H$2,RawTransportationData!$B:$B,Compare!$D67:$F67))</f>
        <v>585</v>
      </c>
      <c r="I67" s="86">
        <f>SUMPRODUCT(SUMIFS(RawTransportationData!$G:$G,RawTransportationData!$A:$A,Compare!$H$2,RawTransportationData!$B:$B,Compare!$D67:$F67))</f>
        <v>342622.53</v>
      </c>
      <c r="J67" s="32">
        <f t="shared" si="7"/>
        <v>585.67953846153853</v>
      </c>
      <c r="K67" s="32">
        <f>SUMPRODUCT(SUMIFS(RawTransportationData!$H:$H,RawTransportationData!$A:$A,Compare!$E$1,RawTransportationData!$B:$B,Compare!$D67:$F67))</f>
        <v>139727</v>
      </c>
      <c r="L67" s="32">
        <f t="shared" si="0"/>
        <v>202895.53000000003</v>
      </c>
      <c r="M67" s="70">
        <f t="shared" si="1"/>
        <v>9.4083038854759507E-2</v>
      </c>
      <c r="N67" s="70">
        <f t="shared" si="2"/>
        <v>-0.14846044215728207</v>
      </c>
      <c r="O67" s="45"/>
      <c r="P67" s="85">
        <f>SUMPRODUCT(SUMIFS(RawTransportationData!$D:$D,RawTransportationData!$A:$A,Compare!$P$2,RawTransportationData!$B:$B,Compare!$D67:$F67))</f>
        <v>568</v>
      </c>
      <c r="Q67" s="86">
        <f>SUMPRODUCT(SUMIFS(RawTransportationData!$G:$G,RawTransportationData!$A:$A,Compare!$P$2,RawTransportationData!$B:$B,Compare!$D67:$F67))</f>
        <v>359361.08</v>
      </c>
      <c r="R67" s="32">
        <f t="shared" si="3"/>
        <v>632.67795774647891</v>
      </c>
      <c r="S67" s="32">
        <f>SUMPRODUCT(SUMIFS(RawTransportationData!$H:$H,RawTransportationData!$A:$A,Compare!$P$1,RawTransportationData!$B:$B,Compare!$D67:$F67))</f>
        <v>142916</v>
      </c>
      <c r="T67" s="32">
        <f t="shared" si="4"/>
        <v>216445.08000000002</v>
      </c>
      <c r="U67" s="45"/>
      <c r="V67" s="85">
        <f>SUMPRODUCT(SUMIFS(RawTransportationData!$D:$D,RawTransportationData!$A:$A,Compare!$V$2,RawTransportationData!$B:$B,Compare!$D67:$F67))</f>
        <v>574</v>
      </c>
      <c r="W67" s="86">
        <f>SUMPRODUCT(SUMIFS(RawTransportationData!$G:$G,RawTransportationData!$A:$A,Compare!$V$2,RawTransportationData!$B:$B,Compare!$D67:$F67))</f>
        <v>307271.06</v>
      </c>
      <c r="X67" s="32">
        <f t="shared" si="5"/>
        <v>535.31543554006964</v>
      </c>
      <c r="Y67" s="32">
        <f>SUMPRODUCT(SUMIFS(RawTransportationData!$H:$H,RawTransportationData!$A:$A,Compare!$V$1,RawTransportationData!$B:$B,Compare!$D67:$F67))</f>
        <v>69002</v>
      </c>
      <c r="Z67" s="32">
        <f t="shared" si="6"/>
        <v>238269.06</v>
      </c>
    </row>
    <row r="68" spans="1:26" x14ac:dyDescent="0.55000000000000004">
      <c r="A68">
        <f>FinalPayment!A66</f>
        <v>2021</v>
      </c>
      <c r="B68" t="str">
        <f>FinalPayment!B66</f>
        <v>10</v>
      </c>
      <c r="C68" t="str">
        <f>FinalPayment!C66</f>
        <v>1221</v>
      </c>
      <c r="D68" t="str">
        <f>FinalPayment!D66</f>
        <v>0216</v>
      </c>
      <c r="E68" t="str">
        <f>FinalPayment!E66</f>
        <v/>
      </c>
      <c r="F68" t="str">
        <f>FinalPayment!F66</f>
        <v>1221</v>
      </c>
      <c r="G68" s="28" t="str">
        <f>FinalPayment!G66</f>
        <v>Clear Creek-Amana</v>
      </c>
      <c r="H68" s="85">
        <f>SUMPRODUCT(SUMIFS(RawTransportationData!$D:$D,RawTransportationData!$A:$A,Compare!$H$2,RawTransportationData!$B:$B,Compare!$D68:$F68))</f>
        <v>2381.6999999999998</v>
      </c>
      <c r="I68" s="86">
        <f>SUMPRODUCT(SUMIFS(RawTransportationData!$G:$G,RawTransportationData!$A:$A,Compare!$H$2,RawTransportationData!$B:$B,Compare!$D68:$F68))</f>
        <v>880125.34</v>
      </c>
      <c r="J68" s="32">
        <f t="shared" si="7"/>
        <v>369.53660830499223</v>
      </c>
      <c r="K68" s="32">
        <f>SUMPRODUCT(SUMIFS(RawTransportationData!$H:$H,RawTransportationData!$A:$A,Compare!$E$1,RawTransportationData!$B:$B,Compare!$D68:$F68))</f>
        <v>54085</v>
      </c>
      <c r="L68" s="32">
        <f t="shared" si="0"/>
        <v>826040.34</v>
      </c>
      <c r="M68" s="70">
        <f t="shared" si="1"/>
        <v>0.14285305924106825</v>
      </c>
      <c r="N68" s="70">
        <f t="shared" si="2"/>
        <v>0.27433846782321375</v>
      </c>
      <c r="O68" s="45"/>
      <c r="P68" s="85">
        <f>SUMPRODUCT(SUMIFS(RawTransportationData!$D:$D,RawTransportationData!$A:$A,Compare!$P$2,RawTransportationData!$B:$B,Compare!$D68:$F68))</f>
        <v>2191.6999999999998</v>
      </c>
      <c r="Q68" s="86">
        <f>SUMPRODUCT(SUMIFS(RawTransportationData!$G:$G,RawTransportationData!$A:$A,Compare!$P$2,RawTransportationData!$B:$B,Compare!$D68:$F68))</f>
        <v>766563.48</v>
      </c>
      <c r="R68" s="32">
        <f t="shared" si="3"/>
        <v>349.75748505726153</v>
      </c>
      <c r="S68" s="32">
        <f>SUMPRODUCT(SUMIFS(RawTransportationData!$H:$H,RawTransportationData!$A:$A,Compare!$P$1,RawTransportationData!$B:$B,Compare!$D68:$F68))</f>
        <v>0</v>
      </c>
      <c r="T68" s="32">
        <f t="shared" si="4"/>
        <v>766563.48</v>
      </c>
      <c r="U68" s="45"/>
      <c r="V68" s="85">
        <f>SUMPRODUCT(SUMIFS(RawTransportationData!$D:$D,RawTransportationData!$A:$A,Compare!$V$2,RawTransportationData!$B:$B,Compare!$D68:$F68))</f>
        <v>2004.7</v>
      </c>
      <c r="W68" s="86">
        <f>SUMPRODUCT(SUMIFS(RawTransportationData!$G:$G,RawTransportationData!$A:$A,Compare!$V$2,RawTransportationData!$B:$B,Compare!$D68:$F68))</f>
        <v>648211.1</v>
      </c>
      <c r="X68" s="32">
        <f t="shared" si="5"/>
        <v>323.34568763405991</v>
      </c>
      <c r="Y68" s="32">
        <f>SUMPRODUCT(SUMIFS(RawTransportationData!$H:$H,RawTransportationData!$A:$A,Compare!$V$1,RawTransportationData!$B:$B,Compare!$D68:$F68))</f>
        <v>0</v>
      </c>
      <c r="Z68" s="32">
        <f t="shared" si="6"/>
        <v>648211.1</v>
      </c>
    </row>
    <row r="69" spans="1:26" x14ac:dyDescent="0.55000000000000004">
      <c r="A69">
        <f>FinalPayment!A67</f>
        <v>2021</v>
      </c>
      <c r="B69" t="str">
        <f>FinalPayment!B67</f>
        <v>07</v>
      </c>
      <c r="C69" t="str">
        <f>FinalPayment!C67</f>
        <v>1233</v>
      </c>
      <c r="D69" t="str">
        <f>FinalPayment!D67</f>
        <v/>
      </c>
      <c r="E69" t="str">
        <f>FinalPayment!E67</f>
        <v/>
      </c>
      <c r="F69" t="str">
        <f>FinalPayment!F67</f>
        <v>1233</v>
      </c>
      <c r="G69" s="28" t="str">
        <f>FinalPayment!G67</f>
        <v>Clear Lake</v>
      </c>
      <c r="H69" s="85">
        <f>SUMPRODUCT(SUMIFS(RawTransportationData!$D:$D,RawTransportationData!$A:$A,Compare!$H$2,RawTransportationData!$B:$B,Compare!$D69:$F69))</f>
        <v>1219.5999999999999</v>
      </c>
      <c r="I69" s="86">
        <f>SUMPRODUCT(SUMIFS(RawTransportationData!$G:$G,RawTransportationData!$A:$A,Compare!$H$2,RawTransportationData!$B:$B,Compare!$D69:$F69))</f>
        <v>317592.21999999997</v>
      </c>
      <c r="J69" s="32">
        <f t="shared" si="7"/>
        <v>260.4068711052804</v>
      </c>
      <c r="K69" s="32">
        <f>SUMPRODUCT(SUMIFS(RawTransportationData!$H:$H,RawTransportationData!$A:$A,Compare!$E$1,RawTransportationData!$B:$B,Compare!$D69:$F69))</f>
        <v>998</v>
      </c>
      <c r="L69" s="32">
        <f t="shared" ref="L69:L132" si="8">I69-K69</f>
        <v>316594.21999999997</v>
      </c>
      <c r="M69" s="70">
        <f t="shared" ref="M69:M132" si="9">(J69-X69)/X69</f>
        <v>0.28304885090329646</v>
      </c>
      <c r="N69" s="70">
        <f t="shared" ref="N69:N132" si="10">(L69-Z69)/Z69</f>
        <v>0.27880729613678429</v>
      </c>
      <c r="O69" s="45"/>
      <c r="P69" s="85">
        <f>SUMPRODUCT(SUMIFS(RawTransportationData!$D:$D,RawTransportationData!$A:$A,Compare!$P$2,RawTransportationData!$B:$B,Compare!$D69:$F69))</f>
        <v>1233.9000000000001</v>
      </c>
      <c r="Q69" s="86">
        <f>SUMPRODUCT(SUMIFS(RawTransportationData!$G:$G,RawTransportationData!$A:$A,Compare!$P$2,RawTransportationData!$B:$B,Compare!$D69:$F69))</f>
        <v>280775.21999999997</v>
      </c>
      <c r="R69" s="32">
        <f t="shared" ref="R69:R132" si="11">Q69/P69</f>
        <v>227.55103330902014</v>
      </c>
      <c r="S69" s="32">
        <f>SUMPRODUCT(SUMIFS(RawTransportationData!$H:$H,RawTransportationData!$A:$A,Compare!$P$1,RawTransportationData!$B:$B,Compare!$D69:$F69))</f>
        <v>0</v>
      </c>
      <c r="T69" s="32">
        <f t="shared" ref="T69:T132" si="12">Q69-S69</f>
        <v>280775.21999999997</v>
      </c>
      <c r="U69" s="45"/>
      <c r="V69" s="85">
        <f>SUMPRODUCT(SUMIFS(RawTransportationData!$D:$D,RawTransportationData!$A:$A,Compare!$V$2,RawTransportationData!$B:$B,Compare!$D69:$F69))</f>
        <v>1219.8</v>
      </c>
      <c r="W69" s="86">
        <f>SUMPRODUCT(SUMIFS(RawTransportationData!$G:$G,RawTransportationData!$A:$A,Compare!$V$2,RawTransportationData!$B:$B,Compare!$D69:$F69))</f>
        <v>247569.91999999998</v>
      </c>
      <c r="X69" s="32">
        <f t="shared" ref="X69:X132" si="13">W69/V69</f>
        <v>202.95943597311035</v>
      </c>
      <c r="Y69" s="32">
        <f>SUMPRODUCT(SUMIFS(RawTransportationData!$H:$H,RawTransportationData!$A:$A,Compare!$V$1,RawTransportationData!$B:$B,Compare!$D69:$F69))</f>
        <v>0</v>
      </c>
      <c r="Z69" s="32">
        <f t="shared" ref="Z69:Z132" si="14">W69-Y69</f>
        <v>247569.91999999998</v>
      </c>
    </row>
    <row r="70" spans="1:26" x14ac:dyDescent="0.55000000000000004">
      <c r="A70">
        <f>FinalPayment!A68</f>
        <v>2021</v>
      </c>
      <c r="B70" t="str">
        <f>FinalPayment!B68</f>
        <v>09</v>
      </c>
      <c r="C70" t="str">
        <f>FinalPayment!C68</f>
        <v>1278</v>
      </c>
      <c r="D70" t="str">
        <f>FinalPayment!D68</f>
        <v/>
      </c>
      <c r="E70" t="str">
        <f>FinalPayment!E68</f>
        <v/>
      </c>
      <c r="F70" t="str">
        <f>FinalPayment!F68</f>
        <v>1278</v>
      </c>
      <c r="G70" s="28" t="str">
        <f>FinalPayment!G68</f>
        <v>Clinton</v>
      </c>
      <c r="H70" s="85">
        <f>SUMPRODUCT(SUMIFS(RawTransportationData!$D:$D,RawTransportationData!$A:$A,Compare!$H$2,RawTransportationData!$B:$B,Compare!$D70:$F70))</f>
        <v>3732.4</v>
      </c>
      <c r="I70" s="86">
        <f>SUMPRODUCT(SUMIFS(RawTransportationData!$G:$G,RawTransportationData!$A:$A,Compare!$H$2,RawTransportationData!$B:$B,Compare!$D70:$F70))</f>
        <v>891426.3</v>
      </c>
      <c r="J70" s="32">
        <f t="shared" ref="J70:J133" si="15">I70/H70</f>
        <v>238.83461043832386</v>
      </c>
      <c r="K70" s="32">
        <f>SUMPRODUCT(SUMIFS(RawTransportationData!$H:$H,RawTransportationData!$A:$A,Compare!$E$1,RawTransportationData!$B:$B,Compare!$D70:$F70))</f>
        <v>3055</v>
      </c>
      <c r="L70" s="32">
        <f t="shared" si="8"/>
        <v>888371.3</v>
      </c>
      <c r="M70" s="70">
        <f t="shared" si="9"/>
        <v>0.28834794050530993</v>
      </c>
      <c r="N70" s="70">
        <f t="shared" si="10"/>
        <v>0.26615679452674229</v>
      </c>
      <c r="O70" s="45"/>
      <c r="P70" s="85">
        <f>SUMPRODUCT(SUMIFS(RawTransportationData!$D:$D,RawTransportationData!$A:$A,Compare!$P$2,RawTransportationData!$B:$B,Compare!$D70:$F70))</f>
        <v>3723.4</v>
      </c>
      <c r="Q70" s="86">
        <f>SUMPRODUCT(SUMIFS(RawTransportationData!$G:$G,RawTransportationData!$A:$A,Compare!$P$2,RawTransportationData!$B:$B,Compare!$D70:$F70))</f>
        <v>774019.54</v>
      </c>
      <c r="R70" s="32">
        <f t="shared" si="11"/>
        <v>207.87977117688135</v>
      </c>
      <c r="S70" s="32">
        <f>SUMPRODUCT(SUMIFS(RawTransportationData!$H:$H,RawTransportationData!$A:$A,Compare!$P$1,RawTransportationData!$B:$B,Compare!$D70:$F70))</f>
        <v>0</v>
      </c>
      <c r="T70" s="32">
        <f t="shared" si="12"/>
        <v>774019.54</v>
      </c>
      <c r="U70" s="45"/>
      <c r="V70" s="85">
        <f>SUMPRODUCT(SUMIFS(RawTransportationData!$D:$D,RawTransportationData!$A:$A,Compare!$V$2,RawTransportationData!$B:$B,Compare!$D70:$F70))</f>
        <v>3784.8</v>
      </c>
      <c r="W70" s="86">
        <f>SUMPRODUCT(SUMIFS(RawTransportationData!$G:$G,RawTransportationData!$A:$A,Compare!$V$2,RawTransportationData!$B:$B,Compare!$D70:$F70))</f>
        <v>701628.19</v>
      </c>
      <c r="X70" s="32">
        <f t="shared" si="13"/>
        <v>185.38051944620585</v>
      </c>
      <c r="Y70" s="32">
        <f>SUMPRODUCT(SUMIFS(RawTransportationData!$H:$H,RawTransportationData!$A:$A,Compare!$V$1,RawTransportationData!$B:$B,Compare!$D70:$F70))</f>
        <v>0</v>
      </c>
      <c r="Z70" s="32">
        <f t="shared" si="14"/>
        <v>701628.19</v>
      </c>
    </row>
    <row r="71" spans="1:26" x14ac:dyDescent="0.55000000000000004">
      <c r="A71">
        <f>FinalPayment!A69</f>
        <v>2021</v>
      </c>
      <c r="B71" t="str">
        <f>FinalPayment!B69</f>
        <v>11</v>
      </c>
      <c r="C71" t="str">
        <f>FinalPayment!C69</f>
        <v>1332</v>
      </c>
      <c r="D71" t="str">
        <f>FinalPayment!D69</f>
        <v/>
      </c>
      <c r="E71" t="str">
        <f>FinalPayment!E69</f>
        <v/>
      </c>
      <c r="F71" t="str">
        <f>FinalPayment!F69</f>
        <v>1332</v>
      </c>
      <c r="G71" s="28" t="str">
        <f>FinalPayment!G69</f>
        <v>Colfax-Mingo</v>
      </c>
      <c r="H71" s="85">
        <f>SUMPRODUCT(SUMIFS(RawTransportationData!$D:$D,RawTransportationData!$A:$A,Compare!$H$2,RawTransportationData!$B:$B,Compare!$D71:$F71))</f>
        <v>759.8</v>
      </c>
      <c r="I71" s="86">
        <f>SUMPRODUCT(SUMIFS(RawTransportationData!$G:$G,RawTransportationData!$A:$A,Compare!$H$2,RawTransportationData!$B:$B,Compare!$D71:$F71))</f>
        <v>245611.47</v>
      </c>
      <c r="J71" s="32">
        <f t="shared" si="15"/>
        <v>323.25805475125037</v>
      </c>
      <c r="K71" s="32">
        <f>SUMPRODUCT(SUMIFS(RawTransportationData!$H:$H,RawTransportationData!$A:$A,Compare!$E$1,RawTransportationData!$B:$B,Compare!$D71:$F71))</f>
        <v>622</v>
      </c>
      <c r="L71" s="32">
        <f t="shared" si="8"/>
        <v>244989.47</v>
      </c>
      <c r="M71" s="70">
        <f t="shared" si="9"/>
        <v>2.5705522829287366E-2</v>
      </c>
      <c r="N71" s="70">
        <f t="shared" si="10"/>
        <v>7.6374183606485596E-2</v>
      </c>
      <c r="O71" s="45"/>
      <c r="P71" s="85">
        <f>SUMPRODUCT(SUMIFS(RawTransportationData!$D:$D,RawTransportationData!$A:$A,Compare!$P$2,RawTransportationData!$B:$B,Compare!$D71:$F71))</f>
        <v>736.4</v>
      </c>
      <c r="Q71" s="86">
        <f>SUMPRODUCT(SUMIFS(RawTransportationData!$G:$G,RawTransportationData!$A:$A,Compare!$P$2,RawTransportationData!$B:$B,Compare!$D71:$F71))</f>
        <v>232297.36</v>
      </c>
      <c r="R71" s="32">
        <f t="shared" si="11"/>
        <v>315.44997284084735</v>
      </c>
      <c r="S71" s="32">
        <f>SUMPRODUCT(SUMIFS(RawTransportationData!$H:$H,RawTransportationData!$A:$A,Compare!$P$1,RawTransportationData!$B:$B,Compare!$D71:$F71))</f>
        <v>0</v>
      </c>
      <c r="T71" s="32">
        <f t="shared" si="12"/>
        <v>232297.36</v>
      </c>
      <c r="U71" s="45"/>
      <c r="V71" s="85">
        <f>SUMPRODUCT(SUMIFS(RawTransportationData!$D:$D,RawTransportationData!$A:$A,Compare!$V$2,RawTransportationData!$B:$B,Compare!$D71:$F71))</f>
        <v>722.2</v>
      </c>
      <c r="W71" s="86">
        <f>SUMPRODUCT(SUMIFS(RawTransportationData!$G:$G,RawTransportationData!$A:$A,Compare!$V$2,RawTransportationData!$B:$B,Compare!$D71:$F71))</f>
        <v>227606.23</v>
      </c>
      <c r="X71" s="32">
        <f t="shared" si="13"/>
        <v>315.15678482414842</v>
      </c>
      <c r="Y71" s="32">
        <f>SUMPRODUCT(SUMIFS(RawTransportationData!$H:$H,RawTransportationData!$A:$A,Compare!$V$1,RawTransportationData!$B:$B,Compare!$D71:$F71))</f>
        <v>0</v>
      </c>
      <c r="Z71" s="32">
        <f t="shared" si="14"/>
        <v>227606.23</v>
      </c>
    </row>
    <row r="72" spans="1:26" x14ac:dyDescent="0.55000000000000004">
      <c r="A72">
        <f>FinalPayment!A70</f>
        <v>2021</v>
      </c>
      <c r="B72" t="str">
        <f>FinalPayment!B70</f>
        <v>10</v>
      </c>
      <c r="C72" t="str">
        <f>FinalPayment!C70</f>
        <v>1337</v>
      </c>
      <c r="D72" t="str">
        <f>FinalPayment!D70</f>
        <v/>
      </c>
      <c r="E72" t="str">
        <f>FinalPayment!E70</f>
        <v/>
      </c>
      <c r="F72" t="str">
        <f>FinalPayment!F70</f>
        <v>1337</v>
      </c>
      <c r="G72" s="28" t="str">
        <f>FinalPayment!G70</f>
        <v>College Community</v>
      </c>
      <c r="H72" s="85">
        <f>SUMPRODUCT(SUMIFS(RawTransportationData!$D:$D,RawTransportationData!$A:$A,Compare!$H$2,RawTransportationData!$B:$B,Compare!$D72:$F72))</f>
        <v>5139.6000000000004</v>
      </c>
      <c r="I72" s="86">
        <f>SUMPRODUCT(SUMIFS(RawTransportationData!$G:$G,RawTransportationData!$A:$A,Compare!$H$2,RawTransportationData!$B:$B,Compare!$D72:$F72))</f>
        <v>2248409.0099999998</v>
      </c>
      <c r="J72" s="32">
        <f t="shared" si="15"/>
        <v>437.46770371235107</v>
      </c>
      <c r="K72" s="32">
        <f>SUMPRODUCT(SUMIFS(RawTransportationData!$H:$H,RawTransportationData!$A:$A,Compare!$E$1,RawTransportationData!$B:$B,Compare!$D72:$F72))</f>
        <v>465846</v>
      </c>
      <c r="L72" s="32">
        <f t="shared" si="8"/>
        <v>1782563.0099999998</v>
      </c>
      <c r="M72" s="70">
        <f t="shared" si="9"/>
        <v>0.10123587182655099</v>
      </c>
      <c r="N72" s="70">
        <f t="shared" si="10"/>
        <v>-0.11783127586608542</v>
      </c>
      <c r="O72" s="45"/>
      <c r="P72" s="85">
        <f>SUMPRODUCT(SUMIFS(RawTransportationData!$D:$D,RawTransportationData!$A:$A,Compare!$P$2,RawTransportationData!$B:$B,Compare!$D72:$F72))</f>
        <v>5162.7</v>
      </c>
      <c r="Q72" s="86">
        <f>SUMPRODUCT(SUMIFS(RawTransportationData!$G:$G,RawTransportationData!$A:$A,Compare!$P$2,RawTransportationData!$B:$B,Compare!$D72:$F72))</f>
        <v>2254318.92</v>
      </c>
      <c r="R72" s="32">
        <f t="shared" si="11"/>
        <v>436.65502934511011</v>
      </c>
      <c r="S72" s="32">
        <f>SUMPRODUCT(SUMIFS(RawTransportationData!$H:$H,RawTransportationData!$A:$A,Compare!$P$1,RawTransportationData!$B:$B,Compare!$D72:$F72))</f>
        <v>287006</v>
      </c>
      <c r="T72" s="32">
        <f t="shared" si="12"/>
        <v>1967312.92</v>
      </c>
      <c r="U72" s="45"/>
      <c r="V72" s="85">
        <f>SUMPRODUCT(SUMIFS(RawTransportationData!$D:$D,RawTransportationData!$A:$A,Compare!$V$2,RawTransportationData!$B:$B,Compare!$D72:$F72))</f>
        <v>5086.6000000000004</v>
      </c>
      <c r="W72" s="86">
        <f>SUMPRODUCT(SUMIFS(RawTransportationData!$G:$G,RawTransportationData!$A:$A,Compare!$V$2,RawTransportationData!$B:$B,Compare!$D72:$F72))</f>
        <v>2020659.9500000002</v>
      </c>
      <c r="X72" s="32">
        <f t="shared" si="13"/>
        <v>397.25159241929776</v>
      </c>
      <c r="Y72" s="32">
        <f>SUMPRODUCT(SUMIFS(RawTransportationData!$H:$H,RawTransportationData!$A:$A,Compare!$V$1,RawTransportationData!$B:$B,Compare!$D72:$F72))</f>
        <v>0</v>
      </c>
      <c r="Z72" s="32">
        <f t="shared" si="14"/>
        <v>2020659.9500000002</v>
      </c>
    </row>
    <row r="73" spans="1:26" x14ac:dyDescent="0.55000000000000004">
      <c r="A73">
        <f>FinalPayment!A71</f>
        <v>2021</v>
      </c>
      <c r="B73" t="str">
        <f>FinalPayment!B71</f>
        <v>11</v>
      </c>
      <c r="C73" t="str">
        <f>FinalPayment!C71</f>
        <v>1350</v>
      </c>
      <c r="D73" t="str">
        <f>FinalPayment!D71</f>
        <v/>
      </c>
      <c r="E73" t="str">
        <f>FinalPayment!E71</f>
        <v/>
      </c>
      <c r="F73" t="str">
        <f>FinalPayment!F71</f>
        <v>1350</v>
      </c>
      <c r="G73" s="28" t="str">
        <f>FinalPayment!G71</f>
        <v>Collins-Maxwell</v>
      </c>
      <c r="H73" s="85">
        <f>SUMPRODUCT(SUMIFS(RawTransportationData!$D:$D,RawTransportationData!$A:$A,Compare!$H$2,RawTransportationData!$B:$B,Compare!$D73:$F73))</f>
        <v>459.2</v>
      </c>
      <c r="I73" s="86">
        <f>SUMPRODUCT(SUMIFS(RawTransportationData!$G:$G,RawTransportationData!$A:$A,Compare!$H$2,RawTransportationData!$B:$B,Compare!$D73:$F73))</f>
        <v>126901.65000000001</v>
      </c>
      <c r="J73" s="32">
        <f t="shared" si="15"/>
        <v>276.35376742160281</v>
      </c>
      <c r="K73" s="32">
        <f>SUMPRODUCT(SUMIFS(RawTransportationData!$H:$H,RawTransportationData!$A:$A,Compare!$E$1,RawTransportationData!$B:$B,Compare!$D73:$F73))</f>
        <v>376</v>
      </c>
      <c r="L73" s="32">
        <f t="shared" si="8"/>
        <v>126525.65000000001</v>
      </c>
      <c r="M73" s="70">
        <f t="shared" si="9"/>
        <v>0.29635458080604055</v>
      </c>
      <c r="N73" s="70">
        <f t="shared" si="10"/>
        <v>0.21598491292670138</v>
      </c>
      <c r="O73" s="45"/>
      <c r="P73" s="85">
        <f>SUMPRODUCT(SUMIFS(RawTransportationData!$D:$D,RawTransportationData!$A:$A,Compare!$P$2,RawTransportationData!$B:$B,Compare!$D73:$F73))</f>
        <v>459.2</v>
      </c>
      <c r="Q73" s="86">
        <f>SUMPRODUCT(SUMIFS(RawTransportationData!$G:$G,RawTransportationData!$A:$A,Compare!$P$2,RawTransportationData!$B:$B,Compare!$D73:$F73))</f>
        <v>109945.3</v>
      </c>
      <c r="R73" s="32">
        <f t="shared" si="11"/>
        <v>239.42791811846692</v>
      </c>
      <c r="S73" s="32">
        <f>SUMPRODUCT(SUMIFS(RawTransportationData!$H:$H,RawTransportationData!$A:$A,Compare!$P$1,RawTransportationData!$B:$B,Compare!$D73:$F73))</f>
        <v>0</v>
      </c>
      <c r="T73" s="32">
        <f t="shared" si="12"/>
        <v>109945.3</v>
      </c>
      <c r="U73" s="45"/>
      <c r="V73" s="85">
        <f>SUMPRODUCT(SUMIFS(RawTransportationData!$D:$D,RawTransportationData!$A:$A,Compare!$V$2,RawTransportationData!$B:$B,Compare!$D73:$F73))</f>
        <v>488.1</v>
      </c>
      <c r="W73" s="86">
        <f>SUMPRODUCT(SUMIFS(RawTransportationData!$G:$G,RawTransportationData!$A:$A,Compare!$V$2,RawTransportationData!$B:$B,Compare!$D73:$F73))</f>
        <v>104051.99</v>
      </c>
      <c r="X73" s="32">
        <f t="shared" si="13"/>
        <v>213.17760704773613</v>
      </c>
      <c r="Y73" s="32">
        <f>SUMPRODUCT(SUMIFS(RawTransportationData!$H:$H,RawTransportationData!$A:$A,Compare!$V$1,RawTransportationData!$B:$B,Compare!$D73:$F73))</f>
        <v>0</v>
      </c>
      <c r="Z73" s="32">
        <f t="shared" si="14"/>
        <v>104051.99</v>
      </c>
    </row>
    <row r="74" spans="1:26" x14ac:dyDescent="0.55000000000000004">
      <c r="A74">
        <f>FinalPayment!A72</f>
        <v>2021</v>
      </c>
      <c r="B74" t="str">
        <f>FinalPayment!B72</f>
        <v>11</v>
      </c>
      <c r="C74" t="str">
        <f>FinalPayment!C72</f>
        <v>1359</v>
      </c>
      <c r="D74" t="str">
        <f>FinalPayment!D72</f>
        <v/>
      </c>
      <c r="E74" t="str">
        <f>FinalPayment!E72</f>
        <v/>
      </c>
      <c r="F74" t="str">
        <f>FinalPayment!F72</f>
        <v>1359</v>
      </c>
      <c r="G74" s="28" t="str">
        <f>FinalPayment!G72</f>
        <v>Colo-Nesco</v>
      </c>
      <c r="H74" s="85">
        <f>SUMPRODUCT(SUMIFS(RawTransportationData!$D:$D,RawTransportationData!$A:$A,Compare!$H$2,RawTransportationData!$B:$B,Compare!$D74:$F74))</f>
        <v>489.9</v>
      </c>
      <c r="I74" s="86">
        <f>SUMPRODUCT(SUMIFS(RawTransportationData!$G:$G,RawTransportationData!$A:$A,Compare!$H$2,RawTransportationData!$B:$B,Compare!$D74:$F74))</f>
        <v>199276.02000000002</v>
      </c>
      <c r="J74" s="32">
        <f t="shared" si="15"/>
        <v>406.76876913655855</v>
      </c>
      <c r="K74" s="32">
        <f>SUMPRODUCT(SUMIFS(RawTransportationData!$H:$H,RawTransportationData!$A:$A,Compare!$E$1,RawTransportationData!$B:$B,Compare!$D74:$F74))</f>
        <v>29364</v>
      </c>
      <c r="L74" s="32">
        <f t="shared" si="8"/>
        <v>169912.02000000002</v>
      </c>
      <c r="M74" s="70">
        <f t="shared" si="9"/>
        <v>-9.6406716792842018E-3</v>
      </c>
      <c r="N74" s="70">
        <f t="shared" si="10"/>
        <v>-0.18614096593203872</v>
      </c>
      <c r="O74" s="45"/>
      <c r="P74" s="85">
        <f>SUMPRODUCT(SUMIFS(RawTransportationData!$D:$D,RawTransportationData!$A:$A,Compare!$P$2,RawTransportationData!$B:$B,Compare!$D74:$F74))</f>
        <v>512.70000000000005</v>
      </c>
      <c r="Q74" s="86">
        <f>SUMPRODUCT(SUMIFS(RawTransportationData!$G:$G,RawTransportationData!$A:$A,Compare!$P$2,RawTransportationData!$B:$B,Compare!$D74:$F74))</f>
        <v>241713.31</v>
      </c>
      <c r="R74" s="32">
        <f t="shared" si="11"/>
        <v>471.45174566023013</v>
      </c>
      <c r="S74" s="32">
        <f>SUMPRODUCT(SUMIFS(RawTransportationData!$H:$H,RawTransportationData!$A:$A,Compare!$P$1,RawTransportationData!$B:$B,Compare!$D74:$F74))</f>
        <v>46339</v>
      </c>
      <c r="T74" s="32">
        <f t="shared" si="12"/>
        <v>195374.31</v>
      </c>
      <c r="U74" s="45"/>
      <c r="V74" s="85">
        <f>SUMPRODUCT(SUMIFS(RawTransportationData!$D:$D,RawTransportationData!$A:$A,Compare!$V$2,RawTransportationData!$B:$B,Compare!$D74:$F74))</f>
        <v>508.3</v>
      </c>
      <c r="W74" s="86">
        <f>SUMPRODUCT(SUMIFS(RawTransportationData!$G:$G,RawTransportationData!$A:$A,Compare!$V$2,RawTransportationData!$B:$B,Compare!$D74:$F74))</f>
        <v>208773.28</v>
      </c>
      <c r="X74" s="32">
        <f t="shared" si="13"/>
        <v>410.72846744048786</v>
      </c>
      <c r="Y74" s="32">
        <f>SUMPRODUCT(SUMIFS(RawTransportationData!$H:$H,RawTransportationData!$A:$A,Compare!$V$1,RawTransportationData!$B:$B,Compare!$D74:$F74))</f>
        <v>0</v>
      </c>
      <c r="Z74" s="32">
        <f t="shared" si="14"/>
        <v>208773.28</v>
      </c>
    </row>
    <row r="75" spans="1:26" x14ac:dyDescent="0.55000000000000004">
      <c r="A75">
        <f>FinalPayment!A73</f>
        <v>2021</v>
      </c>
      <c r="B75" t="str">
        <f>FinalPayment!B73</f>
        <v>09</v>
      </c>
      <c r="C75" t="str">
        <f>FinalPayment!C73</f>
        <v>1368</v>
      </c>
      <c r="D75" t="str">
        <f>FinalPayment!D73</f>
        <v/>
      </c>
      <c r="E75" t="str">
        <f>FinalPayment!E73</f>
        <v/>
      </c>
      <c r="F75" t="str">
        <f>FinalPayment!F73</f>
        <v>1368</v>
      </c>
      <c r="G75" s="28" t="str">
        <f>FinalPayment!G73</f>
        <v>Columbus</v>
      </c>
      <c r="H75" s="85">
        <f>SUMPRODUCT(SUMIFS(RawTransportationData!$D:$D,RawTransportationData!$A:$A,Compare!$H$2,RawTransportationData!$B:$B,Compare!$D75:$F75))</f>
        <v>752.9</v>
      </c>
      <c r="I75" s="86">
        <f>SUMPRODUCT(SUMIFS(RawTransportationData!$G:$G,RawTransportationData!$A:$A,Compare!$H$2,RawTransportationData!$B:$B,Compare!$D75:$F75))</f>
        <v>283564.44</v>
      </c>
      <c r="J75" s="32">
        <f t="shared" si="15"/>
        <v>376.62961880727852</v>
      </c>
      <c r="K75" s="32">
        <f>SUMPRODUCT(SUMIFS(RawTransportationData!$H:$H,RawTransportationData!$A:$A,Compare!$E$1,RawTransportationData!$B:$B,Compare!$D75:$F75))</f>
        <v>22435</v>
      </c>
      <c r="L75" s="32">
        <f t="shared" si="8"/>
        <v>261129.44</v>
      </c>
      <c r="M75" s="70">
        <f t="shared" si="9"/>
        <v>-3.5466770782321258E-2</v>
      </c>
      <c r="N75" s="70">
        <f t="shared" si="10"/>
        <v>-0.16103131329708306</v>
      </c>
      <c r="O75" s="45"/>
      <c r="P75" s="85">
        <f>SUMPRODUCT(SUMIFS(RawTransportationData!$D:$D,RawTransportationData!$A:$A,Compare!$P$2,RawTransportationData!$B:$B,Compare!$D75:$F75))</f>
        <v>786.9</v>
      </c>
      <c r="Q75" s="86">
        <f>SUMPRODUCT(SUMIFS(RawTransportationData!$G:$G,RawTransportationData!$A:$A,Compare!$P$2,RawTransportationData!$B:$B,Compare!$D75:$F75))</f>
        <v>280705.90000000002</v>
      </c>
      <c r="R75" s="32">
        <f t="shared" si="11"/>
        <v>356.72372601347064</v>
      </c>
      <c r="S75" s="32">
        <f>SUMPRODUCT(SUMIFS(RawTransportationData!$H:$H,RawTransportationData!$A:$A,Compare!$P$1,RawTransportationData!$B:$B,Compare!$D75:$F75))</f>
        <v>0</v>
      </c>
      <c r="T75" s="32">
        <f t="shared" si="12"/>
        <v>280705.90000000002</v>
      </c>
      <c r="U75" s="45"/>
      <c r="V75" s="85">
        <f>SUMPRODUCT(SUMIFS(RawTransportationData!$D:$D,RawTransportationData!$A:$A,Compare!$V$2,RawTransportationData!$B:$B,Compare!$D75:$F75))</f>
        <v>797.1</v>
      </c>
      <c r="W75" s="86">
        <f>SUMPRODUCT(SUMIFS(RawTransportationData!$G:$G,RawTransportationData!$A:$A,Compare!$V$2,RawTransportationData!$B:$B,Compare!$D75:$F75))</f>
        <v>311250.52</v>
      </c>
      <c r="X75" s="32">
        <f t="shared" si="13"/>
        <v>390.47863505206374</v>
      </c>
      <c r="Y75" s="32">
        <f>SUMPRODUCT(SUMIFS(RawTransportationData!$H:$H,RawTransportationData!$A:$A,Compare!$V$1,RawTransportationData!$B:$B,Compare!$D75:$F75))</f>
        <v>0</v>
      </c>
      <c r="Z75" s="32">
        <f t="shared" si="14"/>
        <v>311250.52</v>
      </c>
    </row>
    <row r="76" spans="1:26" x14ac:dyDescent="0.55000000000000004">
      <c r="A76">
        <f>FinalPayment!A74</f>
        <v>2021</v>
      </c>
      <c r="B76" t="str">
        <f>FinalPayment!B74</f>
        <v>11</v>
      </c>
      <c r="C76" t="str">
        <f>FinalPayment!C74</f>
        <v>1413</v>
      </c>
      <c r="D76" t="str">
        <f>FinalPayment!D74</f>
        <v/>
      </c>
      <c r="E76" t="str">
        <f>FinalPayment!E74</f>
        <v/>
      </c>
      <c r="F76" t="str">
        <f>FinalPayment!F74</f>
        <v>1413</v>
      </c>
      <c r="G76" s="28" t="str">
        <f>FinalPayment!G74</f>
        <v>Coon Rapids-Bayard</v>
      </c>
      <c r="H76" s="85">
        <f>SUMPRODUCT(SUMIFS(RawTransportationData!$D:$D,RawTransportationData!$A:$A,Compare!$H$2,RawTransportationData!$B:$B,Compare!$D76:$F76))</f>
        <v>423</v>
      </c>
      <c r="I76" s="86">
        <f>SUMPRODUCT(SUMIFS(RawTransportationData!$G:$G,RawTransportationData!$A:$A,Compare!$H$2,RawTransportationData!$B:$B,Compare!$D76:$F76))</f>
        <v>214050.21</v>
      </c>
      <c r="J76" s="32">
        <f t="shared" si="15"/>
        <v>506.02886524822691</v>
      </c>
      <c r="K76" s="32">
        <f>SUMPRODUCT(SUMIFS(RawTransportationData!$H:$H,RawTransportationData!$A:$A,Compare!$E$1,RawTransportationData!$B:$B,Compare!$D76:$F76))</f>
        <v>67341</v>
      </c>
      <c r="L76" s="32">
        <f t="shared" si="8"/>
        <v>146709.21</v>
      </c>
      <c r="M76" s="70">
        <f t="shared" si="9"/>
        <v>0.17746752358996867</v>
      </c>
      <c r="N76" s="70">
        <f t="shared" si="10"/>
        <v>-0.16605743985815574</v>
      </c>
      <c r="O76" s="45"/>
      <c r="P76" s="85">
        <f>SUMPRODUCT(SUMIFS(RawTransportationData!$D:$D,RawTransportationData!$A:$A,Compare!$P$2,RawTransportationData!$B:$B,Compare!$D76:$F76))</f>
        <v>439</v>
      </c>
      <c r="Q76" s="86">
        <f>SUMPRODUCT(SUMIFS(RawTransportationData!$G:$G,RawTransportationData!$A:$A,Compare!$P$2,RawTransportationData!$B:$B,Compare!$D76:$F76))</f>
        <v>169574.79</v>
      </c>
      <c r="R76" s="32">
        <f t="shared" si="11"/>
        <v>386.27514806378133</v>
      </c>
      <c r="S76" s="32">
        <f>SUMPRODUCT(SUMIFS(RawTransportationData!$H:$H,RawTransportationData!$A:$A,Compare!$P$1,RawTransportationData!$B:$B,Compare!$D76:$F76))</f>
        <v>2288</v>
      </c>
      <c r="T76" s="32">
        <f t="shared" si="12"/>
        <v>167286.79</v>
      </c>
      <c r="U76" s="45"/>
      <c r="V76" s="85">
        <f>SUMPRODUCT(SUMIFS(RawTransportationData!$D:$D,RawTransportationData!$A:$A,Compare!$V$2,RawTransportationData!$B:$B,Compare!$D76:$F76))</f>
        <v>423.8</v>
      </c>
      <c r="W76" s="86">
        <f>SUMPRODUCT(SUMIFS(RawTransportationData!$G:$G,RawTransportationData!$A:$A,Compare!$V$2,RawTransportationData!$B:$B,Compare!$D76:$F76))</f>
        <v>182132.44</v>
      </c>
      <c r="X76" s="32">
        <f t="shared" si="13"/>
        <v>429.76035865974518</v>
      </c>
      <c r="Y76" s="32">
        <f>SUMPRODUCT(SUMIFS(RawTransportationData!$H:$H,RawTransportationData!$A:$A,Compare!$V$1,RawTransportationData!$B:$B,Compare!$D76:$F76))</f>
        <v>6210</v>
      </c>
      <c r="Z76" s="32">
        <f t="shared" si="14"/>
        <v>175922.44</v>
      </c>
    </row>
    <row r="77" spans="1:26" x14ac:dyDescent="0.55000000000000004">
      <c r="A77">
        <f>FinalPayment!A75</f>
        <v>2021</v>
      </c>
      <c r="B77" t="str">
        <f>FinalPayment!B75</f>
        <v>13</v>
      </c>
      <c r="C77" t="str">
        <f>FinalPayment!C75</f>
        <v>1431</v>
      </c>
      <c r="D77" t="str">
        <f>FinalPayment!D75</f>
        <v/>
      </c>
      <c r="E77" t="str">
        <f>FinalPayment!E75</f>
        <v/>
      </c>
      <c r="F77" t="str">
        <f>FinalPayment!F75</f>
        <v>1431</v>
      </c>
      <c r="G77" s="28" t="str">
        <f>FinalPayment!G75</f>
        <v>Corning</v>
      </c>
      <c r="H77" s="85">
        <f>SUMPRODUCT(SUMIFS(RawTransportationData!$D:$D,RawTransportationData!$A:$A,Compare!$H$2,RawTransportationData!$B:$B,Compare!$D77:$F77))</f>
        <v>413.8</v>
      </c>
      <c r="I77" s="86">
        <f>SUMPRODUCT(SUMIFS(RawTransportationData!$G:$G,RawTransportationData!$A:$A,Compare!$H$2,RawTransportationData!$B:$B,Compare!$D77:$F77))</f>
        <v>387139.56</v>
      </c>
      <c r="J77" s="32">
        <f t="shared" si="15"/>
        <v>935.57167713871434</v>
      </c>
      <c r="K77" s="32">
        <f>SUMPRODUCT(SUMIFS(RawTransportationData!$H:$H,RawTransportationData!$A:$A,Compare!$E$1,RawTransportationData!$B:$B,Compare!$D77:$F77))</f>
        <v>243620</v>
      </c>
      <c r="L77" s="32">
        <f t="shared" si="8"/>
        <v>143519.56</v>
      </c>
      <c r="M77" s="70">
        <f t="shared" si="9"/>
        <v>9.0237351976691318E-2</v>
      </c>
      <c r="N77" s="70">
        <f t="shared" si="10"/>
        <v>-0.17972525169715142</v>
      </c>
      <c r="O77" s="45"/>
      <c r="P77" s="85">
        <f>SUMPRODUCT(SUMIFS(RawTransportationData!$D:$D,RawTransportationData!$A:$A,Compare!$P$2,RawTransportationData!$B:$B,Compare!$D77:$F77))</f>
        <v>399.2</v>
      </c>
      <c r="Q77" s="86">
        <f>SUMPRODUCT(SUMIFS(RawTransportationData!$G:$G,RawTransportationData!$A:$A,Compare!$P$2,RawTransportationData!$B:$B,Compare!$D77:$F77))</f>
        <v>376020.47999999998</v>
      </c>
      <c r="R77" s="32">
        <f t="shared" si="11"/>
        <v>941.93507014028057</v>
      </c>
      <c r="S77" s="32">
        <f>SUMPRODUCT(SUMIFS(RawTransportationData!$H:$H,RawTransportationData!$A:$A,Compare!$P$1,RawTransportationData!$B:$B,Compare!$D77:$F77))</f>
        <v>223900</v>
      </c>
      <c r="T77" s="32">
        <f t="shared" si="12"/>
        <v>152120.47999999998</v>
      </c>
      <c r="U77" s="45"/>
      <c r="V77" s="85">
        <f>SUMPRODUCT(SUMIFS(RawTransportationData!$D:$D,RawTransportationData!$A:$A,Compare!$V$2,RawTransportationData!$B:$B,Compare!$D77:$F77))</f>
        <v>421.5</v>
      </c>
      <c r="W77" s="86">
        <f>SUMPRODUCT(SUMIFS(RawTransportationData!$G:$G,RawTransportationData!$A:$A,Compare!$V$2,RawTransportationData!$B:$B,Compare!$D77:$F77))</f>
        <v>361704.23</v>
      </c>
      <c r="X77" s="32">
        <f t="shared" si="13"/>
        <v>858.13577698695133</v>
      </c>
      <c r="Y77" s="32">
        <f>SUMPRODUCT(SUMIFS(RawTransportationData!$H:$H,RawTransportationData!$A:$A,Compare!$V$1,RawTransportationData!$B:$B,Compare!$D77:$F77))</f>
        <v>186739</v>
      </c>
      <c r="Z77" s="32">
        <f t="shared" si="14"/>
        <v>174965.22999999998</v>
      </c>
    </row>
    <row r="78" spans="1:26" x14ac:dyDescent="0.55000000000000004">
      <c r="A78">
        <f>FinalPayment!A76</f>
        <v>2021</v>
      </c>
      <c r="B78" t="str">
        <f>FinalPayment!B76</f>
        <v>13</v>
      </c>
      <c r="C78" t="str">
        <f>FinalPayment!C76</f>
        <v>1476</v>
      </c>
      <c r="D78" t="str">
        <f>FinalPayment!D76</f>
        <v/>
      </c>
      <c r="E78" t="str">
        <f>FinalPayment!E76</f>
        <v/>
      </c>
      <c r="F78" t="str">
        <f>FinalPayment!F76</f>
        <v>1476</v>
      </c>
      <c r="G78" s="28" t="str">
        <f>FinalPayment!G76</f>
        <v>Council Bluffs</v>
      </c>
      <c r="H78" s="85">
        <f>SUMPRODUCT(SUMIFS(RawTransportationData!$D:$D,RawTransportationData!$A:$A,Compare!$H$2,RawTransportationData!$B:$B,Compare!$D78:$F78))</f>
        <v>9053.1</v>
      </c>
      <c r="I78" s="86">
        <f>SUMPRODUCT(SUMIFS(RawTransportationData!$G:$G,RawTransportationData!$A:$A,Compare!$H$2,RawTransportationData!$B:$B,Compare!$D78:$F78))</f>
        <v>3132026.07</v>
      </c>
      <c r="J78" s="32">
        <f t="shared" si="15"/>
        <v>345.96172250389367</v>
      </c>
      <c r="K78" s="32">
        <f>SUMPRODUCT(SUMIFS(RawTransportationData!$H:$H,RawTransportationData!$A:$A,Compare!$E$1,RawTransportationData!$B:$B,Compare!$D78:$F78))</f>
        <v>7411</v>
      </c>
      <c r="L78" s="32">
        <f t="shared" si="8"/>
        <v>3124615.07</v>
      </c>
      <c r="M78" s="70">
        <f t="shared" si="9"/>
        <v>0.3989314897577862</v>
      </c>
      <c r="N78" s="70">
        <f t="shared" si="10"/>
        <v>0.36495430627158837</v>
      </c>
      <c r="O78" s="45"/>
      <c r="P78" s="85">
        <f>SUMPRODUCT(SUMIFS(RawTransportationData!$D:$D,RawTransportationData!$A:$A,Compare!$P$2,RawTransportationData!$B:$B,Compare!$D78:$F78))</f>
        <v>9124.5999999999985</v>
      </c>
      <c r="Q78" s="86">
        <f>SUMPRODUCT(SUMIFS(RawTransportationData!$G:$G,RawTransportationData!$A:$A,Compare!$P$2,RawTransportationData!$B:$B,Compare!$D78:$F78))</f>
        <v>2686603.57</v>
      </c>
      <c r="R78" s="32">
        <f t="shared" si="11"/>
        <v>294.43521579028123</v>
      </c>
      <c r="S78" s="32">
        <f>SUMPRODUCT(SUMIFS(RawTransportationData!$H:$H,RawTransportationData!$A:$A,Compare!$P$1,RawTransportationData!$B:$B,Compare!$D78:$F78))</f>
        <v>0</v>
      </c>
      <c r="T78" s="32">
        <f t="shared" si="12"/>
        <v>2686603.57</v>
      </c>
      <c r="U78" s="45"/>
      <c r="V78" s="85">
        <f>SUMPRODUCT(SUMIFS(RawTransportationData!$D:$D,RawTransportationData!$A:$A,Compare!$V$2,RawTransportationData!$B:$B,Compare!$D78:$F78))</f>
        <v>9256.5</v>
      </c>
      <c r="W78" s="86">
        <f>SUMPRODUCT(SUMIFS(RawTransportationData!$G:$G,RawTransportationData!$A:$A,Compare!$V$2,RawTransportationData!$B:$B,Compare!$D78:$F78))</f>
        <v>2289171.92</v>
      </c>
      <c r="X78" s="32">
        <f t="shared" si="13"/>
        <v>247.30426403068114</v>
      </c>
      <c r="Y78" s="32">
        <f>SUMPRODUCT(SUMIFS(RawTransportationData!$H:$H,RawTransportationData!$A:$A,Compare!$V$1,RawTransportationData!$B:$B,Compare!$D78:$F78))</f>
        <v>0</v>
      </c>
      <c r="Z78" s="32">
        <f t="shared" si="14"/>
        <v>2289171.92</v>
      </c>
    </row>
    <row r="79" spans="1:26" x14ac:dyDescent="0.55000000000000004">
      <c r="A79">
        <f>FinalPayment!A77</f>
        <v>2021</v>
      </c>
      <c r="B79" t="str">
        <f>FinalPayment!B77</f>
        <v>13</v>
      </c>
      <c r="C79" t="str">
        <f>FinalPayment!C77</f>
        <v>1503</v>
      </c>
      <c r="D79" t="str">
        <f>FinalPayment!D77</f>
        <v>5328</v>
      </c>
      <c r="E79" t="str">
        <f>FinalPayment!E77</f>
        <v/>
      </c>
      <c r="F79" t="str">
        <f>FinalPayment!F77</f>
        <v>1503</v>
      </c>
      <c r="G79" s="28" t="str">
        <f>FinalPayment!G77</f>
        <v>Creston</v>
      </c>
      <c r="H79" s="85">
        <f>SUMPRODUCT(SUMIFS(RawTransportationData!$D:$D,RawTransportationData!$A:$A,Compare!$H$2,RawTransportationData!$B:$B,Compare!$D79:$F79))</f>
        <v>1446.6</v>
      </c>
      <c r="I79" s="86">
        <f>SUMPRODUCT(SUMIFS(RawTransportationData!$G:$G,RawTransportationData!$A:$A,Compare!$H$2,RawTransportationData!$B:$B,Compare!$D79:$F79))</f>
        <v>356398.34</v>
      </c>
      <c r="J79" s="32">
        <f t="shared" si="15"/>
        <v>246.3696529794</v>
      </c>
      <c r="K79" s="32">
        <f>SUMPRODUCT(SUMIFS(RawTransportationData!$H:$H,RawTransportationData!$A:$A,Compare!$E$1,RawTransportationData!$B:$B,Compare!$D79:$F79))</f>
        <v>1184</v>
      </c>
      <c r="L79" s="32">
        <f t="shared" si="8"/>
        <v>355214.34</v>
      </c>
      <c r="M79" s="70">
        <f t="shared" si="9"/>
        <v>8.3465517142988041E-2</v>
      </c>
      <c r="N79" s="70">
        <f t="shared" si="10"/>
        <v>7.3927067876918343E-2</v>
      </c>
      <c r="O79" s="45"/>
      <c r="P79" s="85">
        <f>SUMPRODUCT(SUMIFS(RawTransportationData!$D:$D,RawTransportationData!$A:$A,Compare!$P$2,RawTransportationData!$B:$B,Compare!$D79:$F79))</f>
        <v>1470.1</v>
      </c>
      <c r="Q79" s="86">
        <f>SUMPRODUCT(SUMIFS(RawTransportationData!$G:$G,RawTransportationData!$A:$A,Compare!$P$2,RawTransportationData!$B:$B,Compare!$D79:$F79))</f>
        <v>338271.3</v>
      </c>
      <c r="R79" s="32">
        <f t="shared" si="11"/>
        <v>230.10087749132714</v>
      </c>
      <c r="S79" s="32">
        <f>SUMPRODUCT(SUMIFS(RawTransportationData!$H:$H,RawTransportationData!$A:$A,Compare!$P$1,RawTransportationData!$B:$B,Compare!$D79:$F79))</f>
        <v>0</v>
      </c>
      <c r="T79" s="32">
        <f t="shared" si="12"/>
        <v>338271.3</v>
      </c>
      <c r="U79" s="45"/>
      <c r="V79" s="85">
        <f>SUMPRODUCT(SUMIFS(RawTransportationData!$D:$D,RawTransportationData!$A:$A,Compare!$V$2,RawTransportationData!$B:$B,Compare!$D79:$F79))</f>
        <v>1454.6</v>
      </c>
      <c r="W79" s="86">
        <f>SUMPRODUCT(SUMIFS(RawTransportationData!$G:$G,RawTransportationData!$A:$A,Compare!$V$2,RawTransportationData!$B:$B,Compare!$D79:$F79))</f>
        <v>330762.07</v>
      </c>
      <c r="X79" s="32">
        <f t="shared" si="13"/>
        <v>227.39039598515058</v>
      </c>
      <c r="Y79" s="32">
        <f>SUMPRODUCT(SUMIFS(RawTransportationData!$H:$H,RawTransportationData!$A:$A,Compare!$V$1,RawTransportationData!$B:$B,Compare!$D79:$F79))</f>
        <v>0</v>
      </c>
      <c r="Z79" s="32">
        <f t="shared" si="14"/>
        <v>330762.07</v>
      </c>
    </row>
    <row r="80" spans="1:26" x14ac:dyDescent="0.55000000000000004">
      <c r="A80">
        <f>FinalPayment!A78</f>
        <v>2021</v>
      </c>
      <c r="B80" t="str">
        <f>FinalPayment!B78</f>
        <v>11</v>
      </c>
      <c r="C80" t="str">
        <f>FinalPayment!C78</f>
        <v>1576</v>
      </c>
      <c r="D80" t="str">
        <f>FinalPayment!D78</f>
        <v/>
      </c>
      <c r="E80" t="str">
        <f>FinalPayment!E78</f>
        <v/>
      </c>
      <c r="F80" t="str">
        <f>FinalPayment!F78</f>
        <v>1576</v>
      </c>
      <c r="G80" s="28" t="str">
        <f>FinalPayment!G78</f>
        <v>Dallas Center-Grimes</v>
      </c>
      <c r="H80" s="85">
        <f>SUMPRODUCT(SUMIFS(RawTransportationData!$D:$D,RawTransportationData!$A:$A,Compare!$H$2,RawTransportationData!$B:$B,Compare!$D80:$F80))</f>
        <v>2933.1</v>
      </c>
      <c r="I80" s="86">
        <f>SUMPRODUCT(SUMIFS(RawTransportationData!$G:$G,RawTransportationData!$A:$A,Compare!$H$2,RawTransportationData!$B:$B,Compare!$D80:$F80))</f>
        <v>855826.42999999993</v>
      </c>
      <c r="J80" s="32">
        <f t="shared" si="15"/>
        <v>291.78222017660494</v>
      </c>
      <c r="K80" s="32">
        <f>SUMPRODUCT(SUMIFS(RawTransportationData!$H:$H,RawTransportationData!$A:$A,Compare!$E$1,RawTransportationData!$B:$B,Compare!$D80:$F80))</f>
        <v>2401</v>
      </c>
      <c r="L80" s="32">
        <f t="shared" si="8"/>
        <v>853425.42999999993</v>
      </c>
      <c r="M80" s="70">
        <f t="shared" si="9"/>
        <v>6.8367048276114742E-2</v>
      </c>
      <c r="N80" s="70">
        <f t="shared" si="10"/>
        <v>0.16156273687112865</v>
      </c>
      <c r="O80" s="45"/>
      <c r="P80" s="85">
        <f>SUMPRODUCT(SUMIFS(RawTransportationData!$D:$D,RawTransportationData!$A:$A,Compare!$P$2,RawTransportationData!$B:$B,Compare!$D80:$F80))</f>
        <v>2820.9</v>
      </c>
      <c r="Q80" s="86">
        <f>SUMPRODUCT(SUMIFS(RawTransportationData!$G:$G,RawTransportationData!$A:$A,Compare!$P$2,RawTransportationData!$B:$B,Compare!$D80:$F80))</f>
        <v>888045.07</v>
      </c>
      <c r="R80" s="32">
        <f t="shared" si="11"/>
        <v>314.80912829238895</v>
      </c>
      <c r="S80" s="32">
        <f>SUMPRODUCT(SUMIFS(RawTransportationData!$H:$H,RawTransportationData!$A:$A,Compare!$P$1,RawTransportationData!$B:$B,Compare!$D80:$F80))</f>
        <v>0</v>
      </c>
      <c r="T80" s="32">
        <f t="shared" si="12"/>
        <v>888045.07</v>
      </c>
      <c r="U80" s="45"/>
      <c r="V80" s="85">
        <f>SUMPRODUCT(SUMIFS(RawTransportationData!$D:$D,RawTransportationData!$A:$A,Compare!$V$2,RawTransportationData!$B:$B,Compare!$D80:$F80))</f>
        <v>2690.2</v>
      </c>
      <c r="W80" s="86">
        <f>SUMPRODUCT(SUMIFS(RawTransportationData!$G:$G,RawTransportationData!$A:$A,Compare!$V$2,RawTransportationData!$B:$B,Compare!$D80:$F80))</f>
        <v>734721.77</v>
      </c>
      <c r="X80" s="32">
        <f t="shared" si="13"/>
        <v>273.11046390602934</v>
      </c>
      <c r="Y80" s="32">
        <f>SUMPRODUCT(SUMIFS(RawTransportationData!$H:$H,RawTransportationData!$A:$A,Compare!$V$1,RawTransportationData!$B:$B,Compare!$D80:$F80))</f>
        <v>0</v>
      </c>
      <c r="Z80" s="32">
        <f t="shared" si="14"/>
        <v>734721.77</v>
      </c>
    </row>
    <row r="81" spans="1:26" x14ac:dyDescent="0.55000000000000004">
      <c r="A81">
        <f>FinalPayment!A79</f>
        <v>2021</v>
      </c>
      <c r="B81" t="str">
        <f>FinalPayment!B79</f>
        <v>15</v>
      </c>
      <c r="C81" t="str">
        <f>FinalPayment!C79</f>
        <v>1602</v>
      </c>
      <c r="D81" t="str">
        <f>FinalPayment!D79</f>
        <v/>
      </c>
      <c r="E81" t="str">
        <f>FinalPayment!E79</f>
        <v/>
      </c>
      <c r="F81" t="str">
        <f>FinalPayment!F79</f>
        <v>1602</v>
      </c>
      <c r="G81" s="28" t="str">
        <f>FinalPayment!G79</f>
        <v>Danville</v>
      </c>
      <c r="H81" s="85">
        <f>SUMPRODUCT(SUMIFS(RawTransportationData!$D:$D,RawTransportationData!$A:$A,Compare!$H$2,RawTransportationData!$B:$B,Compare!$D81:$F81))</f>
        <v>508.4</v>
      </c>
      <c r="I81" s="86">
        <f>SUMPRODUCT(SUMIFS(RawTransportationData!$G:$G,RawTransportationData!$A:$A,Compare!$H$2,RawTransportationData!$B:$B,Compare!$D81:$F81))</f>
        <v>249239.86</v>
      </c>
      <c r="J81" s="32">
        <f t="shared" si="15"/>
        <v>490.24362706530292</v>
      </c>
      <c r="K81" s="32">
        <f>SUMPRODUCT(SUMIFS(RawTransportationData!$H:$H,RawTransportationData!$A:$A,Compare!$E$1,RawTransportationData!$B:$B,Compare!$D81:$F81))</f>
        <v>72909</v>
      </c>
      <c r="L81" s="32">
        <f t="shared" si="8"/>
        <v>176330.86</v>
      </c>
      <c r="M81" s="70">
        <f t="shared" si="9"/>
        <v>6.4764665695582077E-2</v>
      </c>
      <c r="N81" s="70">
        <f t="shared" si="10"/>
        <v>-0.16431157201738467</v>
      </c>
      <c r="O81" s="45"/>
      <c r="P81" s="85">
        <f>SUMPRODUCT(SUMIFS(RawTransportationData!$D:$D,RawTransportationData!$A:$A,Compare!$P$2,RawTransportationData!$B:$B,Compare!$D81:$F81))</f>
        <v>513.5</v>
      </c>
      <c r="Q81" s="86">
        <f>SUMPRODUCT(SUMIFS(RawTransportationData!$G:$G,RawTransportationData!$A:$A,Compare!$P$2,RawTransportationData!$B:$B,Compare!$D81:$F81))</f>
        <v>252183.03</v>
      </c>
      <c r="R81" s="32">
        <f t="shared" si="11"/>
        <v>491.10619279454721</v>
      </c>
      <c r="S81" s="32">
        <f>SUMPRODUCT(SUMIFS(RawTransportationData!$H:$H,RawTransportationData!$A:$A,Compare!$P$1,RawTransportationData!$B:$B,Compare!$D81:$F81))</f>
        <v>56507</v>
      </c>
      <c r="T81" s="32">
        <f t="shared" si="12"/>
        <v>195676.03</v>
      </c>
      <c r="U81" s="45"/>
      <c r="V81" s="85">
        <f>SUMPRODUCT(SUMIFS(RawTransportationData!$D:$D,RawTransportationData!$A:$A,Compare!$V$2,RawTransportationData!$B:$B,Compare!$D81:$F81))</f>
        <v>508.3</v>
      </c>
      <c r="W81" s="86">
        <f>SUMPRODUCT(SUMIFS(RawTransportationData!$G:$G,RawTransportationData!$A:$A,Compare!$V$2,RawTransportationData!$B:$B,Compare!$D81:$F81))</f>
        <v>234033.72</v>
      </c>
      <c r="X81" s="32">
        <f t="shared" si="13"/>
        <v>460.42439504229787</v>
      </c>
      <c r="Y81" s="32">
        <f>SUMPRODUCT(SUMIFS(RawTransportationData!$H:$H,RawTransportationData!$A:$A,Compare!$V$1,RawTransportationData!$B:$B,Compare!$D81:$F81))</f>
        <v>23033</v>
      </c>
      <c r="Z81" s="32">
        <f t="shared" si="14"/>
        <v>211000.72</v>
      </c>
    </row>
    <row r="82" spans="1:26" x14ac:dyDescent="0.55000000000000004">
      <c r="A82">
        <f>FinalPayment!A80</f>
        <v>2021</v>
      </c>
      <c r="B82" t="str">
        <f>FinalPayment!B80</f>
        <v>09</v>
      </c>
      <c r="C82" t="str">
        <f>FinalPayment!C80</f>
        <v>1611</v>
      </c>
      <c r="D82" t="str">
        <f>FinalPayment!D80</f>
        <v/>
      </c>
      <c r="E82" t="str">
        <f>FinalPayment!E80</f>
        <v/>
      </c>
      <c r="F82" t="str">
        <f>FinalPayment!F80</f>
        <v>1611</v>
      </c>
      <c r="G82" s="28" t="str">
        <f>FinalPayment!G80</f>
        <v>Davenport</v>
      </c>
      <c r="H82" s="85">
        <f>SUMPRODUCT(SUMIFS(RawTransportationData!$D:$D,RawTransportationData!$A:$A,Compare!$H$2,RawTransportationData!$B:$B,Compare!$D82:$F82))</f>
        <v>15051.2</v>
      </c>
      <c r="I82" s="86">
        <f>SUMPRODUCT(SUMIFS(RawTransportationData!$G:$G,RawTransportationData!$A:$A,Compare!$H$2,RawTransportationData!$B:$B,Compare!$D82:$F82))</f>
        <v>5204586.1100000003</v>
      </c>
      <c r="J82" s="32">
        <f t="shared" si="15"/>
        <v>345.79210361964493</v>
      </c>
      <c r="K82" s="32">
        <f>SUMPRODUCT(SUMIFS(RawTransportationData!$H:$H,RawTransportationData!$A:$A,Compare!$E$1,RawTransportationData!$B:$B,Compare!$D82:$F82))</f>
        <v>12321</v>
      </c>
      <c r="L82" s="32">
        <f t="shared" si="8"/>
        <v>5192265.1100000003</v>
      </c>
      <c r="M82" s="70">
        <f t="shared" si="9"/>
        <v>0.12971474197329438</v>
      </c>
      <c r="N82" s="70">
        <f t="shared" si="10"/>
        <v>9.5325717825993792E-2</v>
      </c>
      <c r="O82" s="45"/>
      <c r="P82" s="85">
        <f>SUMPRODUCT(SUMIFS(RawTransportationData!$D:$D,RawTransportationData!$A:$A,Compare!$P$2,RawTransportationData!$B:$B,Compare!$D82:$F82))</f>
        <v>15231.3</v>
      </c>
      <c r="Q82" s="86">
        <f>SUMPRODUCT(SUMIFS(RawTransportationData!$G:$G,RawTransportationData!$A:$A,Compare!$P$2,RawTransportationData!$B:$B,Compare!$D82:$F82))</f>
        <v>4550753.16</v>
      </c>
      <c r="R82" s="32">
        <f t="shared" si="11"/>
        <v>298.77641173110635</v>
      </c>
      <c r="S82" s="32">
        <f>SUMPRODUCT(SUMIFS(RawTransportationData!$H:$H,RawTransportationData!$A:$A,Compare!$P$1,RawTransportationData!$B:$B,Compare!$D82:$F82))</f>
        <v>0</v>
      </c>
      <c r="T82" s="32">
        <f t="shared" si="12"/>
        <v>4550753.16</v>
      </c>
      <c r="U82" s="45"/>
      <c r="V82" s="85">
        <f>SUMPRODUCT(SUMIFS(RawTransportationData!$D:$D,RawTransportationData!$A:$A,Compare!$V$2,RawTransportationData!$B:$B,Compare!$D82:$F82))</f>
        <v>15487</v>
      </c>
      <c r="W82" s="86">
        <f>SUMPRODUCT(SUMIFS(RawTransportationData!$G:$G,RawTransportationData!$A:$A,Compare!$V$2,RawTransportationData!$B:$B,Compare!$D82:$F82))</f>
        <v>4740384.55</v>
      </c>
      <c r="X82" s="32">
        <f t="shared" si="13"/>
        <v>306.08798024149286</v>
      </c>
      <c r="Y82" s="32">
        <f>SUMPRODUCT(SUMIFS(RawTransportationData!$H:$H,RawTransportationData!$A:$A,Compare!$V$1,RawTransportationData!$B:$B,Compare!$D82:$F82))</f>
        <v>0</v>
      </c>
      <c r="Z82" s="32">
        <f t="shared" si="14"/>
        <v>4740384.55</v>
      </c>
    </row>
    <row r="83" spans="1:26" x14ac:dyDescent="0.55000000000000004">
      <c r="A83">
        <f>FinalPayment!A81</f>
        <v>2021</v>
      </c>
      <c r="B83" t="str">
        <f>FinalPayment!B81</f>
        <v>15</v>
      </c>
      <c r="C83" t="str">
        <f>FinalPayment!C81</f>
        <v>1619</v>
      </c>
      <c r="D83" t="str">
        <f>FinalPayment!D81</f>
        <v/>
      </c>
      <c r="E83" t="str">
        <f>FinalPayment!E81</f>
        <v/>
      </c>
      <c r="F83" t="str">
        <f>FinalPayment!F81</f>
        <v>1619</v>
      </c>
      <c r="G83" s="28" t="str">
        <f>FinalPayment!G81</f>
        <v>Davis County</v>
      </c>
      <c r="H83" s="85">
        <f>SUMPRODUCT(SUMIFS(RawTransportationData!$D:$D,RawTransportationData!$A:$A,Compare!$H$2,RawTransportationData!$B:$B,Compare!$D83:$F83))</f>
        <v>1153.8</v>
      </c>
      <c r="I83" s="86">
        <f>SUMPRODUCT(SUMIFS(RawTransportationData!$G:$G,RawTransportationData!$A:$A,Compare!$H$2,RawTransportationData!$B:$B,Compare!$D83:$F83))</f>
        <v>898313.79</v>
      </c>
      <c r="J83" s="32">
        <f t="shared" si="15"/>
        <v>778.5697607904317</v>
      </c>
      <c r="K83" s="32">
        <f>SUMPRODUCT(SUMIFS(RawTransportationData!$H:$H,RawTransportationData!$A:$A,Compare!$E$1,RawTransportationData!$B:$B,Compare!$D83:$F83))</f>
        <v>498139</v>
      </c>
      <c r="L83" s="32">
        <f t="shared" si="8"/>
        <v>400174.79000000004</v>
      </c>
      <c r="M83" s="70">
        <f t="shared" si="9"/>
        <v>0.12695032332228315</v>
      </c>
      <c r="N83" s="70">
        <f t="shared" si="10"/>
        <v>-0.1847626367969217</v>
      </c>
      <c r="O83" s="45"/>
      <c r="P83" s="85">
        <f>SUMPRODUCT(SUMIFS(RawTransportationData!$D:$D,RawTransportationData!$A:$A,Compare!$P$2,RawTransportationData!$B:$B,Compare!$D83:$F83))</f>
        <v>1137.5999999999999</v>
      </c>
      <c r="Q83" s="86">
        <f>SUMPRODUCT(SUMIFS(RawTransportationData!$G:$G,RawTransportationData!$A:$A,Compare!$P$2,RawTransportationData!$B:$B,Compare!$D83:$F83))</f>
        <v>855358.89</v>
      </c>
      <c r="R83" s="32">
        <f t="shared" si="11"/>
        <v>751.89775843881864</v>
      </c>
      <c r="S83" s="32">
        <f>SUMPRODUCT(SUMIFS(RawTransportationData!$H:$H,RawTransportationData!$A:$A,Compare!$P$1,RawTransportationData!$B:$B,Compare!$D83:$F83))</f>
        <v>421859</v>
      </c>
      <c r="T83" s="32">
        <f t="shared" si="12"/>
        <v>433499.89</v>
      </c>
      <c r="U83" s="45"/>
      <c r="V83" s="85">
        <f>SUMPRODUCT(SUMIFS(RawTransportationData!$D:$D,RawTransportationData!$A:$A,Compare!$V$2,RawTransportationData!$B:$B,Compare!$D83:$F83))</f>
        <v>1182.5</v>
      </c>
      <c r="W83" s="86">
        <f>SUMPRODUCT(SUMIFS(RawTransportationData!$G:$G,RawTransportationData!$A:$A,Compare!$V$2,RawTransportationData!$B:$B,Compare!$D83:$F83))</f>
        <v>816947.05</v>
      </c>
      <c r="X83" s="32">
        <f t="shared" si="13"/>
        <v>690.86431289640598</v>
      </c>
      <c r="Y83" s="32">
        <f>SUMPRODUCT(SUMIFS(RawTransportationData!$H:$H,RawTransportationData!$A:$A,Compare!$V$1,RawTransportationData!$B:$B,Compare!$D83:$F83))</f>
        <v>326078</v>
      </c>
      <c r="Z83" s="32">
        <f t="shared" si="14"/>
        <v>490869.05000000005</v>
      </c>
    </row>
    <row r="84" spans="1:26" x14ac:dyDescent="0.55000000000000004">
      <c r="A84">
        <f>FinalPayment!A82</f>
        <v>2021</v>
      </c>
      <c r="B84" t="str">
        <f>FinalPayment!B82</f>
        <v>01</v>
      </c>
      <c r="C84" t="str">
        <f>FinalPayment!C82</f>
        <v>1638</v>
      </c>
      <c r="D84" t="str">
        <f>FinalPayment!D82</f>
        <v>4787</v>
      </c>
      <c r="E84" t="str">
        <f>FinalPayment!E82</f>
        <v/>
      </c>
      <c r="F84" t="str">
        <f>FinalPayment!F82</f>
        <v>1638</v>
      </c>
      <c r="G84" s="28" t="str">
        <f>FinalPayment!G82</f>
        <v>Decorah</v>
      </c>
      <c r="H84" s="85">
        <f>SUMPRODUCT(SUMIFS(RawTransportationData!$D:$D,RawTransportationData!$A:$A,Compare!$H$2,RawTransportationData!$B:$B,Compare!$D84:$F84))</f>
        <v>1625.3</v>
      </c>
      <c r="I84" s="86">
        <f>SUMPRODUCT(SUMIFS(RawTransportationData!$G:$G,RawTransportationData!$A:$A,Compare!$H$2,RawTransportationData!$B:$B,Compare!$D84:$F84))</f>
        <v>915484.27</v>
      </c>
      <c r="J84" s="32">
        <f t="shared" si="15"/>
        <v>563.27094690211038</v>
      </c>
      <c r="K84" s="32">
        <f>SUMPRODUCT(SUMIFS(RawTransportationData!$H:$H,RawTransportationData!$A:$A,Compare!$E$1,RawTransportationData!$B:$B,Compare!$D84:$F84))</f>
        <v>351781</v>
      </c>
      <c r="L84" s="32">
        <f t="shared" si="8"/>
        <v>563703.27</v>
      </c>
      <c r="M84" s="70">
        <f t="shared" si="9"/>
        <v>-9.0885890101268893E-2</v>
      </c>
      <c r="N84" s="70">
        <f t="shared" si="10"/>
        <v>-0.16784803413689878</v>
      </c>
      <c r="O84" s="45"/>
      <c r="P84" s="85">
        <f>SUMPRODUCT(SUMIFS(RawTransportationData!$D:$D,RawTransportationData!$A:$A,Compare!$P$2,RawTransportationData!$B:$B,Compare!$D84:$F84))</f>
        <v>1642.6999999999998</v>
      </c>
      <c r="Q84" s="86">
        <f>SUMPRODUCT(SUMIFS(RawTransportationData!$G:$G,RawTransportationData!$A:$A,Compare!$P$2,RawTransportationData!$B:$B,Compare!$D84:$F84))</f>
        <v>923877.4</v>
      </c>
      <c r="R84" s="32">
        <f t="shared" si="11"/>
        <v>562.4139526389481</v>
      </c>
      <c r="S84" s="32">
        <f>SUMPRODUCT(SUMIFS(RawTransportationData!$H:$H,RawTransportationData!$A:$A,Compare!$P$1,RawTransportationData!$B:$B,Compare!$D84:$F84))</f>
        <v>297896</v>
      </c>
      <c r="T84" s="32">
        <f t="shared" si="12"/>
        <v>625981.4</v>
      </c>
      <c r="U84" s="45"/>
      <c r="V84" s="85">
        <f>SUMPRODUCT(SUMIFS(RawTransportationData!$D:$D,RawTransportationData!$A:$A,Compare!$V$2,RawTransportationData!$B:$B,Compare!$D84:$F84))</f>
        <v>1631.8999999999999</v>
      </c>
      <c r="W84" s="86">
        <f>SUMPRODUCT(SUMIFS(RawTransportationData!$G:$G,RawTransportationData!$A:$A,Compare!$V$2,RawTransportationData!$B:$B,Compare!$D84:$F84))</f>
        <v>1011096.24</v>
      </c>
      <c r="X84" s="32">
        <f t="shared" si="13"/>
        <v>619.58222930326622</v>
      </c>
      <c r="Y84" s="32">
        <f>SUMPRODUCT(SUMIFS(RawTransportationData!$H:$H,RawTransportationData!$A:$A,Compare!$V$1,RawTransportationData!$B:$B,Compare!$D84:$F84))</f>
        <v>333692</v>
      </c>
      <c r="Z84" s="32">
        <f t="shared" si="14"/>
        <v>677404.24</v>
      </c>
    </row>
    <row r="85" spans="1:26" x14ac:dyDescent="0.55000000000000004">
      <c r="A85">
        <f>FinalPayment!A83</f>
        <v>2021</v>
      </c>
      <c r="B85" t="str">
        <f>FinalPayment!B83</f>
        <v>09</v>
      </c>
      <c r="C85" t="str">
        <f>FinalPayment!C83</f>
        <v>1675</v>
      </c>
      <c r="D85" t="str">
        <f>FinalPayment!D83</f>
        <v/>
      </c>
      <c r="E85" t="str">
        <f>FinalPayment!E83</f>
        <v/>
      </c>
      <c r="F85" t="str">
        <f>FinalPayment!F83</f>
        <v>1675</v>
      </c>
      <c r="G85" s="28" t="str">
        <f>FinalPayment!G83</f>
        <v>Delwood</v>
      </c>
      <c r="H85" s="85">
        <f>SUMPRODUCT(SUMIFS(RawTransportationData!$D:$D,RawTransportationData!$A:$A,Compare!$H$2,RawTransportationData!$B:$B,Compare!$D85:$F85))</f>
        <v>205.5</v>
      </c>
      <c r="I85" s="86">
        <f>SUMPRODUCT(SUMIFS(RawTransportationData!$G:$G,RawTransportationData!$A:$A,Compare!$H$2,RawTransportationData!$B:$B,Compare!$D85:$F85))</f>
        <v>190084.05</v>
      </c>
      <c r="J85" s="32">
        <f t="shared" si="15"/>
        <v>924.98321167883205</v>
      </c>
      <c r="K85" s="32">
        <f>SUMPRODUCT(SUMIFS(RawTransportationData!$H:$H,RawTransportationData!$A:$A,Compare!$E$1,RawTransportationData!$B:$B,Compare!$D85:$F85))</f>
        <v>118809</v>
      </c>
      <c r="L85" s="32">
        <f t="shared" si="8"/>
        <v>71275.049999999988</v>
      </c>
      <c r="M85" s="70">
        <f t="shared" si="9"/>
        <v>3.1359397181413222E-2</v>
      </c>
      <c r="N85" s="70">
        <f t="shared" si="10"/>
        <v>-0.10337232408246527</v>
      </c>
      <c r="O85" s="45"/>
      <c r="P85" s="85">
        <f>SUMPRODUCT(SUMIFS(RawTransportationData!$D:$D,RawTransportationData!$A:$A,Compare!$P$2,RawTransportationData!$B:$B,Compare!$D85:$F85))</f>
        <v>197.5</v>
      </c>
      <c r="Q85" s="86">
        <f>SUMPRODUCT(SUMIFS(RawTransportationData!$G:$G,RawTransportationData!$A:$A,Compare!$P$2,RawTransportationData!$B:$B,Compare!$D85:$F85))</f>
        <v>184699.29</v>
      </c>
      <c r="R85" s="32">
        <f t="shared" si="11"/>
        <v>935.18627848101266</v>
      </c>
      <c r="S85" s="32">
        <f>SUMPRODUCT(SUMIFS(RawTransportationData!$H:$H,RawTransportationData!$A:$A,Compare!$P$1,RawTransportationData!$B:$B,Compare!$D85:$F85))</f>
        <v>109439</v>
      </c>
      <c r="T85" s="32">
        <f t="shared" si="12"/>
        <v>75260.290000000008</v>
      </c>
      <c r="U85" s="45"/>
      <c r="V85" s="85">
        <f>SUMPRODUCT(SUMIFS(RawTransportationData!$D:$D,RawTransportationData!$A:$A,Compare!$V$2,RawTransportationData!$B:$B,Compare!$D85:$F85))</f>
        <v>191.5</v>
      </c>
      <c r="W85" s="86">
        <f>SUMPRODUCT(SUMIFS(RawTransportationData!$G:$G,RawTransportationData!$A:$A,Compare!$V$2,RawTransportationData!$B:$B,Compare!$D85:$F85))</f>
        <v>171748.36</v>
      </c>
      <c r="X85" s="32">
        <f t="shared" si="13"/>
        <v>896.85827676240206</v>
      </c>
      <c r="Y85" s="32">
        <f>SUMPRODUCT(SUMIFS(RawTransportationData!$H:$H,RawTransportationData!$A:$A,Compare!$V$1,RawTransportationData!$B:$B,Compare!$D85:$F85))</f>
        <v>92256</v>
      </c>
      <c r="Z85" s="32">
        <f t="shared" si="14"/>
        <v>79492.359999999986</v>
      </c>
    </row>
    <row r="86" spans="1:26" x14ac:dyDescent="0.55000000000000004">
      <c r="A86">
        <f>FinalPayment!A84</f>
        <v>2021</v>
      </c>
      <c r="B86" t="str">
        <f>FinalPayment!B84</f>
        <v>12</v>
      </c>
      <c r="C86" t="str">
        <f>FinalPayment!C84</f>
        <v>1701</v>
      </c>
      <c r="D86" t="str">
        <f>FinalPayment!D84</f>
        <v/>
      </c>
      <c r="E86" t="str">
        <f>FinalPayment!E84</f>
        <v/>
      </c>
      <c r="F86" t="str">
        <f>FinalPayment!F84</f>
        <v>1701</v>
      </c>
      <c r="G86" s="28" t="str">
        <f>FinalPayment!G84</f>
        <v>Denison</v>
      </c>
      <c r="H86" s="85">
        <f>SUMPRODUCT(SUMIFS(RawTransportationData!$D:$D,RawTransportationData!$A:$A,Compare!$H$2,RawTransportationData!$B:$B,Compare!$D86:$F86))</f>
        <v>2169.8999999999996</v>
      </c>
      <c r="I86" s="86">
        <f>SUMPRODUCT(SUMIFS(RawTransportationData!$G:$G,RawTransportationData!$A:$A,Compare!$H$2,RawTransportationData!$B:$B,Compare!$D86:$F86))</f>
        <v>857306.90999999992</v>
      </c>
      <c r="J86" s="32">
        <f t="shared" si="15"/>
        <v>395.09051569196743</v>
      </c>
      <c r="K86" s="32">
        <f>SUMPRODUCT(SUMIFS(RawTransportationData!$H:$H,RawTransportationData!$A:$A,Compare!$E$1,RawTransportationData!$B:$B,Compare!$D86:$F86))</f>
        <v>104716</v>
      </c>
      <c r="L86" s="32">
        <f t="shared" si="8"/>
        <v>752590.90999999992</v>
      </c>
      <c r="M86" s="70">
        <f t="shared" si="9"/>
        <v>5.3667723253412521E-2</v>
      </c>
      <c r="N86" s="70">
        <f t="shared" si="10"/>
        <v>-2.7197424821139248E-2</v>
      </c>
      <c r="O86" s="45"/>
      <c r="P86" s="85">
        <f>SUMPRODUCT(SUMIFS(RawTransportationData!$D:$D,RawTransportationData!$A:$A,Compare!$P$2,RawTransportationData!$B:$B,Compare!$D86:$F86))</f>
        <v>2100.5</v>
      </c>
      <c r="Q86" s="86">
        <f>SUMPRODUCT(SUMIFS(RawTransportationData!$G:$G,RawTransportationData!$A:$A,Compare!$P$2,RawTransportationData!$B:$B,Compare!$D86:$F86))</f>
        <v>881579.78999999992</v>
      </c>
      <c r="R86" s="32">
        <f t="shared" si="11"/>
        <v>419.6999714353725</v>
      </c>
      <c r="S86" s="32">
        <f>SUMPRODUCT(SUMIFS(RawTransportationData!$H:$H,RawTransportationData!$A:$A,Compare!$P$1,RawTransportationData!$B:$B,Compare!$D86:$F86))</f>
        <v>81147</v>
      </c>
      <c r="T86" s="32">
        <f t="shared" si="12"/>
        <v>800432.78999999992</v>
      </c>
      <c r="U86" s="45"/>
      <c r="V86" s="85">
        <f>SUMPRODUCT(SUMIFS(RawTransportationData!$D:$D,RawTransportationData!$A:$A,Compare!$V$2,RawTransportationData!$B:$B,Compare!$D86:$F86))</f>
        <v>2063.1999999999998</v>
      </c>
      <c r="W86" s="86">
        <f>SUMPRODUCT(SUMIFS(RawTransportationData!$G:$G,RawTransportationData!$A:$A,Compare!$V$2,RawTransportationData!$B:$B,Compare!$D86:$F86))</f>
        <v>773631.70000000007</v>
      </c>
      <c r="X86" s="32">
        <f t="shared" si="13"/>
        <v>374.96689608375345</v>
      </c>
      <c r="Y86" s="32">
        <f>SUMPRODUCT(SUMIFS(RawTransportationData!$H:$H,RawTransportationData!$A:$A,Compare!$V$1,RawTransportationData!$B:$B,Compare!$D86:$F86))</f>
        <v>0</v>
      </c>
      <c r="Z86" s="32">
        <f t="shared" si="14"/>
        <v>773631.70000000007</v>
      </c>
    </row>
    <row r="87" spans="1:26" x14ac:dyDescent="0.55000000000000004">
      <c r="A87">
        <f>FinalPayment!A85</f>
        <v>2021</v>
      </c>
      <c r="B87" t="str">
        <f>FinalPayment!B85</f>
        <v>07</v>
      </c>
      <c r="C87" t="str">
        <f>FinalPayment!C85</f>
        <v>1719</v>
      </c>
      <c r="D87" t="str">
        <f>FinalPayment!D85</f>
        <v/>
      </c>
      <c r="E87" t="str">
        <f>FinalPayment!E85</f>
        <v/>
      </c>
      <c r="F87" t="str">
        <f>FinalPayment!F85</f>
        <v>1719</v>
      </c>
      <c r="G87" s="28" t="str">
        <f>FinalPayment!G85</f>
        <v>Denver</v>
      </c>
      <c r="H87" s="85">
        <f>SUMPRODUCT(SUMIFS(RawTransportationData!$D:$D,RawTransportationData!$A:$A,Compare!$H$2,RawTransportationData!$B:$B,Compare!$D87:$F87))</f>
        <v>778.5</v>
      </c>
      <c r="I87" s="86">
        <f>SUMPRODUCT(SUMIFS(RawTransportationData!$G:$G,RawTransportationData!$A:$A,Compare!$H$2,RawTransportationData!$B:$B,Compare!$D87:$F87))</f>
        <v>113083.12</v>
      </c>
      <c r="J87" s="32">
        <f t="shared" si="15"/>
        <v>145.25770070648682</v>
      </c>
      <c r="K87" s="32">
        <f>SUMPRODUCT(SUMIFS(RawTransportationData!$H:$H,RawTransportationData!$A:$A,Compare!$E$1,RawTransportationData!$B:$B,Compare!$D87:$F87))</f>
        <v>637</v>
      </c>
      <c r="L87" s="32">
        <f t="shared" si="8"/>
        <v>112446.12</v>
      </c>
      <c r="M87" s="70">
        <f t="shared" si="9"/>
        <v>-0.1429176823337161</v>
      </c>
      <c r="N87" s="70">
        <f t="shared" si="10"/>
        <v>-7.335193725572671E-2</v>
      </c>
      <c r="O87" s="45"/>
      <c r="P87" s="85">
        <f>SUMPRODUCT(SUMIFS(RawTransportationData!$D:$D,RawTransportationData!$A:$A,Compare!$P$2,RawTransportationData!$B:$B,Compare!$D87:$F87))</f>
        <v>750</v>
      </c>
      <c r="Q87" s="86">
        <f>SUMPRODUCT(SUMIFS(RawTransportationData!$G:$G,RawTransportationData!$A:$A,Compare!$P$2,RawTransportationData!$B:$B,Compare!$D87:$F87))</f>
        <v>128675.48</v>
      </c>
      <c r="R87" s="32">
        <f t="shared" si="11"/>
        <v>171.56730666666667</v>
      </c>
      <c r="S87" s="32">
        <f>SUMPRODUCT(SUMIFS(RawTransportationData!$H:$H,RawTransportationData!$A:$A,Compare!$P$1,RawTransportationData!$B:$B,Compare!$D87:$F87))</f>
        <v>0</v>
      </c>
      <c r="T87" s="32">
        <f t="shared" si="12"/>
        <v>128675.48</v>
      </c>
      <c r="U87" s="45"/>
      <c r="V87" s="85">
        <f>SUMPRODUCT(SUMIFS(RawTransportationData!$D:$D,RawTransportationData!$A:$A,Compare!$V$2,RawTransportationData!$B:$B,Compare!$D87:$F87))</f>
        <v>716</v>
      </c>
      <c r="W87" s="86">
        <f>SUMPRODUCT(SUMIFS(RawTransportationData!$G:$G,RawTransportationData!$A:$A,Compare!$V$2,RawTransportationData!$B:$B,Compare!$D87:$F87))</f>
        <v>121347.17</v>
      </c>
      <c r="X87" s="32">
        <f t="shared" si="13"/>
        <v>169.47928770949721</v>
      </c>
      <c r="Y87" s="32">
        <f>SUMPRODUCT(SUMIFS(RawTransportationData!$H:$H,RawTransportationData!$A:$A,Compare!$V$1,RawTransportationData!$B:$B,Compare!$D87:$F87))</f>
        <v>0</v>
      </c>
      <c r="Z87" s="32">
        <f t="shared" si="14"/>
        <v>121347.17</v>
      </c>
    </row>
    <row r="88" spans="1:26" x14ac:dyDescent="0.55000000000000004">
      <c r="A88">
        <f>FinalPayment!A86</f>
        <v>2021</v>
      </c>
      <c r="B88" t="str">
        <f>FinalPayment!B86</f>
        <v>11</v>
      </c>
      <c r="C88" t="str">
        <f>FinalPayment!C86</f>
        <v>1737</v>
      </c>
      <c r="D88" t="str">
        <f>FinalPayment!D86</f>
        <v/>
      </c>
      <c r="E88" t="str">
        <f>FinalPayment!E86</f>
        <v/>
      </c>
      <c r="F88" t="str">
        <f>FinalPayment!F86</f>
        <v>1737</v>
      </c>
      <c r="G88" s="28" t="str">
        <f>FinalPayment!G86</f>
        <v>Des Moines</v>
      </c>
      <c r="H88" s="85">
        <f>SUMPRODUCT(SUMIFS(RawTransportationData!$D:$D,RawTransportationData!$A:$A,Compare!$H$2,RawTransportationData!$B:$B,Compare!$D88:$F88))</f>
        <v>32784.9</v>
      </c>
      <c r="I88" s="86">
        <f>SUMPRODUCT(SUMIFS(RawTransportationData!$G:$G,RawTransportationData!$A:$A,Compare!$H$2,RawTransportationData!$B:$B,Compare!$D88:$F88))</f>
        <v>8075772.6299999999</v>
      </c>
      <c r="J88" s="32">
        <f t="shared" si="15"/>
        <v>246.32598025310432</v>
      </c>
      <c r="K88" s="32">
        <f>SUMPRODUCT(SUMIFS(RawTransportationData!$H:$H,RawTransportationData!$A:$A,Compare!$E$1,RawTransportationData!$B:$B,Compare!$D88:$F88))</f>
        <v>26837</v>
      </c>
      <c r="L88" s="32">
        <f t="shared" si="8"/>
        <v>8048935.6299999999</v>
      </c>
      <c r="M88" s="70">
        <f t="shared" si="9"/>
        <v>0.48606911411620679</v>
      </c>
      <c r="N88" s="70">
        <f t="shared" si="10"/>
        <v>0.47262326629515861</v>
      </c>
      <c r="O88" s="45"/>
      <c r="P88" s="85">
        <f>SUMPRODUCT(SUMIFS(RawTransportationData!$D:$D,RawTransportationData!$A:$A,Compare!$P$2,RawTransportationData!$B:$B,Compare!$D88:$F88))</f>
        <v>33055.5</v>
      </c>
      <c r="Q88" s="86">
        <f>SUMPRODUCT(SUMIFS(RawTransportationData!$G:$G,RawTransportationData!$A:$A,Compare!$P$2,RawTransportationData!$B:$B,Compare!$D88:$F88))</f>
        <v>8102618.2000000002</v>
      </c>
      <c r="R88" s="32">
        <f t="shared" si="11"/>
        <v>245.12163482627702</v>
      </c>
      <c r="S88" s="32">
        <f>SUMPRODUCT(SUMIFS(RawTransportationData!$H:$H,RawTransportationData!$A:$A,Compare!$P$1,RawTransportationData!$B:$B,Compare!$D88:$F88))</f>
        <v>0</v>
      </c>
      <c r="T88" s="32">
        <f t="shared" si="12"/>
        <v>8102618.2000000002</v>
      </c>
      <c r="U88" s="45"/>
      <c r="V88" s="85">
        <f>SUMPRODUCT(SUMIFS(RawTransportationData!$D:$D,RawTransportationData!$A:$A,Compare!$V$2,RawTransportationData!$B:$B,Compare!$D88:$F88))</f>
        <v>32974.299999999996</v>
      </c>
      <c r="W88" s="86">
        <f>SUMPRODUCT(SUMIFS(RawTransportationData!$G:$G,RawTransportationData!$A:$A,Compare!$V$2,RawTransportationData!$B:$B,Compare!$D88:$F88))</f>
        <v>5465712.6600000001</v>
      </c>
      <c r="X88" s="32">
        <f t="shared" si="13"/>
        <v>165.75674570802113</v>
      </c>
      <c r="Y88" s="32">
        <f>SUMPRODUCT(SUMIFS(RawTransportationData!$H:$H,RawTransportationData!$A:$A,Compare!$V$1,RawTransportationData!$B:$B,Compare!$D88:$F88))</f>
        <v>0</v>
      </c>
      <c r="Z88" s="32">
        <f t="shared" si="14"/>
        <v>5465712.6600000001</v>
      </c>
    </row>
    <row r="89" spans="1:26" x14ac:dyDescent="0.55000000000000004">
      <c r="A89">
        <f>FinalPayment!A87</f>
        <v>2021</v>
      </c>
      <c r="B89" t="str">
        <f>FinalPayment!B87</f>
        <v>13</v>
      </c>
      <c r="C89" t="str">
        <f>FinalPayment!C87</f>
        <v>1782</v>
      </c>
      <c r="D89" t="str">
        <f>FinalPayment!D87</f>
        <v/>
      </c>
      <c r="E89" t="str">
        <f>FinalPayment!E87</f>
        <v/>
      </c>
      <c r="F89" t="str">
        <f>FinalPayment!F87</f>
        <v>1782</v>
      </c>
      <c r="G89" s="28" t="str">
        <f>FinalPayment!G87</f>
        <v>Diagonal</v>
      </c>
      <c r="H89" s="85">
        <f>SUMPRODUCT(SUMIFS(RawTransportationData!$D:$D,RawTransportationData!$A:$A,Compare!$H$2,RawTransportationData!$B:$B,Compare!$D89:$F89))</f>
        <v>103</v>
      </c>
      <c r="I89" s="86">
        <f>SUMPRODUCT(SUMIFS(RawTransportationData!$G:$G,RawTransportationData!$A:$A,Compare!$H$2,RawTransportationData!$B:$B,Compare!$D89:$F89))</f>
        <v>64981.57</v>
      </c>
      <c r="J89" s="32">
        <f t="shared" si="15"/>
        <v>630.88902912621359</v>
      </c>
      <c r="K89" s="32">
        <f>SUMPRODUCT(SUMIFS(RawTransportationData!$H:$H,RawTransportationData!$A:$A,Compare!$E$1,RawTransportationData!$B:$B,Compare!$D89:$F89))</f>
        <v>29258</v>
      </c>
      <c r="L89" s="32">
        <f t="shared" si="8"/>
        <v>35723.57</v>
      </c>
      <c r="M89" s="70">
        <f t="shared" si="9"/>
        <v>0.19572433294178992</v>
      </c>
      <c r="N89" s="70">
        <f t="shared" si="10"/>
        <v>-0.1394208486023491</v>
      </c>
      <c r="O89" s="45"/>
      <c r="P89" s="85">
        <f>SUMPRODUCT(SUMIFS(RawTransportationData!$D:$D,RawTransportationData!$A:$A,Compare!$P$2,RawTransportationData!$B:$B,Compare!$D89:$F89))</f>
        <v>99</v>
      </c>
      <c r="Q89" s="86">
        <f>SUMPRODUCT(SUMIFS(RawTransportationData!$G:$G,RawTransportationData!$A:$A,Compare!$P$2,RawTransportationData!$B:$B,Compare!$D89:$F89))</f>
        <v>69429.72</v>
      </c>
      <c r="R89" s="32">
        <f t="shared" si="11"/>
        <v>701.31030303030309</v>
      </c>
      <c r="S89" s="32">
        <f>SUMPRODUCT(SUMIFS(RawTransportationData!$H:$H,RawTransportationData!$A:$A,Compare!$P$1,RawTransportationData!$B:$B,Compare!$D89:$F89))</f>
        <v>31704</v>
      </c>
      <c r="T89" s="32">
        <f t="shared" si="12"/>
        <v>37725.72</v>
      </c>
      <c r="U89" s="45"/>
      <c r="V89" s="85">
        <f>SUMPRODUCT(SUMIFS(RawTransportationData!$D:$D,RawTransportationData!$A:$A,Compare!$V$2,RawTransportationData!$B:$B,Compare!$D89:$F89))</f>
        <v>100</v>
      </c>
      <c r="W89" s="86">
        <f>SUMPRODUCT(SUMIFS(RawTransportationData!$G:$G,RawTransportationData!$A:$A,Compare!$V$2,RawTransportationData!$B:$B,Compare!$D89:$F89))</f>
        <v>52762.080000000002</v>
      </c>
      <c r="X89" s="32">
        <f t="shared" si="13"/>
        <v>527.62080000000003</v>
      </c>
      <c r="Y89" s="32">
        <f>SUMPRODUCT(SUMIFS(RawTransportationData!$H:$H,RawTransportationData!$A:$A,Compare!$V$1,RawTransportationData!$B:$B,Compare!$D89:$F89))</f>
        <v>11251</v>
      </c>
      <c r="Z89" s="32">
        <f t="shared" si="14"/>
        <v>41511.08</v>
      </c>
    </row>
    <row r="90" spans="1:26" x14ac:dyDescent="0.55000000000000004">
      <c r="A90">
        <f>FinalPayment!A88</f>
        <v>2021</v>
      </c>
      <c r="B90" t="str">
        <f>FinalPayment!B88</f>
        <v>07</v>
      </c>
      <c r="C90" t="str">
        <f>FinalPayment!C88</f>
        <v>1791</v>
      </c>
      <c r="D90" t="str">
        <f>FinalPayment!D88</f>
        <v/>
      </c>
      <c r="E90" t="str">
        <f>FinalPayment!E88</f>
        <v/>
      </c>
      <c r="F90" t="str">
        <f>FinalPayment!F88</f>
        <v>1791</v>
      </c>
      <c r="G90" s="28" t="str">
        <f>FinalPayment!G88</f>
        <v>Dike-New Hartford</v>
      </c>
      <c r="H90" s="85">
        <f>SUMPRODUCT(SUMIFS(RawTransportationData!$D:$D,RawTransportationData!$A:$A,Compare!$H$2,RawTransportationData!$B:$B,Compare!$D90:$F90))</f>
        <v>867.7</v>
      </c>
      <c r="I90" s="86">
        <f>SUMPRODUCT(SUMIFS(RawTransportationData!$G:$G,RawTransportationData!$A:$A,Compare!$H$2,RawTransportationData!$B:$B,Compare!$D90:$F90))</f>
        <v>263840.57</v>
      </c>
      <c r="J90" s="32">
        <f t="shared" si="15"/>
        <v>304.06888325458107</v>
      </c>
      <c r="K90" s="32">
        <f>SUMPRODUCT(SUMIFS(RawTransportationData!$H:$H,RawTransportationData!$A:$A,Compare!$E$1,RawTransportationData!$B:$B,Compare!$D90:$F90))</f>
        <v>710</v>
      </c>
      <c r="L90" s="32">
        <f t="shared" si="8"/>
        <v>263130.57</v>
      </c>
      <c r="M90" s="70">
        <f t="shared" si="9"/>
        <v>4.2649108692954664E-2</v>
      </c>
      <c r="N90" s="70">
        <f t="shared" si="10"/>
        <v>1.928609221945082E-2</v>
      </c>
      <c r="O90" s="45"/>
      <c r="P90" s="85">
        <f>SUMPRODUCT(SUMIFS(RawTransportationData!$D:$D,RawTransportationData!$A:$A,Compare!$P$2,RawTransportationData!$B:$B,Compare!$D90:$F90))</f>
        <v>882.2</v>
      </c>
      <c r="Q90" s="86">
        <f>SUMPRODUCT(SUMIFS(RawTransportationData!$G:$G,RawTransportationData!$A:$A,Compare!$P$2,RawTransportationData!$B:$B,Compare!$D90:$F90))</f>
        <v>277888.62999999995</v>
      </c>
      <c r="R90" s="32">
        <f t="shared" si="11"/>
        <v>314.99504647472219</v>
      </c>
      <c r="S90" s="32">
        <f>SUMPRODUCT(SUMIFS(RawTransportationData!$H:$H,RawTransportationData!$A:$A,Compare!$P$1,RawTransportationData!$B:$B,Compare!$D90:$F90))</f>
        <v>0</v>
      </c>
      <c r="T90" s="32">
        <f t="shared" si="12"/>
        <v>277888.62999999995</v>
      </c>
      <c r="U90" s="45"/>
      <c r="V90" s="85">
        <f>SUMPRODUCT(SUMIFS(RawTransportationData!$D:$D,RawTransportationData!$A:$A,Compare!$V$2,RawTransportationData!$B:$B,Compare!$D90:$F90))</f>
        <v>885.2</v>
      </c>
      <c r="W90" s="86">
        <f>SUMPRODUCT(SUMIFS(RawTransportationData!$G:$G,RawTransportationData!$A:$A,Compare!$V$2,RawTransportationData!$B:$B,Compare!$D90:$F90))</f>
        <v>258151.83000000002</v>
      </c>
      <c r="X90" s="32">
        <f t="shared" si="13"/>
        <v>291.63107772254858</v>
      </c>
      <c r="Y90" s="32">
        <f>SUMPRODUCT(SUMIFS(RawTransportationData!$H:$H,RawTransportationData!$A:$A,Compare!$V$1,RawTransportationData!$B:$B,Compare!$D90:$F90))</f>
        <v>0</v>
      </c>
      <c r="Z90" s="32">
        <f t="shared" si="14"/>
        <v>258151.83000000002</v>
      </c>
    </row>
    <row r="91" spans="1:26" x14ac:dyDescent="0.55000000000000004">
      <c r="A91">
        <f>FinalPayment!A89</f>
        <v>2021</v>
      </c>
      <c r="B91" t="str">
        <f>FinalPayment!B89</f>
        <v>01</v>
      </c>
      <c r="C91" t="str">
        <f>FinalPayment!C89</f>
        <v>1863</v>
      </c>
      <c r="D91" t="str">
        <f>FinalPayment!D89</f>
        <v/>
      </c>
      <c r="E91" t="str">
        <f>FinalPayment!E89</f>
        <v/>
      </c>
      <c r="F91" t="str">
        <f>FinalPayment!F89</f>
        <v>1863</v>
      </c>
      <c r="G91" s="28" t="str">
        <f>FinalPayment!G89</f>
        <v>Dubuque</v>
      </c>
      <c r="H91" s="85">
        <f>SUMPRODUCT(SUMIFS(RawTransportationData!$D:$D,RawTransportationData!$A:$A,Compare!$H$2,RawTransportationData!$B:$B,Compare!$D91:$F91))</f>
        <v>10427.699999999999</v>
      </c>
      <c r="I91" s="86">
        <f>SUMPRODUCT(SUMIFS(RawTransportationData!$G:$G,RawTransportationData!$A:$A,Compare!$H$2,RawTransportationData!$B:$B,Compare!$D91:$F91))</f>
        <v>3064302.48</v>
      </c>
      <c r="J91" s="32">
        <f t="shared" si="15"/>
        <v>293.86177968295982</v>
      </c>
      <c r="K91" s="32">
        <f>SUMPRODUCT(SUMIFS(RawTransportationData!$H:$H,RawTransportationData!$A:$A,Compare!$E$1,RawTransportationData!$B:$B,Compare!$D91:$F91))</f>
        <v>8536</v>
      </c>
      <c r="L91" s="32">
        <f t="shared" si="8"/>
        <v>3055766.48</v>
      </c>
      <c r="M91" s="70">
        <f t="shared" si="9"/>
        <v>0.1072583868188592</v>
      </c>
      <c r="N91" s="70">
        <f t="shared" si="10"/>
        <v>9.0939626311129063E-2</v>
      </c>
      <c r="O91" s="45"/>
      <c r="P91" s="85">
        <f>SUMPRODUCT(SUMIFS(RawTransportationData!$D:$D,RawTransportationData!$A:$A,Compare!$P$2,RawTransportationData!$B:$B,Compare!$D91:$F91))</f>
        <v>10505.5</v>
      </c>
      <c r="Q91" s="86">
        <f>SUMPRODUCT(SUMIFS(RawTransportationData!$G:$G,RawTransportationData!$A:$A,Compare!$P$2,RawTransportationData!$B:$B,Compare!$D91:$F91))</f>
        <v>3204785.69</v>
      </c>
      <c r="R91" s="32">
        <f t="shared" si="11"/>
        <v>305.05789253248298</v>
      </c>
      <c r="S91" s="32">
        <f>SUMPRODUCT(SUMIFS(RawTransportationData!$H:$H,RawTransportationData!$A:$A,Compare!$P$1,RawTransportationData!$B:$B,Compare!$D91:$F91))</f>
        <v>0</v>
      </c>
      <c r="T91" s="32">
        <f t="shared" si="12"/>
        <v>3204785.69</v>
      </c>
      <c r="U91" s="45"/>
      <c r="V91" s="85">
        <f>SUMPRODUCT(SUMIFS(RawTransportationData!$D:$D,RawTransportationData!$A:$A,Compare!$V$2,RawTransportationData!$B:$B,Compare!$D91:$F91))</f>
        <v>10554.199999999999</v>
      </c>
      <c r="W91" s="86">
        <f>SUMPRODUCT(SUMIFS(RawTransportationData!$G:$G,RawTransportationData!$A:$A,Compare!$V$2,RawTransportationData!$B:$B,Compare!$D91:$F91))</f>
        <v>2801040.87</v>
      </c>
      <c r="X91" s="32">
        <f t="shared" si="13"/>
        <v>265.39584904587753</v>
      </c>
      <c r="Y91" s="32">
        <f>SUMPRODUCT(SUMIFS(RawTransportationData!$H:$H,RawTransportationData!$A:$A,Compare!$V$1,RawTransportationData!$B:$B,Compare!$D91:$F91))</f>
        <v>0</v>
      </c>
      <c r="Z91" s="32">
        <f t="shared" si="14"/>
        <v>2801040.87</v>
      </c>
    </row>
    <row r="92" spans="1:26" x14ac:dyDescent="0.55000000000000004">
      <c r="A92">
        <f>FinalPayment!A90</f>
        <v>2021</v>
      </c>
      <c r="B92" t="str">
        <f>FinalPayment!B90</f>
        <v>07</v>
      </c>
      <c r="C92" t="str">
        <f>FinalPayment!C90</f>
        <v>1908</v>
      </c>
      <c r="D92" t="str">
        <f>FinalPayment!D90</f>
        <v/>
      </c>
      <c r="E92" t="str">
        <f>FinalPayment!E90</f>
        <v/>
      </c>
      <c r="F92" t="str">
        <f>FinalPayment!F90</f>
        <v>1908</v>
      </c>
      <c r="G92" s="28" t="str">
        <f>FinalPayment!G90</f>
        <v>Dunkerton</v>
      </c>
      <c r="H92" s="85">
        <f>SUMPRODUCT(SUMIFS(RawTransportationData!$D:$D,RawTransportationData!$A:$A,Compare!$H$2,RawTransportationData!$B:$B,Compare!$D92:$F92))</f>
        <v>407</v>
      </c>
      <c r="I92" s="86">
        <f>SUMPRODUCT(SUMIFS(RawTransportationData!$G:$G,RawTransportationData!$A:$A,Compare!$H$2,RawTransportationData!$B:$B,Compare!$D92:$F92))</f>
        <v>127631.05</v>
      </c>
      <c r="J92" s="32">
        <f t="shared" si="15"/>
        <v>313.58980343980346</v>
      </c>
      <c r="K92" s="32">
        <f>SUMPRODUCT(SUMIFS(RawTransportationData!$H:$H,RawTransportationData!$A:$A,Compare!$E$1,RawTransportationData!$B:$B,Compare!$D92:$F92))</f>
        <v>333</v>
      </c>
      <c r="L92" s="32">
        <f t="shared" si="8"/>
        <v>127298.05</v>
      </c>
      <c r="M92" s="70">
        <f t="shared" si="9"/>
        <v>-5.0912973268320026E-2</v>
      </c>
      <c r="N92" s="70">
        <f t="shared" si="10"/>
        <v>-7.9621148041627135E-2</v>
      </c>
      <c r="O92" s="45"/>
      <c r="P92" s="85">
        <f>SUMPRODUCT(SUMIFS(RawTransportationData!$D:$D,RawTransportationData!$A:$A,Compare!$P$2,RawTransportationData!$B:$B,Compare!$D92:$F92))</f>
        <v>419.3</v>
      </c>
      <c r="Q92" s="86">
        <f>SUMPRODUCT(SUMIFS(RawTransportationData!$G:$G,RawTransportationData!$A:$A,Compare!$P$2,RawTransportationData!$B:$B,Compare!$D92:$F92))</f>
        <v>141649.40999999997</v>
      </c>
      <c r="R92" s="32">
        <f t="shared" si="11"/>
        <v>337.82353923205335</v>
      </c>
      <c r="S92" s="32">
        <f>SUMPRODUCT(SUMIFS(RawTransportationData!$H:$H,RawTransportationData!$A:$A,Compare!$P$1,RawTransportationData!$B:$B,Compare!$D92:$F92))</f>
        <v>0</v>
      </c>
      <c r="T92" s="32">
        <f t="shared" si="12"/>
        <v>141649.40999999997</v>
      </c>
      <c r="U92" s="45"/>
      <c r="V92" s="85">
        <f>SUMPRODUCT(SUMIFS(RawTransportationData!$D:$D,RawTransportationData!$A:$A,Compare!$V$2,RawTransportationData!$B:$B,Compare!$D92:$F92))</f>
        <v>418.6</v>
      </c>
      <c r="W92" s="86">
        <f>SUMPRODUCT(SUMIFS(RawTransportationData!$G:$G,RawTransportationData!$A:$A,Compare!$V$2,RawTransportationData!$B:$B,Compare!$D92:$F92))</f>
        <v>138310.49</v>
      </c>
      <c r="X92" s="32">
        <f t="shared" si="13"/>
        <v>330.41206402293352</v>
      </c>
      <c r="Y92" s="32">
        <f>SUMPRODUCT(SUMIFS(RawTransportationData!$H:$H,RawTransportationData!$A:$A,Compare!$V$1,RawTransportationData!$B:$B,Compare!$D92:$F92))</f>
        <v>0</v>
      </c>
      <c r="Z92" s="32">
        <f t="shared" si="14"/>
        <v>138310.49</v>
      </c>
    </row>
    <row r="93" spans="1:26" x14ac:dyDescent="0.55000000000000004">
      <c r="A93">
        <f>FinalPayment!A91</f>
        <v>2021</v>
      </c>
      <c r="B93" t="str">
        <f>FinalPayment!B91</f>
        <v>09</v>
      </c>
      <c r="C93" t="str">
        <f>FinalPayment!C91</f>
        <v>1926</v>
      </c>
      <c r="D93" t="str">
        <f>FinalPayment!D91</f>
        <v/>
      </c>
      <c r="E93" t="str">
        <f>FinalPayment!E91</f>
        <v/>
      </c>
      <c r="F93" t="str">
        <f>FinalPayment!F91</f>
        <v>1926</v>
      </c>
      <c r="G93" s="28" t="str">
        <f>FinalPayment!G91</f>
        <v>Durant</v>
      </c>
      <c r="H93" s="85">
        <f>SUMPRODUCT(SUMIFS(RawTransportationData!$D:$D,RawTransportationData!$A:$A,Compare!$H$2,RawTransportationData!$B:$B,Compare!$D93:$F93))</f>
        <v>555.29999999999995</v>
      </c>
      <c r="I93" s="86">
        <f>SUMPRODUCT(SUMIFS(RawTransportationData!$G:$G,RawTransportationData!$A:$A,Compare!$H$2,RawTransportationData!$B:$B,Compare!$D93:$F93))</f>
        <v>210357.38</v>
      </c>
      <c r="J93" s="32">
        <f t="shared" si="15"/>
        <v>378.81754006843153</v>
      </c>
      <c r="K93" s="32">
        <f>SUMPRODUCT(SUMIFS(RawTransportationData!$H:$H,RawTransportationData!$A:$A,Compare!$E$1,RawTransportationData!$B:$B,Compare!$D93:$F93))</f>
        <v>17764</v>
      </c>
      <c r="L93" s="32">
        <f t="shared" si="8"/>
        <v>192593.38</v>
      </c>
      <c r="M93" s="70">
        <f t="shared" si="9"/>
        <v>0.10074556753309427</v>
      </c>
      <c r="N93" s="70">
        <f t="shared" si="10"/>
        <v>-3.6289934983362346E-2</v>
      </c>
      <c r="O93" s="45"/>
      <c r="P93" s="85">
        <f>SUMPRODUCT(SUMIFS(RawTransportationData!$D:$D,RawTransportationData!$A:$A,Compare!$P$2,RawTransportationData!$B:$B,Compare!$D93:$F93))</f>
        <v>563.1</v>
      </c>
      <c r="Q93" s="86">
        <f>SUMPRODUCT(SUMIFS(RawTransportationData!$G:$G,RawTransportationData!$A:$A,Compare!$P$2,RawTransportationData!$B:$B,Compare!$D93:$F93))</f>
        <v>197215.87</v>
      </c>
      <c r="R93" s="32">
        <f t="shared" si="11"/>
        <v>350.23240987391227</v>
      </c>
      <c r="S93" s="32">
        <f>SUMPRODUCT(SUMIFS(RawTransportationData!$H:$H,RawTransportationData!$A:$A,Compare!$P$1,RawTransportationData!$B:$B,Compare!$D93:$F93))</f>
        <v>0</v>
      </c>
      <c r="T93" s="32">
        <f t="shared" si="12"/>
        <v>197215.87</v>
      </c>
      <c r="U93" s="45"/>
      <c r="V93" s="85">
        <f>SUMPRODUCT(SUMIFS(RawTransportationData!$D:$D,RawTransportationData!$A:$A,Compare!$V$2,RawTransportationData!$B:$B,Compare!$D93:$F93))</f>
        <v>580.70000000000005</v>
      </c>
      <c r="W93" s="86">
        <f>SUMPRODUCT(SUMIFS(RawTransportationData!$G:$G,RawTransportationData!$A:$A,Compare!$V$2,RawTransportationData!$B:$B,Compare!$D93:$F93))</f>
        <v>199845.77</v>
      </c>
      <c r="X93" s="32">
        <f t="shared" si="13"/>
        <v>344.14632340278968</v>
      </c>
      <c r="Y93" s="32">
        <f>SUMPRODUCT(SUMIFS(RawTransportationData!$H:$H,RawTransportationData!$A:$A,Compare!$V$1,RawTransportationData!$B:$B,Compare!$D93:$F93))</f>
        <v>0</v>
      </c>
      <c r="Z93" s="32">
        <f t="shared" si="14"/>
        <v>199845.77</v>
      </c>
    </row>
    <row r="94" spans="1:26" x14ac:dyDescent="0.55000000000000004">
      <c r="A94">
        <f>FinalPayment!A92</f>
        <v>2021</v>
      </c>
      <c r="B94" t="str">
        <f>FinalPayment!B92</f>
        <v>05</v>
      </c>
      <c r="C94" t="str">
        <f>FinalPayment!C92</f>
        <v>1944</v>
      </c>
      <c r="D94" t="str">
        <f>FinalPayment!D92</f>
        <v/>
      </c>
      <c r="E94" t="str">
        <f>FinalPayment!E92</f>
        <v/>
      </c>
      <c r="F94" t="str">
        <f>FinalPayment!F92</f>
        <v>1944</v>
      </c>
      <c r="G94" s="28" t="str">
        <f>FinalPayment!G92</f>
        <v>Eagle Grove</v>
      </c>
      <c r="H94" s="85">
        <f>SUMPRODUCT(SUMIFS(RawTransportationData!$D:$D,RawTransportationData!$A:$A,Compare!$H$2,RawTransportationData!$B:$B,Compare!$D94:$F94))</f>
        <v>894.7</v>
      </c>
      <c r="I94" s="86">
        <f>SUMPRODUCT(SUMIFS(RawTransportationData!$G:$G,RawTransportationData!$A:$A,Compare!$H$2,RawTransportationData!$B:$B,Compare!$D94:$F94))</f>
        <v>297786.83</v>
      </c>
      <c r="J94" s="32">
        <f t="shared" si="15"/>
        <v>332.83427964680897</v>
      </c>
      <c r="K94" s="32">
        <f>SUMPRODUCT(SUMIFS(RawTransportationData!$H:$H,RawTransportationData!$A:$A,Compare!$E$1,RawTransportationData!$B:$B,Compare!$D94:$F94))</f>
        <v>732</v>
      </c>
      <c r="L94" s="32">
        <f t="shared" si="8"/>
        <v>297054.83</v>
      </c>
      <c r="M94" s="70">
        <f t="shared" si="9"/>
        <v>-6.0733730254987336E-2</v>
      </c>
      <c r="N94" s="70">
        <f t="shared" si="10"/>
        <v>-1.5738158864865768E-2</v>
      </c>
      <c r="O94" s="45"/>
      <c r="P94" s="85">
        <f>SUMPRODUCT(SUMIFS(RawTransportationData!$D:$D,RawTransportationData!$A:$A,Compare!$P$2,RawTransportationData!$B:$B,Compare!$D94:$F94))</f>
        <v>847.6</v>
      </c>
      <c r="Q94" s="86">
        <f>SUMPRODUCT(SUMIFS(RawTransportationData!$G:$G,RawTransportationData!$A:$A,Compare!$P$2,RawTransportationData!$B:$B,Compare!$D94:$F94))</f>
        <v>296120.13</v>
      </c>
      <c r="R94" s="32">
        <f t="shared" si="11"/>
        <v>349.3630604058518</v>
      </c>
      <c r="S94" s="32">
        <f>SUMPRODUCT(SUMIFS(RawTransportationData!$H:$H,RawTransportationData!$A:$A,Compare!$P$1,RawTransportationData!$B:$B,Compare!$D94:$F94))</f>
        <v>0</v>
      </c>
      <c r="T94" s="32">
        <f t="shared" si="12"/>
        <v>296120.13</v>
      </c>
      <c r="U94" s="45"/>
      <c r="V94" s="85">
        <f>SUMPRODUCT(SUMIFS(RawTransportationData!$D:$D,RawTransportationData!$A:$A,Compare!$V$2,RawTransportationData!$B:$B,Compare!$D94:$F94))</f>
        <v>851.7</v>
      </c>
      <c r="W94" s="86">
        <f>SUMPRODUCT(SUMIFS(RawTransportationData!$G:$G,RawTransportationData!$A:$A,Compare!$V$2,RawTransportationData!$B:$B,Compare!$D94:$F94))</f>
        <v>301804.68</v>
      </c>
      <c r="X94" s="32">
        <f t="shared" si="13"/>
        <v>354.35561817541384</v>
      </c>
      <c r="Y94" s="32">
        <f>SUMPRODUCT(SUMIFS(RawTransportationData!$H:$H,RawTransportationData!$A:$A,Compare!$V$1,RawTransportationData!$B:$B,Compare!$D94:$F94))</f>
        <v>0</v>
      </c>
      <c r="Z94" s="32">
        <f t="shared" si="14"/>
        <v>301804.68</v>
      </c>
    </row>
    <row r="95" spans="1:26" x14ac:dyDescent="0.55000000000000004">
      <c r="A95">
        <f>FinalPayment!A93</f>
        <v>2021</v>
      </c>
      <c r="B95" t="str">
        <f>FinalPayment!B93</f>
        <v>11</v>
      </c>
      <c r="C95" t="str">
        <f>FinalPayment!C93</f>
        <v>1953</v>
      </c>
      <c r="D95" t="str">
        <f>FinalPayment!D93</f>
        <v/>
      </c>
      <c r="E95" t="str">
        <f>FinalPayment!E93</f>
        <v/>
      </c>
      <c r="F95" t="str">
        <f>FinalPayment!F93</f>
        <v>1953</v>
      </c>
      <c r="G95" s="28" t="str">
        <f>FinalPayment!G93</f>
        <v>Earlham</v>
      </c>
      <c r="H95" s="85">
        <f>SUMPRODUCT(SUMIFS(RawTransportationData!$D:$D,RawTransportationData!$A:$A,Compare!$H$2,RawTransportationData!$B:$B,Compare!$D95:$F95))</f>
        <v>575.4</v>
      </c>
      <c r="I95" s="86">
        <f>SUMPRODUCT(SUMIFS(RawTransportationData!$G:$G,RawTransportationData!$A:$A,Compare!$H$2,RawTransportationData!$B:$B,Compare!$D95:$F95))</f>
        <v>138254.84</v>
      </c>
      <c r="J95" s="32">
        <f t="shared" si="15"/>
        <v>240.2760514424748</v>
      </c>
      <c r="K95" s="32">
        <f>SUMPRODUCT(SUMIFS(RawTransportationData!$H:$H,RawTransportationData!$A:$A,Compare!$E$1,RawTransportationData!$B:$B,Compare!$D95:$F95))</f>
        <v>471</v>
      </c>
      <c r="L95" s="32">
        <f t="shared" si="8"/>
        <v>137783.84</v>
      </c>
      <c r="M95" s="70">
        <f t="shared" si="9"/>
        <v>0.23536133658979419</v>
      </c>
      <c r="N95" s="70">
        <f t="shared" si="10"/>
        <v>0.22370927936207613</v>
      </c>
      <c r="O95" s="45"/>
      <c r="P95" s="85">
        <f>SUMPRODUCT(SUMIFS(RawTransportationData!$D:$D,RawTransportationData!$A:$A,Compare!$P$2,RawTransportationData!$B:$B,Compare!$D95:$F95))</f>
        <v>575.1</v>
      </c>
      <c r="Q95" s="86">
        <f>SUMPRODUCT(SUMIFS(RawTransportationData!$G:$G,RawTransportationData!$A:$A,Compare!$P$2,RawTransportationData!$B:$B,Compare!$D95:$F95))</f>
        <v>156669.35999999999</v>
      </c>
      <c r="R95" s="32">
        <f t="shared" si="11"/>
        <v>272.42107459572247</v>
      </c>
      <c r="S95" s="32">
        <f>SUMPRODUCT(SUMIFS(RawTransportationData!$H:$H,RawTransportationData!$A:$A,Compare!$P$1,RawTransportationData!$B:$B,Compare!$D95:$F95))</f>
        <v>0</v>
      </c>
      <c r="T95" s="32">
        <f t="shared" si="12"/>
        <v>156669.35999999999</v>
      </c>
      <c r="U95" s="45"/>
      <c r="V95" s="85">
        <f>SUMPRODUCT(SUMIFS(RawTransportationData!$D:$D,RawTransportationData!$A:$A,Compare!$V$2,RawTransportationData!$B:$B,Compare!$D95:$F95))</f>
        <v>578.9</v>
      </c>
      <c r="W95" s="86">
        <f>SUMPRODUCT(SUMIFS(RawTransportationData!$G:$G,RawTransportationData!$A:$A,Compare!$V$2,RawTransportationData!$B:$B,Compare!$D95:$F95))</f>
        <v>112595.23999999999</v>
      </c>
      <c r="X95" s="32">
        <f t="shared" si="13"/>
        <v>194.49860079461047</v>
      </c>
      <c r="Y95" s="32">
        <f>SUMPRODUCT(SUMIFS(RawTransportationData!$H:$H,RawTransportationData!$A:$A,Compare!$V$1,RawTransportationData!$B:$B,Compare!$D95:$F95))</f>
        <v>0</v>
      </c>
      <c r="Z95" s="32">
        <f t="shared" si="14"/>
        <v>112595.23999999999</v>
      </c>
    </row>
    <row r="96" spans="1:26" x14ac:dyDescent="0.55000000000000004">
      <c r="A96">
        <f>FinalPayment!A94</f>
        <v>2021</v>
      </c>
      <c r="B96" t="str">
        <f>FinalPayment!B94</f>
        <v>07</v>
      </c>
      <c r="C96" t="str">
        <f>FinalPayment!C94</f>
        <v>1963</v>
      </c>
      <c r="D96" t="str">
        <f>FinalPayment!D94</f>
        <v/>
      </c>
      <c r="E96" t="str">
        <f>FinalPayment!E94</f>
        <v/>
      </c>
      <c r="F96" t="str">
        <f>FinalPayment!F94</f>
        <v>1963</v>
      </c>
      <c r="G96" s="28" t="str">
        <f>FinalPayment!G94</f>
        <v>East Buchanan</v>
      </c>
      <c r="H96" s="85">
        <f>SUMPRODUCT(SUMIFS(RawTransportationData!$D:$D,RawTransportationData!$A:$A,Compare!$H$2,RawTransportationData!$B:$B,Compare!$D96:$F96))</f>
        <v>558.29999999999995</v>
      </c>
      <c r="I96" s="86">
        <f>SUMPRODUCT(SUMIFS(RawTransportationData!$G:$G,RawTransportationData!$A:$A,Compare!$H$2,RawTransportationData!$B:$B,Compare!$D96:$F96))</f>
        <v>261537.35</v>
      </c>
      <c r="J96" s="32">
        <f t="shared" si="15"/>
        <v>468.45307182518366</v>
      </c>
      <c r="K96" s="32">
        <f>SUMPRODUCT(SUMIFS(RawTransportationData!$H:$H,RawTransportationData!$A:$A,Compare!$E$1,RawTransportationData!$B:$B,Compare!$D96:$F96))</f>
        <v>67900</v>
      </c>
      <c r="L96" s="32">
        <f t="shared" si="8"/>
        <v>193637.35</v>
      </c>
      <c r="M96" s="70">
        <f t="shared" si="9"/>
        <v>0.23671699608092492</v>
      </c>
      <c r="N96" s="70">
        <f t="shared" si="10"/>
        <v>-0.12254896940688229</v>
      </c>
      <c r="O96" s="45"/>
      <c r="P96" s="85">
        <f>SUMPRODUCT(SUMIFS(RawTransportationData!$D:$D,RawTransportationData!$A:$A,Compare!$P$2,RawTransportationData!$B:$B,Compare!$D96:$F96))</f>
        <v>567.9</v>
      </c>
      <c r="Q96" s="86">
        <f>SUMPRODUCT(SUMIFS(RawTransportationData!$G:$G,RawTransportationData!$A:$A,Compare!$P$2,RawTransportationData!$B:$B,Compare!$D96:$F96))</f>
        <v>239130.83000000002</v>
      </c>
      <c r="R96" s="32">
        <f t="shared" si="11"/>
        <v>421.07911604155663</v>
      </c>
      <c r="S96" s="32">
        <f>SUMPRODUCT(SUMIFS(RawTransportationData!$H:$H,RawTransportationData!$A:$A,Compare!$P$1,RawTransportationData!$B:$B,Compare!$D96:$F96))</f>
        <v>22723</v>
      </c>
      <c r="T96" s="32">
        <f t="shared" si="12"/>
        <v>216407.83000000002</v>
      </c>
      <c r="U96" s="45"/>
      <c r="V96" s="85">
        <f>SUMPRODUCT(SUMIFS(RawTransportationData!$D:$D,RawTransportationData!$A:$A,Compare!$V$2,RawTransportationData!$B:$B,Compare!$D96:$F96))</f>
        <v>582.6</v>
      </c>
      <c r="W96" s="86">
        <f>SUMPRODUCT(SUMIFS(RawTransportationData!$G:$G,RawTransportationData!$A:$A,Compare!$V$2,RawTransportationData!$B:$B,Compare!$D96:$F96))</f>
        <v>220681.66</v>
      </c>
      <c r="X96" s="32">
        <f t="shared" si="13"/>
        <v>378.78760727772055</v>
      </c>
      <c r="Y96" s="32">
        <f>SUMPRODUCT(SUMIFS(RawTransportationData!$H:$H,RawTransportationData!$A:$A,Compare!$V$1,RawTransportationData!$B:$B,Compare!$D96:$F96))</f>
        <v>0</v>
      </c>
      <c r="Z96" s="32">
        <f t="shared" si="14"/>
        <v>220681.66</v>
      </c>
    </row>
    <row r="97" spans="1:26" x14ac:dyDescent="0.55000000000000004">
      <c r="A97">
        <f>FinalPayment!A95</f>
        <v>2021</v>
      </c>
      <c r="B97" t="str">
        <f>FinalPayment!B95</f>
        <v>07</v>
      </c>
      <c r="C97" t="str">
        <f>FinalPayment!C95</f>
        <v>3582</v>
      </c>
      <c r="D97" t="str">
        <f>FinalPayment!D95</f>
        <v/>
      </c>
      <c r="E97" t="str">
        <f>FinalPayment!E95</f>
        <v/>
      </c>
      <c r="F97" t="str">
        <f>FinalPayment!F95</f>
        <v>1968</v>
      </c>
      <c r="G97" s="28" t="str">
        <f>FinalPayment!G95</f>
        <v>East Marshall</v>
      </c>
      <c r="H97" s="85">
        <f>SUMPRODUCT(SUMIFS(RawTransportationData!$D:$D,RawTransportationData!$A:$A,Compare!$H$2,RawTransportationData!$B:$B,Compare!$D97:$F97))</f>
        <v>557.5</v>
      </c>
      <c r="I97" s="86">
        <f>SUMPRODUCT(SUMIFS(RawTransportationData!$G:$G,RawTransportationData!$A:$A,Compare!$H$2,RawTransportationData!$B:$B,Compare!$D97:$F97))</f>
        <v>418907.47000000003</v>
      </c>
      <c r="J97" s="32">
        <f t="shared" si="15"/>
        <v>751.40353363228701</v>
      </c>
      <c r="K97" s="32">
        <f>SUMPRODUCT(SUMIFS(RawTransportationData!$H:$H,RawTransportationData!$A:$A,Compare!$E$1,RawTransportationData!$B:$B,Compare!$D97:$F97))</f>
        <v>225547</v>
      </c>
      <c r="L97" s="32">
        <f t="shared" si="8"/>
        <v>193360.47000000003</v>
      </c>
      <c r="M97" s="70">
        <f t="shared" si="9"/>
        <v>8.6278076246840592E-3</v>
      </c>
      <c r="N97" s="70">
        <f t="shared" si="10"/>
        <v>-0.15963556365321382</v>
      </c>
      <c r="O97" s="45"/>
      <c r="P97" s="85">
        <f>SUMPRODUCT(SUMIFS(RawTransportationData!$D:$D,RawTransportationData!$A:$A,Compare!$P$2,RawTransportationData!$B:$B,Compare!$D97:$F97))</f>
        <v>562.29999999999995</v>
      </c>
      <c r="Q97" s="86">
        <f>SUMPRODUCT(SUMIFS(RawTransportationData!$G:$G,RawTransportationData!$A:$A,Compare!$P$2,RawTransportationData!$B:$B,Compare!$D97:$F97))</f>
        <v>417947.08999999997</v>
      </c>
      <c r="R97" s="32">
        <f t="shared" si="11"/>
        <v>743.28132669393563</v>
      </c>
      <c r="S97" s="32">
        <f>SUMPRODUCT(SUMIFS(RawTransportationData!$H:$H,RawTransportationData!$A:$A,Compare!$P$1,RawTransportationData!$B:$B,Compare!$D97:$F97))</f>
        <v>203672</v>
      </c>
      <c r="T97" s="32">
        <f t="shared" si="12"/>
        <v>214275.08999999997</v>
      </c>
      <c r="U97" s="45"/>
      <c r="V97" s="85">
        <f>SUMPRODUCT(SUMIFS(RawTransportationData!$D:$D,RawTransportationData!$A:$A,Compare!$V$2,RawTransportationData!$B:$B,Compare!$D97:$F97))</f>
        <v>554.29999999999995</v>
      </c>
      <c r="W97" s="86">
        <f>SUMPRODUCT(SUMIFS(RawTransportationData!$G:$G,RawTransportationData!$A:$A,Compare!$V$2,RawTransportationData!$B:$B,Compare!$D97:$F97))</f>
        <v>412940.21</v>
      </c>
      <c r="X97" s="32">
        <f t="shared" si="13"/>
        <v>744.97602381381932</v>
      </c>
      <c r="Y97" s="32">
        <f>SUMPRODUCT(SUMIFS(RawTransportationData!$H:$H,RawTransportationData!$A:$A,Compare!$V$1,RawTransportationData!$B:$B,Compare!$D97:$F97))</f>
        <v>182849</v>
      </c>
      <c r="Z97" s="32">
        <f t="shared" si="14"/>
        <v>230091.21000000002</v>
      </c>
    </row>
    <row r="98" spans="1:26" x14ac:dyDescent="0.55000000000000004">
      <c r="A98">
        <f>FinalPayment!A96</f>
        <v>2021</v>
      </c>
      <c r="B98" t="str">
        <f>FinalPayment!B96</f>
        <v>13</v>
      </c>
      <c r="C98" t="str">
        <f>FinalPayment!C96</f>
        <v>3978</v>
      </c>
      <c r="D98" t="str">
        <f>FinalPayment!D96</f>
        <v>4751</v>
      </c>
      <c r="E98" t="str">
        <f>FinalPayment!E96</f>
        <v/>
      </c>
      <c r="F98" t="str">
        <f>FinalPayment!F96</f>
        <v>3978</v>
      </c>
      <c r="G98" s="28" t="str">
        <f>FinalPayment!G96</f>
        <v>East Mills</v>
      </c>
      <c r="H98" s="85">
        <f>SUMPRODUCT(SUMIFS(RawTransportationData!$D:$D,RawTransportationData!$A:$A,Compare!$H$2,RawTransportationData!$B:$B,Compare!$D98:$F98))</f>
        <v>552</v>
      </c>
      <c r="I98" s="86">
        <f>SUMPRODUCT(SUMIFS(RawTransportationData!$G:$G,RawTransportationData!$A:$A,Compare!$H$2,RawTransportationData!$B:$B,Compare!$D98:$F98))</f>
        <v>389956.57</v>
      </c>
      <c r="J98" s="32">
        <f t="shared" si="15"/>
        <v>706.44306159420296</v>
      </c>
      <c r="K98" s="32">
        <f>SUMPRODUCT(SUMIFS(RawTransportationData!$H:$H,RawTransportationData!$A:$A,Compare!$E$1,RawTransportationData!$B:$B,Compare!$D98:$F98))</f>
        <v>198504</v>
      </c>
      <c r="L98" s="32">
        <f t="shared" si="8"/>
        <v>191452.57</v>
      </c>
      <c r="M98" s="70">
        <f t="shared" si="9"/>
        <v>0.1162007560772505</v>
      </c>
      <c r="N98" s="70">
        <f t="shared" si="10"/>
        <v>-0.13678946259744756</v>
      </c>
      <c r="O98" s="45"/>
      <c r="P98" s="85">
        <f>SUMPRODUCT(SUMIFS(RawTransportationData!$D:$D,RawTransportationData!$A:$A,Compare!$P$2,RawTransportationData!$B:$B,Compare!$D98:$F98))</f>
        <v>546.6</v>
      </c>
      <c r="Q98" s="86">
        <f>SUMPRODUCT(SUMIFS(RawTransportationData!$G:$G,RawTransportationData!$A:$A,Compare!$P$2,RawTransportationData!$B:$B,Compare!$D98:$F98))</f>
        <v>383827.21</v>
      </c>
      <c r="R98" s="32">
        <f t="shared" si="11"/>
        <v>702.20858031467253</v>
      </c>
      <c r="S98" s="32">
        <f>SUMPRODUCT(SUMIFS(RawTransportationData!$H:$H,RawTransportationData!$A:$A,Compare!$P$1,RawTransportationData!$B:$B,Compare!$D98:$F98))</f>
        <v>175536</v>
      </c>
      <c r="T98" s="32">
        <f t="shared" si="12"/>
        <v>208291.21000000002</v>
      </c>
      <c r="U98" s="45"/>
      <c r="V98" s="85">
        <f>SUMPRODUCT(SUMIFS(RawTransportationData!$D:$D,RawTransportationData!$A:$A,Compare!$V$2,RawTransportationData!$B:$B,Compare!$D98:$F98))</f>
        <v>534.29999999999995</v>
      </c>
      <c r="W98" s="86">
        <f>SUMPRODUCT(SUMIFS(RawTransportationData!$G:$G,RawTransportationData!$A:$A,Compare!$V$2,RawTransportationData!$B:$B,Compare!$D98:$F98))</f>
        <v>338158.28</v>
      </c>
      <c r="X98" s="32">
        <f t="shared" si="13"/>
        <v>632.89964439453502</v>
      </c>
      <c r="Y98" s="32">
        <f>SUMPRODUCT(SUMIFS(RawTransportationData!$H:$H,RawTransportationData!$A:$A,Compare!$V$1,RawTransportationData!$B:$B,Compare!$D98:$F98))</f>
        <v>116367</v>
      </c>
      <c r="Z98" s="32">
        <f t="shared" si="14"/>
        <v>221791.28000000003</v>
      </c>
    </row>
    <row r="99" spans="1:26" x14ac:dyDescent="0.55000000000000004">
      <c r="A99">
        <f>FinalPayment!A97</f>
        <v>2021</v>
      </c>
      <c r="B99" t="str">
        <f>FinalPayment!B97</f>
        <v>05</v>
      </c>
      <c r="C99" t="str">
        <f>FinalPayment!C97</f>
        <v>6741</v>
      </c>
      <c r="D99" t="str">
        <f>FinalPayment!D97</f>
        <v/>
      </c>
      <c r="E99" t="str">
        <f>FinalPayment!E97</f>
        <v/>
      </c>
      <c r="F99" t="str">
        <f>FinalPayment!F97</f>
        <v>6741</v>
      </c>
      <c r="G99" s="28" t="str">
        <f>FinalPayment!G97</f>
        <v>East Sac County</v>
      </c>
      <c r="H99" s="85">
        <f>SUMPRODUCT(SUMIFS(RawTransportationData!$D:$D,RawTransportationData!$A:$A,Compare!$H$2,RawTransportationData!$B:$B,Compare!$D99:$F99))</f>
        <v>834.5</v>
      </c>
      <c r="I99" s="86">
        <f>SUMPRODUCT(SUMIFS(RawTransportationData!$G:$G,RawTransportationData!$A:$A,Compare!$H$2,RawTransportationData!$B:$B,Compare!$D99:$F99))</f>
        <v>425980.64999999997</v>
      </c>
      <c r="J99" s="32">
        <f t="shared" si="15"/>
        <v>510.46213301378066</v>
      </c>
      <c r="K99" s="32">
        <f>SUMPRODUCT(SUMIFS(RawTransportationData!$H:$H,RawTransportationData!$A:$A,Compare!$E$1,RawTransportationData!$B:$B,Compare!$D99:$F99))</f>
        <v>136548</v>
      </c>
      <c r="L99" s="32">
        <f t="shared" si="8"/>
        <v>289432.64999999997</v>
      </c>
      <c r="M99" s="70">
        <f t="shared" si="9"/>
        <v>1.1680048301574904E-2</v>
      </c>
      <c r="N99" s="70">
        <f t="shared" si="10"/>
        <v>-0.19911395026793044</v>
      </c>
      <c r="O99" s="45"/>
      <c r="P99" s="85">
        <f>SUMPRODUCT(SUMIFS(RawTransportationData!$D:$D,RawTransportationData!$A:$A,Compare!$P$2,RawTransportationData!$B:$B,Compare!$D99:$F99))</f>
        <v>845.9</v>
      </c>
      <c r="Q99" s="86">
        <f>SUMPRODUCT(SUMIFS(RawTransportationData!$G:$G,RawTransportationData!$A:$A,Compare!$P$2,RawTransportationData!$B:$B,Compare!$D99:$F99))</f>
        <v>444647.35</v>
      </c>
      <c r="R99" s="32">
        <f t="shared" si="11"/>
        <v>525.65001773259246</v>
      </c>
      <c r="S99" s="32">
        <f>SUMPRODUCT(SUMIFS(RawTransportationData!$H:$H,RawTransportationData!$A:$A,Compare!$P$1,RawTransportationData!$B:$B,Compare!$D99:$F99))</f>
        <v>122302</v>
      </c>
      <c r="T99" s="32">
        <f t="shared" si="12"/>
        <v>322345.34999999998</v>
      </c>
      <c r="U99" s="45"/>
      <c r="V99" s="85">
        <f>SUMPRODUCT(SUMIFS(RawTransportationData!$D:$D,RawTransportationData!$A:$A,Compare!$V$2,RawTransportationData!$B:$B,Compare!$D99:$F99))</f>
        <v>870.6</v>
      </c>
      <c r="W99" s="86">
        <f>SUMPRODUCT(SUMIFS(RawTransportationData!$G:$G,RawTransportationData!$A:$A,Compare!$V$2,RawTransportationData!$B:$B,Compare!$D99:$F99))</f>
        <v>439277.55</v>
      </c>
      <c r="X99" s="32">
        <f t="shared" si="13"/>
        <v>504.56874569262573</v>
      </c>
      <c r="Y99" s="32">
        <f>SUMPRODUCT(SUMIFS(RawTransportationData!$H:$H,RawTransportationData!$A:$A,Compare!$V$1,RawTransportationData!$B:$B,Compare!$D99:$F99))</f>
        <v>77887</v>
      </c>
      <c r="Z99" s="32">
        <f t="shared" si="14"/>
        <v>361390.55</v>
      </c>
    </row>
    <row r="100" spans="1:26" x14ac:dyDescent="0.55000000000000004">
      <c r="A100">
        <f>FinalPayment!A98</f>
        <v>2021</v>
      </c>
      <c r="B100" t="str">
        <f>FinalPayment!B98</f>
        <v>13</v>
      </c>
      <c r="C100" t="str">
        <f>FinalPayment!C98</f>
        <v>1970</v>
      </c>
      <c r="D100" t="str">
        <f>FinalPayment!D98</f>
        <v/>
      </c>
      <c r="E100" t="str">
        <f>FinalPayment!E98</f>
        <v/>
      </c>
      <c r="F100" t="str">
        <f>FinalPayment!F98</f>
        <v>1970</v>
      </c>
      <c r="G100" s="28" t="str">
        <f>FinalPayment!G98</f>
        <v>East Union</v>
      </c>
      <c r="H100" s="85">
        <f>SUMPRODUCT(SUMIFS(RawTransportationData!$D:$D,RawTransportationData!$A:$A,Compare!$H$2,RawTransportationData!$B:$B,Compare!$D100:$F100))</f>
        <v>491.5</v>
      </c>
      <c r="I100" s="86">
        <f>SUMPRODUCT(SUMIFS(RawTransportationData!$G:$G,RawTransportationData!$A:$A,Compare!$H$2,RawTransportationData!$B:$B,Compare!$D100:$F100))</f>
        <v>323347.05</v>
      </c>
      <c r="J100" s="32">
        <f t="shared" si="15"/>
        <v>657.87802644964393</v>
      </c>
      <c r="K100" s="32">
        <f>SUMPRODUCT(SUMIFS(RawTransportationData!$H:$H,RawTransportationData!$A:$A,Compare!$E$1,RawTransportationData!$B:$B,Compare!$D100:$F100))</f>
        <v>152880</v>
      </c>
      <c r="L100" s="32">
        <f t="shared" si="8"/>
        <v>170467.05</v>
      </c>
      <c r="M100" s="70">
        <f t="shared" si="9"/>
        <v>3.870146213522762E-2</v>
      </c>
      <c r="N100" s="70">
        <f t="shared" si="10"/>
        <v>-0.16752091623412121</v>
      </c>
      <c r="O100" s="45"/>
      <c r="P100" s="85">
        <f>SUMPRODUCT(SUMIFS(RawTransportationData!$D:$D,RawTransportationData!$A:$A,Compare!$P$2,RawTransportationData!$B:$B,Compare!$D100:$F100))</f>
        <v>491.6</v>
      </c>
      <c r="Q100" s="86">
        <f>SUMPRODUCT(SUMIFS(RawTransportationData!$G:$G,RawTransportationData!$A:$A,Compare!$P$2,RawTransportationData!$B:$B,Compare!$D100:$F100))</f>
        <v>350885.51</v>
      </c>
      <c r="R100" s="32">
        <f t="shared" si="11"/>
        <v>713.76222538649301</v>
      </c>
      <c r="S100" s="32">
        <f>SUMPRODUCT(SUMIFS(RawTransportationData!$H:$H,RawTransportationData!$A:$A,Compare!$P$1,RawTransportationData!$B:$B,Compare!$D100:$F100))</f>
        <v>163551</v>
      </c>
      <c r="T100" s="32">
        <f t="shared" si="12"/>
        <v>187334.51</v>
      </c>
      <c r="U100" s="45"/>
      <c r="V100" s="85">
        <f>SUMPRODUCT(SUMIFS(RawTransportationData!$D:$D,RawTransportationData!$A:$A,Compare!$V$2,RawTransportationData!$B:$B,Compare!$D100:$F100))</f>
        <v>493.3</v>
      </c>
      <c r="W100" s="86">
        <f>SUMPRODUCT(SUMIFS(RawTransportationData!$G:$G,RawTransportationData!$A:$A,Compare!$V$2,RawTransportationData!$B:$B,Compare!$D100:$F100))</f>
        <v>312439.37</v>
      </c>
      <c r="X100" s="32">
        <f t="shared" si="13"/>
        <v>633.36584228664094</v>
      </c>
      <c r="Y100" s="32">
        <f>SUMPRODUCT(SUMIFS(RawTransportationData!$H:$H,RawTransportationData!$A:$A,Compare!$V$1,RawTransportationData!$B:$B,Compare!$D100:$F100))</f>
        <v>107669</v>
      </c>
      <c r="Z100" s="32">
        <f t="shared" si="14"/>
        <v>204770.37</v>
      </c>
    </row>
    <row r="101" spans="1:26" x14ac:dyDescent="0.55000000000000004">
      <c r="A101">
        <f>FinalPayment!A99</f>
        <v>2021</v>
      </c>
      <c r="B101" t="str">
        <f>FinalPayment!B99</f>
        <v>01</v>
      </c>
      <c r="C101" t="str">
        <f>FinalPayment!C99</f>
        <v>1972</v>
      </c>
      <c r="D101" t="str">
        <f>FinalPayment!D99</f>
        <v/>
      </c>
      <c r="E101" t="str">
        <f>FinalPayment!E99</f>
        <v/>
      </c>
      <c r="F101" t="str">
        <f>FinalPayment!F99</f>
        <v>1972</v>
      </c>
      <c r="G101" s="28" t="str">
        <f>FinalPayment!G99</f>
        <v>Eastern Allamakee</v>
      </c>
      <c r="H101" s="85">
        <f>SUMPRODUCT(SUMIFS(RawTransportationData!$D:$D,RawTransportationData!$A:$A,Compare!$H$2,RawTransportationData!$B:$B,Compare!$D101:$F101))</f>
        <v>327.10000000000002</v>
      </c>
      <c r="I101" s="86">
        <f>SUMPRODUCT(SUMIFS(RawTransportationData!$G:$G,RawTransportationData!$A:$A,Compare!$H$2,RawTransportationData!$B:$B,Compare!$D101:$F101))</f>
        <v>240366.78</v>
      </c>
      <c r="J101" s="32">
        <f t="shared" si="15"/>
        <v>734.84188321614181</v>
      </c>
      <c r="K101" s="32">
        <f>SUMPRODUCT(SUMIFS(RawTransportationData!$H:$H,RawTransportationData!$A:$A,Compare!$E$1,RawTransportationData!$B:$B,Compare!$D101:$F101))</f>
        <v>126918</v>
      </c>
      <c r="L101" s="32">
        <f t="shared" si="8"/>
        <v>113448.78</v>
      </c>
      <c r="M101" s="70">
        <f t="shared" si="9"/>
        <v>0.11277137745668962</v>
      </c>
      <c r="N101" s="70">
        <f t="shared" si="10"/>
        <v>-0.20505939415835345</v>
      </c>
      <c r="O101" s="45"/>
      <c r="P101" s="85">
        <f>SUMPRODUCT(SUMIFS(RawTransportationData!$D:$D,RawTransportationData!$A:$A,Compare!$P$2,RawTransportationData!$B:$B,Compare!$D101:$F101))</f>
        <v>325.10000000000002</v>
      </c>
      <c r="Q101" s="86">
        <f>SUMPRODUCT(SUMIFS(RawTransportationData!$G:$G,RawTransportationData!$A:$A,Compare!$P$2,RawTransportationData!$B:$B,Compare!$D101:$F101))</f>
        <v>220060.37</v>
      </c>
      <c r="R101" s="32">
        <f t="shared" si="11"/>
        <v>676.90055367579203</v>
      </c>
      <c r="S101" s="32">
        <f>SUMPRODUCT(SUMIFS(RawTransportationData!$H:$H,RawTransportationData!$A:$A,Compare!$P$1,RawTransportationData!$B:$B,Compare!$D101:$F101))</f>
        <v>96175</v>
      </c>
      <c r="T101" s="32">
        <f t="shared" si="12"/>
        <v>123885.37</v>
      </c>
      <c r="U101" s="45"/>
      <c r="V101" s="85">
        <f>SUMPRODUCT(SUMIFS(RawTransportationData!$D:$D,RawTransportationData!$A:$A,Compare!$V$2,RawTransportationData!$B:$B,Compare!$D101:$F101))</f>
        <v>343.8</v>
      </c>
      <c r="W101" s="86">
        <f>SUMPRODUCT(SUMIFS(RawTransportationData!$G:$G,RawTransportationData!$A:$A,Compare!$V$2,RawTransportationData!$B:$B,Compare!$D101:$F101))</f>
        <v>227035.53</v>
      </c>
      <c r="X101" s="32">
        <f t="shared" si="13"/>
        <v>660.37094240837689</v>
      </c>
      <c r="Y101" s="32">
        <f>SUMPRODUCT(SUMIFS(RawTransportationData!$H:$H,RawTransportationData!$A:$A,Compare!$V$1,RawTransportationData!$B:$B,Compare!$D101:$F101))</f>
        <v>84322</v>
      </c>
      <c r="Z101" s="32">
        <f t="shared" si="14"/>
        <v>142713.53</v>
      </c>
    </row>
    <row r="102" spans="1:26" x14ac:dyDescent="0.55000000000000004">
      <c r="A102">
        <f>FinalPayment!A100</f>
        <v>2021</v>
      </c>
      <c r="B102" t="str">
        <f>FinalPayment!B100</f>
        <v>09</v>
      </c>
      <c r="C102" t="str">
        <f>FinalPayment!C100</f>
        <v>1965</v>
      </c>
      <c r="D102" t="str">
        <f>FinalPayment!D100</f>
        <v/>
      </c>
      <c r="E102" t="str">
        <f>FinalPayment!E100</f>
        <v/>
      </c>
      <c r="F102" t="str">
        <f>FinalPayment!F100</f>
        <v>1965</v>
      </c>
      <c r="G102" s="28" t="str">
        <f>FinalPayment!G100</f>
        <v>Easton Valley</v>
      </c>
      <c r="H102" s="85">
        <f>SUMPRODUCT(SUMIFS(RawTransportationData!$D:$D,RawTransportationData!$A:$A,Compare!$H$2,RawTransportationData!$B:$B,Compare!$D102:$F102))</f>
        <v>592.9</v>
      </c>
      <c r="I102" s="86">
        <f>SUMPRODUCT(SUMIFS(RawTransportationData!$G:$G,RawTransportationData!$A:$A,Compare!$H$2,RawTransportationData!$B:$B,Compare!$D102:$F102))</f>
        <v>346585.88999999996</v>
      </c>
      <c r="J102" s="32">
        <f t="shared" si="15"/>
        <v>584.56044864226681</v>
      </c>
      <c r="K102" s="32">
        <f>SUMPRODUCT(SUMIFS(RawTransportationData!$H:$H,RawTransportationData!$A:$A,Compare!$E$1,RawTransportationData!$B:$B,Compare!$D102:$F102))</f>
        <v>140949</v>
      </c>
      <c r="L102" s="32">
        <f t="shared" si="8"/>
        <v>205636.88999999996</v>
      </c>
      <c r="M102" s="70">
        <f t="shared" si="9"/>
        <v>0.22754644395181314</v>
      </c>
      <c r="N102" s="70">
        <f t="shared" si="10"/>
        <v>-0.19515743121552659</v>
      </c>
      <c r="O102" s="45"/>
      <c r="P102" s="85">
        <f>SUMPRODUCT(SUMIFS(RawTransportationData!$D:$D,RawTransportationData!$A:$A,Compare!$P$2,RawTransportationData!$B:$B,Compare!$D102:$F102))</f>
        <v>603.29999999999995</v>
      </c>
      <c r="Q102" s="86">
        <f>SUMPRODUCT(SUMIFS(RawTransportationData!$G:$G,RawTransportationData!$A:$A,Compare!$P$2,RawTransportationData!$B:$B,Compare!$D102:$F102))</f>
        <v>376127.17</v>
      </c>
      <c r="R102" s="32">
        <f t="shared" si="11"/>
        <v>623.44964362671976</v>
      </c>
      <c r="S102" s="32">
        <f>SUMPRODUCT(SUMIFS(RawTransportationData!$H:$H,RawTransportationData!$A:$A,Compare!$P$1,RawTransportationData!$B:$B,Compare!$D102:$F102))</f>
        <v>146229</v>
      </c>
      <c r="T102" s="32">
        <f t="shared" si="12"/>
        <v>229898.16999999998</v>
      </c>
      <c r="U102" s="45"/>
      <c r="V102" s="85">
        <f>SUMPRODUCT(SUMIFS(RawTransportationData!$D:$D,RawTransportationData!$A:$A,Compare!$V$2,RawTransportationData!$B:$B,Compare!$D102:$F102))</f>
        <v>615.5</v>
      </c>
      <c r="W102" s="86">
        <f>SUMPRODUCT(SUMIFS(RawTransportationData!$G:$G,RawTransportationData!$A:$A,Compare!$V$2,RawTransportationData!$B:$B,Compare!$D102:$F102))</f>
        <v>293102.52</v>
      </c>
      <c r="X102" s="32">
        <f t="shared" si="13"/>
        <v>476.2023070674249</v>
      </c>
      <c r="Y102" s="32">
        <f>SUMPRODUCT(SUMIFS(RawTransportationData!$H:$H,RawTransportationData!$A:$A,Compare!$V$1,RawTransportationData!$B:$B,Compare!$D102:$F102))</f>
        <v>37603</v>
      </c>
      <c r="Z102" s="32">
        <f t="shared" si="14"/>
        <v>255499.52000000002</v>
      </c>
    </row>
    <row r="103" spans="1:26" x14ac:dyDescent="0.55000000000000004">
      <c r="A103">
        <f>FinalPayment!A101</f>
        <v>2021</v>
      </c>
      <c r="B103" t="str">
        <f>FinalPayment!B101</f>
        <v>15</v>
      </c>
      <c r="C103" t="str">
        <f>FinalPayment!C101</f>
        <v>0657</v>
      </c>
      <c r="D103" t="str">
        <f>FinalPayment!D101</f>
        <v/>
      </c>
      <c r="E103" t="str">
        <f>FinalPayment!E101</f>
        <v/>
      </c>
      <c r="F103" t="str">
        <f>FinalPayment!F101</f>
        <v>0657</v>
      </c>
      <c r="G103" s="28" t="str">
        <f>FinalPayment!G101</f>
        <v>Eddyville-Blakesburg-Fremont</v>
      </c>
      <c r="H103" s="85">
        <f>SUMPRODUCT(SUMIFS(RawTransportationData!$D:$D,RawTransportationData!$A:$A,Compare!$H$2,RawTransportationData!$B:$B,Compare!$D103:$F103))</f>
        <v>891.2</v>
      </c>
      <c r="I103" s="86">
        <f>SUMPRODUCT(SUMIFS(RawTransportationData!$G:$G,RawTransportationData!$A:$A,Compare!$H$2,RawTransportationData!$B:$B,Compare!$D103:$F103))</f>
        <v>698575.67</v>
      </c>
      <c r="J103" s="32">
        <f t="shared" si="15"/>
        <v>783.85959380610416</v>
      </c>
      <c r="K103" s="32">
        <f>SUMPRODUCT(SUMIFS(RawTransportationData!$H:$H,RawTransportationData!$A:$A,Compare!$E$1,RawTransportationData!$B:$B,Compare!$D103:$F103))</f>
        <v>389480</v>
      </c>
      <c r="L103" s="32">
        <f t="shared" si="8"/>
        <v>309095.67000000004</v>
      </c>
      <c r="M103" s="70">
        <f t="shared" si="9"/>
        <v>0.22936946052212373</v>
      </c>
      <c r="N103" s="70">
        <f t="shared" si="10"/>
        <v>-0.16042947933920004</v>
      </c>
      <c r="O103" s="45"/>
      <c r="P103" s="85">
        <f>SUMPRODUCT(SUMIFS(RawTransportationData!$D:$D,RawTransportationData!$A:$A,Compare!$P$2,RawTransportationData!$B:$B,Compare!$D103:$F103))</f>
        <v>875.9</v>
      </c>
      <c r="Q103" s="86">
        <f>SUMPRODUCT(SUMIFS(RawTransportationData!$G:$G,RawTransportationData!$A:$A,Compare!$P$2,RawTransportationData!$B:$B,Compare!$D103:$F103))</f>
        <v>722004.51</v>
      </c>
      <c r="R103" s="32">
        <f t="shared" si="11"/>
        <v>824.3001598355977</v>
      </c>
      <c r="S103" s="32">
        <f>SUMPRODUCT(SUMIFS(RawTransportationData!$H:$H,RawTransportationData!$A:$A,Compare!$P$1,RawTransportationData!$B:$B,Compare!$D103:$F103))</f>
        <v>388227</v>
      </c>
      <c r="T103" s="32">
        <f t="shared" si="12"/>
        <v>333777.51</v>
      </c>
      <c r="U103" s="45"/>
      <c r="V103" s="85">
        <f>SUMPRODUCT(SUMIFS(RawTransportationData!$D:$D,RawTransportationData!$A:$A,Compare!$V$2,RawTransportationData!$B:$B,Compare!$D103:$F103))</f>
        <v>886.9</v>
      </c>
      <c r="W103" s="86">
        <f>SUMPRODUCT(SUMIFS(RawTransportationData!$G:$G,RawTransportationData!$A:$A,Compare!$V$2,RawTransportationData!$B:$B,Compare!$D103:$F103))</f>
        <v>565497.27</v>
      </c>
      <c r="X103" s="32">
        <f t="shared" si="13"/>
        <v>637.6110835494419</v>
      </c>
      <c r="Y103" s="32">
        <f>SUMPRODUCT(SUMIFS(RawTransportationData!$H:$H,RawTransportationData!$A:$A,Compare!$V$1,RawTransportationData!$B:$B,Compare!$D103:$F103))</f>
        <v>197338</v>
      </c>
      <c r="Z103" s="32">
        <f t="shared" si="14"/>
        <v>368159.27</v>
      </c>
    </row>
    <row r="104" spans="1:26" x14ac:dyDescent="0.55000000000000004">
      <c r="A104">
        <f>FinalPayment!A102</f>
        <v>2021</v>
      </c>
      <c r="B104" t="str">
        <f>FinalPayment!B102</f>
        <v>01</v>
      </c>
      <c r="C104" t="str">
        <f>FinalPayment!C102</f>
        <v>1989</v>
      </c>
      <c r="D104" t="str">
        <f>FinalPayment!D102</f>
        <v/>
      </c>
      <c r="E104" t="str">
        <f>FinalPayment!E102</f>
        <v/>
      </c>
      <c r="F104" t="str">
        <f>FinalPayment!F102</f>
        <v>1989</v>
      </c>
      <c r="G104" s="28" t="str">
        <f>FinalPayment!G102</f>
        <v>Edgewood-Colesburg</v>
      </c>
      <c r="H104" s="85">
        <f>SUMPRODUCT(SUMIFS(RawTransportationData!$D:$D,RawTransportationData!$A:$A,Compare!$H$2,RawTransportationData!$B:$B,Compare!$D104:$F104))</f>
        <v>419</v>
      </c>
      <c r="I104" s="86">
        <f>SUMPRODUCT(SUMIFS(RawTransportationData!$G:$G,RawTransportationData!$A:$A,Compare!$H$2,RawTransportationData!$B:$B,Compare!$D104:$F104))</f>
        <v>297015.03999999998</v>
      </c>
      <c r="J104" s="32">
        <f t="shared" si="15"/>
        <v>708.86644391408106</v>
      </c>
      <c r="K104" s="32">
        <f>SUMPRODUCT(SUMIFS(RawTransportationData!$H:$H,RawTransportationData!$A:$A,Compare!$E$1,RawTransportationData!$B:$B,Compare!$D104:$F104))</f>
        <v>151694</v>
      </c>
      <c r="L104" s="32">
        <f t="shared" si="8"/>
        <v>145321.03999999998</v>
      </c>
      <c r="M104" s="70">
        <f t="shared" si="9"/>
        <v>-5.6272376644974934E-2</v>
      </c>
      <c r="N104" s="70">
        <f t="shared" si="10"/>
        <v>-9.070810068039363E-2</v>
      </c>
      <c r="O104" s="45"/>
      <c r="P104" s="85">
        <f>SUMPRODUCT(SUMIFS(RawTransportationData!$D:$D,RawTransportationData!$A:$A,Compare!$P$2,RawTransportationData!$B:$B,Compare!$D104:$F104))</f>
        <v>414</v>
      </c>
      <c r="Q104" s="86">
        <f>SUMPRODUCT(SUMIFS(RawTransportationData!$G:$G,RawTransportationData!$A:$A,Compare!$P$2,RawTransportationData!$B:$B,Compare!$D104:$F104))</f>
        <v>308200.09999999998</v>
      </c>
      <c r="R104" s="32">
        <f t="shared" si="11"/>
        <v>744.44468599033814</v>
      </c>
      <c r="S104" s="32">
        <f>SUMPRODUCT(SUMIFS(RawTransportationData!$H:$H,RawTransportationData!$A:$A,Compare!$P$1,RawTransportationData!$B:$B,Compare!$D104:$F104))</f>
        <v>150436</v>
      </c>
      <c r="T104" s="32">
        <f t="shared" si="12"/>
        <v>157764.09999999998</v>
      </c>
      <c r="U104" s="45"/>
      <c r="V104" s="85">
        <f>SUMPRODUCT(SUMIFS(RawTransportationData!$D:$D,RawTransportationData!$A:$A,Compare!$V$2,RawTransportationData!$B:$B,Compare!$D104:$F104))</f>
        <v>385</v>
      </c>
      <c r="W104" s="86">
        <f>SUMPRODUCT(SUMIFS(RawTransportationData!$G:$G,RawTransportationData!$A:$A,Compare!$V$2,RawTransportationData!$B:$B,Compare!$D104:$F104))</f>
        <v>289186.81</v>
      </c>
      <c r="X104" s="32">
        <f t="shared" si="13"/>
        <v>751.13457142857146</v>
      </c>
      <c r="Y104" s="32">
        <f>SUMPRODUCT(SUMIFS(RawTransportationData!$H:$H,RawTransportationData!$A:$A,Compare!$V$1,RawTransportationData!$B:$B,Compare!$D104:$F104))</f>
        <v>129369</v>
      </c>
      <c r="Z104" s="32">
        <f t="shared" si="14"/>
        <v>159817.81</v>
      </c>
    </row>
    <row r="105" spans="1:26" x14ac:dyDescent="0.55000000000000004">
      <c r="A105">
        <f>FinalPayment!A103</f>
        <v>2021</v>
      </c>
      <c r="B105" t="str">
        <f>FinalPayment!B103</f>
        <v>07</v>
      </c>
      <c r="C105" t="str">
        <f>FinalPayment!C103</f>
        <v>2007</v>
      </c>
      <c r="D105" t="str">
        <f>FinalPayment!D103</f>
        <v/>
      </c>
      <c r="E105" t="str">
        <f>FinalPayment!E103</f>
        <v/>
      </c>
      <c r="F105" t="str">
        <f>FinalPayment!F103</f>
        <v>2007</v>
      </c>
      <c r="G105" s="28" t="str">
        <f>FinalPayment!G103</f>
        <v>Eldora-New Providence</v>
      </c>
      <c r="H105" s="85">
        <f>SUMPRODUCT(SUMIFS(RawTransportationData!$D:$D,RawTransportationData!$A:$A,Compare!$H$2,RawTransportationData!$B:$B,Compare!$D105:$F105))</f>
        <v>631.1</v>
      </c>
      <c r="I105" s="86">
        <f>SUMPRODUCT(SUMIFS(RawTransportationData!$G:$G,RawTransportationData!$A:$A,Compare!$H$2,RawTransportationData!$B:$B,Compare!$D105:$F105))</f>
        <v>252377.26</v>
      </c>
      <c r="J105" s="32">
        <f t="shared" si="15"/>
        <v>399.9005862779274</v>
      </c>
      <c r="K105" s="32">
        <f>SUMPRODUCT(SUMIFS(RawTransportationData!$H:$H,RawTransportationData!$A:$A,Compare!$E$1,RawTransportationData!$B:$B,Compare!$D105:$F105))</f>
        <v>33492</v>
      </c>
      <c r="L105" s="32">
        <f t="shared" si="8"/>
        <v>218885.26</v>
      </c>
      <c r="M105" s="70">
        <f t="shared" si="9"/>
        <v>0.39513558658000425</v>
      </c>
      <c r="N105" s="70">
        <f t="shared" si="10"/>
        <v>0.20445792799365775</v>
      </c>
      <c r="O105" s="45"/>
      <c r="P105" s="85">
        <f>SUMPRODUCT(SUMIFS(RawTransportationData!$D:$D,RawTransportationData!$A:$A,Compare!$P$2,RawTransportationData!$B:$B,Compare!$D105:$F105))</f>
        <v>624.6</v>
      </c>
      <c r="Q105" s="86">
        <f>SUMPRODUCT(SUMIFS(RawTransportationData!$G:$G,RawTransportationData!$A:$A,Compare!$P$2,RawTransportationData!$B:$B,Compare!$D105:$F105))</f>
        <v>213086.37</v>
      </c>
      <c r="R105" s="32">
        <f t="shared" si="11"/>
        <v>341.15653218059555</v>
      </c>
      <c r="S105" s="32">
        <f>SUMPRODUCT(SUMIFS(RawTransportationData!$H:$H,RawTransportationData!$A:$A,Compare!$P$1,RawTransportationData!$B:$B,Compare!$D105:$F105))</f>
        <v>0</v>
      </c>
      <c r="T105" s="32">
        <f t="shared" si="12"/>
        <v>213086.37</v>
      </c>
      <c r="U105" s="45"/>
      <c r="V105" s="85">
        <f>SUMPRODUCT(SUMIFS(RawTransportationData!$D:$D,RawTransportationData!$A:$A,Compare!$V$2,RawTransportationData!$B:$B,Compare!$D105:$F105))</f>
        <v>634</v>
      </c>
      <c r="W105" s="86">
        <f>SUMPRODUCT(SUMIFS(RawTransportationData!$G:$G,RawTransportationData!$A:$A,Compare!$V$2,RawTransportationData!$B:$B,Compare!$D105:$F105))</f>
        <v>181729.27000000002</v>
      </c>
      <c r="X105" s="32">
        <f t="shared" si="13"/>
        <v>286.63922712933754</v>
      </c>
      <c r="Y105" s="32">
        <f>SUMPRODUCT(SUMIFS(RawTransportationData!$H:$H,RawTransportationData!$A:$A,Compare!$V$1,RawTransportationData!$B:$B,Compare!$D105:$F105))</f>
        <v>0</v>
      </c>
      <c r="Z105" s="32">
        <f t="shared" si="14"/>
        <v>181729.27000000002</v>
      </c>
    </row>
    <row r="106" spans="1:26" x14ac:dyDescent="0.55000000000000004">
      <c r="A106">
        <f>FinalPayment!A104</f>
        <v>2021</v>
      </c>
      <c r="B106" t="str">
        <f>FinalPayment!B104</f>
        <v>05</v>
      </c>
      <c r="C106" t="str">
        <f>FinalPayment!C104</f>
        <v>2088</v>
      </c>
      <c r="D106" t="str">
        <f>FinalPayment!D104</f>
        <v/>
      </c>
      <c r="E106" t="str">
        <f>FinalPayment!E104</f>
        <v/>
      </c>
      <c r="F106" t="str">
        <f>FinalPayment!F104</f>
        <v>2088</v>
      </c>
      <c r="G106" s="28" t="str">
        <f>FinalPayment!G104</f>
        <v>Emmetsburg</v>
      </c>
      <c r="H106" s="85">
        <f>SUMPRODUCT(SUMIFS(RawTransportationData!$D:$D,RawTransportationData!$A:$A,Compare!$H$2,RawTransportationData!$B:$B,Compare!$D106:$F106))</f>
        <v>700.19999999999993</v>
      </c>
      <c r="I106" s="86">
        <f>SUMPRODUCT(SUMIFS(RawTransportationData!$G:$G,RawTransportationData!$A:$A,Compare!$H$2,RawTransportationData!$B:$B,Compare!$D106:$F106))</f>
        <v>272810.78000000003</v>
      </c>
      <c r="J106" s="32">
        <f t="shared" si="15"/>
        <v>389.61836618109118</v>
      </c>
      <c r="K106" s="32">
        <f>SUMPRODUCT(SUMIFS(RawTransportationData!$H:$H,RawTransportationData!$A:$A,Compare!$E$1,RawTransportationData!$B:$B,Compare!$D106:$F106))</f>
        <v>29960</v>
      </c>
      <c r="L106" s="32">
        <f t="shared" si="8"/>
        <v>242850.78000000003</v>
      </c>
      <c r="M106" s="70">
        <f t="shared" si="9"/>
        <v>-0.42036585000754684</v>
      </c>
      <c r="N106" s="70">
        <f t="shared" si="10"/>
        <v>-0.15822649759292007</v>
      </c>
      <c r="O106" s="45"/>
      <c r="P106" s="85">
        <f>SUMPRODUCT(SUMIFS(RawTransportationData!$D:$D,RawTransportationData!$A:$A,Compare!$P$2,RawTransportationData!$B:$B,Compare!$D106:$F106))</f>
        <v>695.5</v>
      </c>
      <c r="Q106" s="86">
        <f>SUMPRODUCT(SUMIFS(RawTransportationData!$G:$G,RawTransportationData!$A:$A,Compare!$P$2,RawTransportationData!$B:$B,Compare!$D106:$F106))</f>
        <v>305329.64</v>
      </c>
      <c r="R106" s="32">
        <f t="shared" si="11"/>
        <v>439.00739036664271</v>
      </c>
      <c r="S106" s="32">
        <f>SUMPRODUCT(SUMIFS(RawTransportationData!$H:$H,RawTransportationData!$A:$A,Compare!$P$1,RawTransportationData!$B:$B,Compare!$D106:$F106))</f>
        <v>40299</v>
      </c>
      <c r="T106" s="32">
        <f t="shared" si="12"/>
        <v>265030.64</v>
      </c>
      <c r="U106" s="45"/>
      <c r="V106" s="85">
        <f>SUMPRODUCT(SUMIFS(RawTransportationData!$D:$D,RawTransportationData!$A:$A,Compare!$V$2,RawTransportationData!$B:$B,Compare!$D106:$F106))</f>
        <v>695</v>
      </c>
      <c r="W106" s="86">
        <f>SUMPRODUCT(SUMIFS(RawTransportationData!$G:$G,RawTransportationData!$A:$A,Compare!$V$2,RawTransportationData!$B:$B,Compare!$D106:$F106))</f>
        <v>467164.95999999996</v>
      </c>
      <c r="X106" s="32">
        <f t="shared" si="13"/>
        <v>672.17979856115107</v>
      </c>
      <c r="Y106" s="32">
        <f>SUMPRODUCT(SUMIFS(RawTransportationData!$H:$H,RawTransportationData!$A:$A,Compare!$V$1,RawTransportationData!$B:$B,Compare!$D106:$F106))</f>
        <v>178666</v>
      </c>
      <c r="Z106" s="32">
        <f t="shared" si="14"/>
        <v>288498.95999999996</v>
      </c>
    </row>
    <row r="107" spans="1:26" x14ac:dyDescent="0.55000000000000004">
      <c r="A107">
        <f>FinalPayment!A105</f>
        <v>2021</v>
      </c>
      <c r="B107" t="str">
        <f>FinalPayment!B105</f>
        <v>10</v>
      </c>
      <c r="C107" t="str">
        <f>FinalPayment!C105</f>
        <v>2097</v>
      </c>
      <c r="D107" t="str">
        <f>FinalPayment!D105</f>
        <v/>
      </c>
      <c r="E107" t="str">
        <f>FinalPayment!E105</f>
        <v/>
      </c>
      <c r="F107" t="str">
        <f>FinalPayment!F105</f>
        <v>2097</v>
      </c>
      <c r="G107" s="28" t="str">
        <f>FinalPayment!G105</f>
        <v>English Valleys</v>
      </c>
      <c r="H107" s="85">
        <f>SUMPRODUCT(SUMIFS(RawTransportationData!$D:$D,RawTransportationData!$A:$A,Compare!$H$2,RawTransportationData!$B:$B,Compare!$D107:$F107))</f>
        <v>467.7</v>
      </c>
      <c r="I107" s="86">
        <f>SUMPRODUCT(SUMIFS(RawTransportationData!$G:$G,RawTransportationData!$A:$A,Compare!$H$2,RawTransportationData!$B:$B,Compare!$D107:$F107))</f>
        <v>221291.09</v>
      </c>
      <c r="J107" s="32">
        <f t="shared" si="15"/>
        <v>473.1475090870216</v>
      </c>
      <c r="K107" s="32">
        <f>SUMPRODUCT(SUMIFS(RawTransportationData!$H:$H,RawTransportationData!$A:$A,Compare!$E$1,RawTransportationData!$B:$B,Compare!$D107:$F107))</f>
        <v>59079</v>
      </c>
      <c r="L107" s="32">
        <f t="shared" si="8"/>
        <v>162212.09</v>
      </c>
      <c r="M107" s="70">
        <f t="shared" si="9"/>
        <v>-0.17313988609301853</v>
      </c>
      <c r="N107" s="70">
        <f t="shared" si="10"/>
        <v>-0.14641932493115425</v>
      </c>
      <c r="O107" s="45"/>
      <c r="P107" s="85">
        <f>SUMPRODUCT(SUMIFS(RawTransportationData!$D:$D,RawTransportationData!$A:$A,Compare!$P$2,RawTransportationData!$B:$B,Compare!$D107:$F107))</f>
        <v>452.2</v>
      </c>
      <c r="Q107" s="86">
        <f>SUMPRODUCT(SUMIFS(RawTransportationData!$G:$G,RawTransportationData!$A:$A,Compare!$P$2,RawTransportationData!$B:$B,Compare!$D107:$F107))</f>
        <v>225336.73</v>
      </c>
      <c r="R107" s="32">
        <f t="shared" si="11"/>
        <v>498.3120964175144</v>
      </c>
      <c r="S107" s="32">
        <f>SUMPRODUCT(SUMIFS(RawTransportationData!$H:$H,RawTransportationData!$A:$A,Compare!$P$1,RawTransportationData!$B:$B,Compare!$D107:$F107))</f>
        <v>53017</v>
      </c>
      <c r="T107" s="32">
        <f t="shared" si="12"/>
        <v>172319.73</v>
      </c>
      <c r="U107" s="45"/>
      <c r="V107" s="85">
        <f>SUMPRODUCT(SUMIFS(RawTransportationData!$D:$D,RawTransportationData!$A:$A,Compare!$V$2,RawTransportationData!$B:$B,Compare!$D107:$F107))</f>
        <v>457.8</v>
      </c>
      <c r="W107" s="86">
        <f>SUMPRODUCT(SUMIFS(RawTransportationData!$G:$G,RawTransportationData!$A:$A,Compare!$V$2,RawTransportationData!$B:$B,Compare!$D107:$F107))</f>
        <v>261963.21</v>
      </c>
      <c r="X107" s="32">
        <f t="shared" si="13"/>
        <v>572.22195281782433</v>
      </c>
      <c r="Y107" s="32">
        <f>SUMPRODUCT(SUMIFS(RawTransportationData!$H:$H,RawTransportationData!$A:$A,Compare!$V$1,RawTransportationData!$B:$B,Compare!$D107:$F107))</f>
        <v>71926</v>
      </c>
      <c r="Z107" s="32">
        <f t="shared" si="14"/>
        <v>190037.21</v>
      </c>
    </row>
    <row r="108" spans="1:26" x14ac:dyDescent="0.55000000000000004">
      <c r="A108">
        <f>FinalPayment!A106</f>
        <v>2021</v>
      </c>
      <c r="B108" t="str">
        <f>FinalPayment!B106</f>
        <v>13</v>
      </c>
      <c r="C108" t="str">
        <f>FinalPayment!C106</f>
        <v>2113</v>
      </c>
      <c r="D108" t="str">
        <f>FinalPayment!D106</f>
        <v/>
      </c>
      <c r="E108" t="str">
        <f>FinalPayment!E106</f>
        <v/>
      </c>
      <c r="F108" t="str">
        <f>FinalPayment!F106</f>
        <v>2113</v>
      </c>
      <c r="G108" s="28" t="str">
        <f>FinalPayment!G106</f>
        <v>Essex</v>
      </c>
      <c r="H108" s="85">
        <f>SUMPRODUCT(SUMIFS(RawTransportationData!$D:$D,RawTransportationData!$A:$A,Compare!$H$2,RawTransportationData!$B:$B,Compare!$D108:$F108))</f>
        <v>190.5</v>
      </c>
      <c r="I108" s="86">
        <f>SUMPRODUCT(SUMIFS(RawTransportationData!$G:$G,RawTransportationData!$A:$A,Compare!$H$2,RawTransportationData!$B:$B,Compare!$D108:$F108))</f>
        <v>57706.33</v>
      </c>
      <c r="J108" s="32">
        <f t="shared" si="15"/>
        <v>302.92036745406824</v>
      </c>
      <c r="K108" s="32">
        <f>SUMPRODUCT(SUMIFS(RawTransportationData!$H:$H,RawTransportationData!$A:$A,Compare!$E$1,RawTransportationData!$B:$B,Compare!$D108:$F108))</f>
        <v>156</v>
      </c>
      <c r="L108" s="32">
        <f t="shared" si="8"/>
        <v>57550.33</v>
      </c>
      <c r="M108" s="70">
        <f t="shared" si="9"/>
        <v>-1.4290436063905365E-2</v>
      </c>
      <c r="N108" s="70">
        <f t="shared" si="10"/>
        <v>-4.454058935984586E-2</v>
      </c>
      <c r="O108" s="45"/>
      <c r="P108" s="85">
        <f>SUMPRODUCT(SUMIFS(RawTransportationData!$D:$D,RawTransportationData!$A:$A,Compare!$P$2,RawTransportationData!$B:$B,Compare!$D108:$F108))</f>
        <v>194</v>
      </c>
      <c r="Q108" s="86">
        <f>SUMPRODUCT(SUMIFS(RawTransportationData!$G:$G,RawTransportationData!$A:$A,Compare!$P$2,RawTransportationData!$B:$B,Compare!$D108:$F108))</f>
        <v>69997.100000000006</v>
      </c>
      <c r="R108" s="32">
        <f t="shared" si="11"/>
        <v>360.80979381443302</v>
      </c>
      <c r="S108" s="32">
        <f>SUMPRODUCT(SUMIFS(RawTransportationData!$H:$H,RawTransportationData!$A:$A,Compare!$P$1,RawTransportationData!$B:$B,Compare!$D108:$F108))</f>
        <v>0</v>
      </c>
      <c r="T108" s="32">
        <f t="shared" si="12"/>
        <v>69997.100000000006</v>
      </c>
      <c r="U108" s="45"/>
      <c r="V108" s="85">
        <f>SUMPRODUCT(SUMIFS(RawTransportationData!$D:$D,RawTransportationData!$A:$A,Compare!$V$2,RawTransportationData!$B:$B,Compare!$D108:$F108))</f>
        <v>196</v>
      </c>
      <c r="W108" s="86">
        <f>SUMPRODUCT(SUMIFS(RawTransportationData!$G:$G,RawTransportationData!$A:$A,Compare!$V$2,RawTransportationData!$B:$B,Compare!$D108:$F108))</f>
        <v>60233.15</v>
      </c>
      <c r="X108" s="32">
        <f t="shared" si="13"/>
        <v>307.31198979591835</v>
      </c>
      <c r="Y108" s="32">
        <f>SUMPRODUCT(SUMIFS(RawTransportationData!$H:$H,RawTransportationData!$A:$A,Compare!$V$1,RawTransportationData!$B:$B,Compare!$D108:$F108))</f>
        <v>0</v>
      </c>
      <c r="Z108" s="32">
        <f t="shared" si="14"/>
        <v>60233.15</v>
      </c>
    </row>
    <row r="109" spans="1:26" x14ac:dyDescent="0.55000000000000004">
      <c r="A109">
        <f>FinalPayment!A107</f>
        <v>2021</v>
      </c>
      <c r="B109" t="str">
        <f>FinalPayment!B107</f>
        <v>05</v>
      </c>
      <c r="C109" t="str">
        <f>FinalPayment!C107</f>
        <v>2124</v>
      </c>
      <c r="D109" t="str">
        <f>FinalPayment!D107</f>
        <v/>
      </c>
      <c r="E109" t="str">
        <f>FinalPayment!E107</f>
        <v/>
      </c>
      <c r="F109" t="str">
        <f>FinalPayment!F107</f>
        <v>2124</v>
      </c>
      <c r="G109" s="28" t="str">
        <f>FinalPayment!G107</f>
        <v>Estherville-Lincoln Central</v>
      </c>
      <c r="H109" s="85">
        <f>SUMPRODUCT(SUMIFS(RawTransportationData!$D:$D,RawTransportationData!$A:$A,Compare!$H$2,RawTransportationData!$B:$B,Compare!$D109:$F109))</f>
        <v>1269.5999999999999</v>
      </c>
      <c r="I109" s="86">
        <f>SUMPRODUCT(SUMIFS(RawTransportationData!$G:$G,RawTransportationData!$A:$A,Compare!$H$2,RawTransportationData!$B:$B,Compare!$D109:$F109))</f>
        <v>180526.73</v>
      </c>
      <c r="J109" s="32">
        <f t="shared" si="15"/>
        <v>142.19181632010083</v>
      </c>
      <c r="K109" s="32">
        <f>SUMPRODUCT(SUMIFS(RawTransportationData!$H:$H,RawTransportationData!$A:$A,Compare!$E$1,RawTransportationData!$B:$B,Compare!$D109:$F109))</f>
        <v>1039</v>
      </c>
      <c r="L109" s="32">
        <f t="shared" si="8"/>
        <v>179487.73</v>
      </c>
      <c r="M109" s="70">
        <f t="shared" si="9"/>
        <v>0.19290958587188245</v>
      </c>
      <c r="N109" s="70">
        <f t="shared" si="10"/>
        <v>9.3617098540905386E-2</v>
      </c>
      <c r="O109" s="45"/>
      <c r="P109" s="85">
        <f>SUMPRODUCT(SUMIFS(RawTransportationData!$D:$D,RawTransportationData!$A:$A,Compare!$P$2,RawTransportationData!$B:$B,Compare!$D109:$F109))</f>
        <v>1323.5</v>
      </c>
      <c r="Q109" s="86">
        <f>SUMPRODUCT(SUMIFS(RawTransportationData!$G:$G,RawTransportationData!$A:$A,Compare!$P$2,RawTransportationData!$B:$B,Compare!$D109:$F109))</f>
        <v>187744.86</v>
      </c>
      <c r="R109" s="32">
        <f t="shared" si="11"/>
        <v>141.85482432942953</v>
      </c>
      <c r="S109" s="32">
        <f>SUMPRODUCT(SUMIFS(RawTransportationData!$H:$H,RawTransportationData!$A:$A,Compare!$P$1,RawTransportationData!$B:$B,Compare!$D109:$F109))</f>
        <v>0</v>
      </c>
      <c r="T109" s="32">
        <f t="shared" si="12"/>
        <v>187744.86</v>
      </c>
      <c r="U109" s="45"/>
      <c r="V109" s="85">
        <f>SUMPRODUCT(SUMIFS(RawTransportationData!$D:$D,RawTransportationData!$A:$A,Compare!$V$2,RawTransportationData!$B:$B,Compare!$D109:$F109))</f>
        <v>1376.9</v>
      </c>
      <c r="W109" s="86">
        <f>SUMPRODUCT(SUMIFS(RawTransportationData!$G:$G,RawTransportationData!$A:$A,Compare!$V$2,RawTransportationData!$B:$B,Compare!$D109:$F109))</f>
        <v>164123.01</v>
      </c>
      <c r="X109" s="32">
        <f t="shared" si="13"/>
        <v>119.19747984603094</v>
      </c>
      <c r="Y109" s="32">
        <f>SUMPRODUCT(SUMIFS(RawTransportationData!$H:$H,RawTransportationData!$A:$A,Compare!$V$1,RawTransportationData!$B:$B,Compare!$D109:$F109))</f>
        <v>0</v>
      </c>
      <c r="Z109" s="32">
        <f t="shared" si="14"/>
        <v>164123.01</v>
      </c>
    </row>
    <row r="110" spans="1:26" x14ac:dyDescent="0.55000000000000004">
      <c r="A110">
        <f>FinalPayment!A108</f>
        <v>2021</v>
      </c>
      <c r="B110" t="str">
        <f>FinalPayment!B108</f>
        <v>11</v>
      </c>
      <c r="C110" t="str">
        <f>FinalPayment!C108</f>
        <v>2151</v>
      </c>
      <c r="D110" t="str">
        <f>FinalPayment!D108</f>
        <v/>
      </c>
      <c r="E110" t="str">
        <f>FinalPayment!E108</f>
        <v/>
      </c>
      <c r="F110" t="str">
        <f>FinalPayment!F108</f>
        <v>2151</v>
      </c>
      <c r="G110" s="28" t="str">
        <f>FinalPayment!G108</f>
        <v>Exira-Elk Horn-Kimballton</v>
      </c>
      <c r="H110" s="85">
        <f>SUMPRODUCT(SUMIFS(RawTransportationData!$D:$D,RawTransportationData!$A:$A,Compare!$H$2,RawTransportationData!$B:$B,Compare!$D110:$F110))</f>
        <v>427.2</v>
      </c>
      <c r="I110" s="86">
        <f>SUMPRODUCT(SUMIFS(RawTransportationData!$G:$G,RawTransportationData!$A:$A,Compare!$H$2,RawTransportationData!$B:$B,Compare!$D110:$F110))</f>
        <v>250845.1</v>
      </c>
      <c r="J110" s="32">
        <f t="shared" si="15"/>
        <v>587.18422284644203</v>
      </c>
      <c r="K110" s="32">
        <f>SUMPRODUCT(SUMIFS(RawTransportationData!$H:$H,RawTransportationData!$A:$A,Compare!$E$1,RawTransportationData!$B:$B,Compare!$D110:$F110))</f>
        <v>102677</v>
      </c>
      <c r="L110" s="32">
        <f t="shared" si="8"/>
        <v>148168.1</v>
      </c>
      <c r="M110" s="70">
        <f t="shared" si="9"/>
        <v>7.3106391900407811E-2</v>
      </c>
      <c r="N110" s="70">
        <f t="shared" si="10"/>
        <v>-0.1933616904333223</v>
      </c>
      <c r="O110" s="45"/>
      <c r="P110" s="85">
        <f>SUMPRODUCT(SUMIFS(RawTransportationData!$D:$D,RawTransportationData!$A:$A,Compare!$P$2,RawTransportationData!$B:$B,Compare!$D110:$F110))</f>
        <v>413.8</v>
      </c>
      <c r="Q110" s="86">
        <f>SUMPRODUCT(SUMIFS(RawTransportationData!$G:$G,RawTransportationData!$A:$A,Compare!$P$2,RawTransportationData!$B:$B,Compare!$D110:$F110))</f>
        <v>235410.54</v>
      </c>
      <c r="R110" s="32">
        <f t="shared" si="11"/>
        <v>568.89932334461093</v>
      </c>
      <c r="S110" s="32">
        <f>SUMPRODUCT(SUMIFS(RawTransportationData!$H:$H,RawTransportationData!$A:$A,Compare!$P$1,RawTransportationData!$B:$B,Compare!$D110:$F110))</f>
        <v>77725</v>
      </c>
      <c r="T110" s="32">
        <f t="shared" si="12"/>
        <v>157685.54</v>
      </c>
      <c r="U110" s="45"/>
      <c r="V110" s="85">
        <f>SUMPRODUCT(SUMIFS(RawTransportationData!$D:$D,RawTransportationData!$A:$A,Compare!$V$2,RawTransportationData!$B:$B,Compare!$D110:$F110))</f>
        <v>442.5</v>
      </c>
      <c r="W110" s="86">
        <f>SUMPRODUCT(SUMIFS(RawTransportationData!$G:$G,RawTransportationData!$A:$A,Compare!$V$2,RawTransportationData!$B:$B,Compare!$D110:$F110))</f>
        <v>242127.92</v>
      </c>
      <c r="X110" s="32">
        <f t="shared" si="13"/>
        <v>547.18174011299436</v>
      </c>
      <c r="Y110" s="32">
        <f>SUMPRODUCT(SUMIFS(RawTransportationData!$H:$H,RawTransportationData!$A:$A,Compare!$V$1,RawTransportationData!$B:$B,Compare!$D110:$F110))</f>
        <v>58442</v>
      </c>
      <c r="Z110" s="32">
        <f t="shared" si="14"/>
        <v>183685.92</v>
      </c>
    </row>
    <row r="111" spans="1:26" x14ac:dyDescent="0.55000000000000004">
      <c r="A111">
        <f>FinalPayment!A109</f>
        <v>2021</v>
      </c>
      <c r="B111" t="str">
        <f>FinalPayment!B109</f>
        <v>15</v>
      </c>
      <c r="C111" t="str">
        <f>FinalPayment!C109</f>
        <v>2169</v>
      </c>
      <c r="D111" t="str">
        <f>FinalPayment!D109</f>
        <v/>
      </c>
      <c r="E111" t="str">
        <f>FinalPayment!E109</f>
        <v/>
      </c>
      <c r="F111" t="str">
        <f>FinalPayment!F109</f>
        <v>2169</v>
      </c>
      <c r="G111" s="28" t="str">
        <f>FinalPayment!G109</f>
        <v>Fairfield</v>
      </c>
      <c r="H111" s="85">
        <f>SUMPRODUCT(SUMIFS(RawTransportationData!$D:$D,RawTransportationData!$A:$A,Compare!$H$2,RawTransportationData!$B:$B,Compare!$D111:$F111))</f>
        <v>1621.7</v>
      </c>
      <c r="I111" s="86">
        <f>SUMPRODUCT(SUMIFS(RawTransportationData!$G:$G,RawTransportationData!$A:$A,Compare!$H$2,RawTransportationData!$B:$B,Compare!$D111:$F111))</f>
        <v>604719.64</v>
      </c>
      <c r="J111" s="32">
        <f t="shared" si="15"/>
        <v>372.89242153295925</v>
      </c>
      <c r="K111" s="32">
        <f>SUMPRODUCT(SUMIFS(RawTransportationData!$H:$H,RawTransportationData!$A:$A,Compare!$E$1,RawTransportationData!$B:$B,Compare!$D111:$F111))</f>
        <v>42259</v>
      </c>
      <c r="L111" s="32">
        <f t="shared" si="8"/>
        <v>562460.64</v>
      </c>
      <c r="M111" s="70">
        <f t="shared" si="9"/>
        <v>0.11468880914399167</v>
      </c>
      <c r="N111" s="70">
        <f t="shared" si="10"/>
        <v>2.7352953586151019E-2</v>
      </c>
      <c r="O111" s="45"/>
      <c r="P111" s="85">
        <f>SUMPRODUCT(SUMIFS(RawTransportationData!$D:$D,RawTransportationData!$A:$A,Compare!$P$2,RawTransportationData!$B:$B,Compare!$D111:$F111))</f>
        <v>1591.5</v>
      </c>
      <c r="Q111" s="86">
        <f>SUMPRODUCT(SUMIFS(RawTransportationData!$G:$G,RawTransportationData!$A:$A,Compare!$P$2,RawTransportationData!$B:$B,Compare!$D111:$F111))</f>
        <v>448654.75</v>
      </c>
      <c r="R111" s="32">
        <f t="shared" si="11"/>
        <v>281.90684888469997</v>
      </c>
      <c r="S111" s="32">
        <f>SUMPRODUCT(SUMIFS(RawTransportationData!$H:$H,RawTransportationData!$A:$A,Compare!$P$1,RawTransportationData!$B:$B,Compare!$D111:$F111))</f>
        <v>0</v>
      </c>
      <c r="T111" s="32">
        <f t="shared" si="12"/>
        <v>448654.75</v>
      </c>
      <c r="U111" s="45"/>
      <c r="V111" s="85">
        <f>SUMPRODUCT(SUMIFS(RawTransportationData!$D:$D,RawTransportationData!$A:$A,Compare!$V$2,RawTransportationData!$B:$B,Compare!$D111:$F111))</f>
        <v>1636.6</v>
      </c>
      <c r="W111" s="86">
        <f>SUMPRODUCT(SUMIFS(RawTransportationData!$G:$G,RawTransportationData!$A:$A,Compare!$V$2,RawTransportationData!$B:$B,Compare!$D111:$F111))</f>
        <v>547485.30000000005</v>
      </c>
      <c r="X111" s="32">
        <f t="shared" si="13"/>
        <v>334.52602957350609</v>
      </c>
      <c r="Y111" s="32">
        <f>SUMPRODUCT(SUMIFS(RawTransportationData!$H:$H,RawTransportationData!$A:$A,Compare!$V$1,RawTransportationData!$B:$B,Compare!$D111:$F111))</f>
        <v>0</v>
      </c>
      <c r="Z111" s="32">
        <f t="shared" si="14"/>
        <v>547485.30000000005</v>
      </c>
    </row>
    <row r="112" spans="1:26" x14ac:dyDescent="0.55000000000000004">
      <c r="A112">
        <f>FinalPayment!A110</f>
        <v>2021</v>
      </c>
      <c r="B112" t="str">
        <f>FinalPayment!B110</f>
        <v>07</v>
      </c>
      <c r="C112" t="str">
        <f>FinalPayment!C110</f>
        <v>2295</v>
      </c>
      <c r="D112" t="str">
        <f>FinalPayment!D110</f>
        <v/>
      </c>
      <c r="E112" t="str">
        <f>FinalPayment!E110</f>
        <v/>
      </c>
      <c r="F112" t="str">
        <f>FinalPayment!F110</f>
        <v>2295</v>
      </c>
      <c r="G112" s="28" t="str">
        <f>FinalPayment!G110</f>
        <v>Forest City</v>
      </c>
      <c r="H112" s="85">
        <f>SUMPRODUCT(SUMIFS(RawTransportationData!$D:$D,RawTransportationData!$A:$A,Compare!$H$2,RawTransportationData!$B:$B,Compare!$D112:$F112))</f>
        <v>1073.5</v>
      </c>
      <c r="I112" s="86">
        <f>SUMPRODUCT(SUMIFS(RawTransportationData!$G:$G,RawTransportationData!$A:$A,Compare!$H$2,RawTransportationData!$B:$B,Compare!$D112:$F112))</f>
        <v>412210.44</v>
      </c>
      <c r="J112" s="32">
        <f t="shared" si="15"/>
        <v>383.98736842105262</v>
      </c>
      <c r="K112" s="32">
        <f>SUMPRODUCT(SUMIFS(RawTransportationData!$H:$H,RawTransportationData!$A:$A,Compare!$E$1,RawTransportationData!$B:$B,Compare!$D112:$F112))</f>
        <v>39890</v>
      </c>
      <c r="L112" s="32">
        <f t="shared" si="8"/>
        <v>372320.44</v>
      </c>
      <c r="M112" s="70">
        <f t="shared" si="9"/>
        <v>5.8164491905358065E-2</v>
      </c>
      <c r="N112" s="70">
        <f t="shared" si="10"/>
        <v>-7.1732906717918737E-2</v>
      </c>
      <c r="O112" s="45"/>
      <c r="P112" s="85">
        <f>SUMPRODUCT(SUMIFS(RawTransportationData!$D:$D,RawTransportationData!$A:$A,Compare!$P$2,RawTransportationData!$B:$B,Compare!$D112:$F112))</f>
        <v>1092.5</v>
      </c>
      <c r="Q112" s="86">
        <f>SUMPRODUCT(SUMIFS(RawTransportationData!$G:$G,RawTransportationData!$A:$A,Compare!$P$2,RawTransportationData!$B:$B,Compare!$D112:$F112))</f>
        <v>461844.14</v>
      </c>
      <c r="R112" s="32">
        <f t="shared" si="11"/>
        <v>422.74063157894739</v>
      </c>
      <c r="S112" s="32">
        <f>SUMPRODUCT(SUMIFS(RawTransportationData!$H:$H,RawTransportationData!$A:$A,Compare!$P$1,RawTransportationData!$B:$B,Compare!$D112:$F112))</f>
        <v>45527</v>
      </c>
      <c r="T112" s="32">
        <f t="shared" si="12"/>
        <v>416317.14</v>
      </c>
      <c r="U112" s="45"/>
      <c r="V112" s="85">
        <f>SUMPRODUCT(SUMIFS(RawTransportationData!$D:$D,RawTransportationData!$A:$A,Compare!$V$2,RawTransportationData!$B:$B,Compare!$D112:$F112))</f>
        <v>1105.3</v>
      </c>
      <c r="W112" s="86">
        <f>SUMPRODUCT(SUMIFS(RawTransportationData!$G:$G,RawTransportationData!$A:$A,Compare!$V$2,RawTransportationData!$B:$B,Compare!$D112:$F112))</f>
        <v>401091.93</v>
      </c>
      <c r="X112" s="32">
        <f t="shared" si="13"/>
        <v>362.88060255134354</v>
      </c>
      <c r="Y112" s="32">
        <f>SUMPRODUCT(SUMIFS(RawTransportationData!$H:$H,RawTransportationData!$A:$A,Compare!$V$1,RawTransportationData!$B:$B,Compare!$D112:$F112))</f>
        <v>0</v>
      </c>
      <c r="Z112" s="32">
        <f t="shared" si="14"/>
        <v>401091.93</v>
      </c>
    </row>
    <row r="113" spans="1:26" x14ac:dyDescent="0.55000000000000004">
      <c r="A113">
        <f>FinalPayment!A111</f>
        <v>2021</v>
      </c>
      <c r="B113" t="str">
        <f>FinalPayment!B111</f>
        <v>05</v>
      </c>
      <c r="C113" t="str">
        <f>FinalPayment!C111</f>
        <v>2313</v>
      </c>
      <c r="D113" t="str">
        <f>FinalPayment!D111</f>
        <v/>
      </c>
      <c r="E113" t="str">
        <f>FinalPayment!E111</f>
        <v/>
      </c>
      <c r="F113" t="str">
        <f>FinalPayment!F111</f>
        <v>2313</v>
      </c>
      <c r="G113" s="28" t="str">
        <f>FinalPayment!G111</f>
        <v>Fort Dodge</v>
      </c>
      <c r="H113" s="85">
        <f>SUMPRODUCT(SUMIFS(RawTransportationData!$D:$D,RawTransportationData!$A:$A,Compare!$H$2,RawTransportationData!$B:$B,Compare!$D113:$F113))</f>
        <v>3659.5</v>
      </c>
      <c r="I113" s="86">
        <f>SUMPRODUCT(SUMIFS(RawTransportationData!$G:$G,RawTransportationData!$A:$A,Compare!$H$2,RawTransportationData!$B:$B,Compare!$D113:$F113))</f>
        <v>837560.01</v>
      </c>
      <c r="J113" s="32">
        <f t="shared" si="15"/>
        <v>228.87279956278181</v>
      </c>
      <c r="K113" s="32">
        <f>SUMPRODUCT(SUMIFS(RawTransportationData!$H:$H,RawTransportationData!$A:$A,Compare!$E$1,RawTransportationData!$B:$B,Compare!$D113:$F113))</f>
        <v>2996</v>
      </c>
      <c r="L113" s="32">
        <f t="shared" si="8"/>
        <v>834564.01</v>
      </c>
      <c r="M113" s="70">
        <f t="shared" si="9"/>
        <v>0.21893932928990592</v>
      </c>
      <c r="N113" s="70">
        <f t="shared" si="10"/>
        <v>0.19875728639862589</v>
      </c>
      <c r="O113" s="45"/>
      <c r="P113" s="85">
        <f>SUMPRODUCT(SUMIFS(RawTransportationData!$D:$D,RawTransportationData!$A:$A,Compare!$P$2,RawTransportationData!$B:$B,Compare!$D113:$F113))</f>
        <v>3796.7999999999997</v>
      </c>
      <c r="Q113" s="86">
        <f>SUMPRODUCT(SUMIFS(RawTransportationData!$G:$G,RawTransportationData!$A:$A,Compare!$P$2,RawTransportationData!$B:$B,Compare!$D113:$F113))</f>
        <v>805700.84</v>
      </c>
      <c r="R113" s="32">
        <f t="shared" si="11"/>
        <v>212.2052359882006</v>
      </c>
      <c r="S113" s="32">
        <f>SUMPRODUCT(SUMIFS(RawTransportationData!$H:$H,RawTransportationData!$A:$A,Compare!$P$1,RawTransportationData!$B:$B,Compare!$D113:$F113))</f>
        <v>0</v>
      </c>
      <c r="T113" s="32">
        <f t="shared" si="12"/>
        <v>805700.84</v>
      </c>
      <c r="U113" s="45"/>
      <c r="V113" s="85">
        <f>SUMPRODUCT(SUMIFS(RawTransportationData!$D:$D,RawTransportationData!$A:$A,Compare!$V$2,RawTransportationData!$B:$B,Compare!$D113:$F113))</f>
        <v>3707.7999999999997</v>
      </c>
      <c r="W113" s="86">
        <f>SUMPRODUCT(SUMIFS(RawTransportationData!$G:$G,RawTransportationData!$A:$A,Compare!$V$2,RawTransportationData!$B:$B,Compare!$D113:$F113))</f>
        <v>696190.98</v>
      </c>
      <c r="X113" s="32">
        <f t="shared" si="13"/>
        <v>187.76389772911162</v>
      </c>
      <c r="Y113" s="32">
        <f>SUMPRODUCT(SUMIFS(RawTransportationData!$H:$H,RawTransportationData!$A:$A,Compare!$V$1,RawTransportationData!$B:$B,Compare!$D113:$F113))</f>
        <v>0</v>
      </c>
      <c r="Z113" s="32">
        <f t="shared" si="14"/>
        <v>696190.98</v>
      </c>
    </row>
    <row r="114" spans="1:26" x14ac:dyDescent="0.55000000000000004">
      <c r="A114">
        <f>FinalPayment!A112</f>
        <v>2021</v>
      </c>
      <c r="B114" t="str">
        <f>FinalPayment!B112</f>
        <v>15</v>
      </c>
      <c r="C114" t="str">
        <f>FinalPayment!C112</f>
        <v>2322</v>
      </c>
      <c r="D114" t="str">
        <f>FinalPayment!D112</f>
        <v/>
      </c>
      <c r="E114" t="str">
        <f>FinalPayment!E112</f>
        <v/>
      </c>
      <c r="F114" t="str">
        <f>FinalPayment!F112</f>
        <v>2322</v>
      </c>
      <c r="G114" s="28" t="str">
        <f>FinalPayment!G112</f>
        <v>Fort Madison</v>
      </c>
      <c r="H114" s="85">
        <f>SUMPRODUCT(SUMIFS(RawTransportationData!$D:$D,RawTransportationData!$A:$A,Compare!$H$2,RawTransportationData!$B:$B,Compare!$D114:$F114))</f>
        <v>2104.6000000000004</v>
      </c>
      <c r="I114" s="86">
        <f>SUMPRODUCT(SUMIFS(RawTransportationData!$G:$G,RawTransportationData!$A:$A,Compare!$H$2,RawTransportationData!$B:$B,Compare!$D114:$F114))</f>
        <v>572542.96</v>
      </c>
      <c r="J114" s="32">
        <f t="shared" si="15"/>
        <v>272.0435997339161</v>
      </c>
      <c r="K114" s="32">
        <f>SUMPRODUCT(SUMIFS(RawTransportationData!$H:$H,RawTransportationData!$A:$A,Compare!$E$1,RawTransportationData!$B:$B,Compare!$D114:$F114))</f>
        <v>1723</v>
      </c>
      <c r="L114" s="32">
        <f t="shared" si="8"/>
        <v>570819.96</v>
      </c>
      <c r="M114" s="70">
        <f t="shared" si="9"/>
        <v>6.1326055641302862E-2</v>
      </c>
      <c r="N114" s="70">
        <f t="shared" si="10"/>
        <v>4.1309670745126668E-2</v>
      </c>
      <c r="O114" s="45"/>
      <c r="P114" s="85">
        <f>SUMPRODUCT(SUMIFS(RawTransportationData!$D:$D,RawTransportationData!$A:$A,Compare!$P$2,RawTransportationData!$B:$B,Compare!$D114:$F114))</f>
        <v>2142</v>
      </c>
      <c r="Q114" s="86">
        <f>SUMPRODUCT(SUMIFS(RawTransportationData!$G:$G,RawTransportationData!$A:$A,Compare!$P$2,RawTransportationData!$B:$B,Compare!$D114:$F114))</f>
        <v>611433.98</v>
      </c>
      <c r="R114" s="32">
        <f t="shared" si="11"/>
        <v>285.45003734827264</v>
      </c>
      <c r="S114" s="32">
        <f>SUMPRODUCT(SUMIFS(RawTransportationData!$H:$H,RawTransportationData!$A:$A,Compare!$P$1,RawTransportationData!$B:$B,Compare!$D114:$F114))</f>
        <v>0</v>
      </c>
      <c r="T114" s="32">
        <f t="shared" si="12"/>
        <v>611433.98</v>
      </c>
      <c r="U114" s="45"/>
      <c r="V114" s="85">
        <f>SUMPRODUCT(SUMIFS(RawTransportationData!$D:$D,RawTransportationData!$A:$A,Compare!$V$2,RawTransportationData!$B:$B,Compare!$D114:$F114))</f>
        <v>2138.6</v>
      </c>
      <c r="W114" s="86">
        <f>SUMPRODUCT(SUMIFS(RawTransportationData!$G:$G,RawTransportationData!$A:$A,Compare!$V$2,RawTransportationData!$B:$B,Compare!$D114:$F114))</f>
        <v>548175.03</v>
      </c>
      <c r="X114" s="32">
        <f t="shared" si="13"/>
        <v>256.32424483306841</v>
      </c>
      <c r="Y114" s="32">
        <f>SUMPRODUCT(SUMIFS(RawTransportationData!$H:$H,RawTransportationData!$A:$A,Compare!$V$1,RawTransportationData!$B:$B,Compare!$D114:$F114))</f>
        <v>0</v>
      </c>
      <c r="Z114" s="32">
        <f t="shared" si="14"/>
        <v>548175.03</v>
      </c>
    </row>
    <row r="115" spans="1:26" x14ac:dyDescent="0.55000000000000004">
      <c r="A115">
        <f>FinalPayment!A113</f>
        <v>2021</v>
      </c>
      <c r="B115" t="str">
        <f>FinalPayment!B113</f>
        <v>13</v>
      </c>
      <c r="C115" t="str">
        <f>FinalPayment!C113</f>
        <v>2369</v>
      </c>
      <c r="D115" t="str">
        <f>FinalPayment!D113</f>
        <v/>
      </c>
      <c r="E115" t="str">
        <f>FinalPayment!E113</f>
        <v/>
      </c>
      <c r="F115" t="str">
        <f>FinalPayment!F113</f>
        <v>2369</v>
      </c>
      <c r="G115" s="28" t="str">
        <f>FinalPayment!G113</f>
        <v>Fremont-Mills</v>
      </c>
      <c r="H115" s="85">
        <f>SUMPRODUCT(SUMIFS(RawTransportationData!$D:$D,RawTransportationData!$A:$A,Compare!$H$2,RawTransportationData!$B:$B,Compare!$D115:$F115))</f>
        <v>471.3</v>
      </c>
      <c r="I115" s="86">
        <f>SUMPRODUCT(SUMIFS(RawTransportationData!$G:$G,RawTransportationData!$A:$A,Compare!$H$2,RawTransportationData!$B:$B,Compare!$D115:$F115))</f>
        <v>188695.27</v>
      </c>
      <c r="J115" s="32">
        <f t="shared" si="15"/>
        <v>400.37188627201357</v>
      </c>
      <c r="K115" s="32">
        <f>SUMPRODUCT(SUMIFS(RawTransportationData!$H:$H,RawTransportationData!$A:$A,Compare!$E$1,RawTransportationData!$B:$B,Compare!$D115:$F115))</f>
        <v>25233</v>
      </c>
      <c r="L115" s="32">
        <f t="shared" si="8"/>
        <v>163462.26999999999</v>
      </c>
      <c r="M115" s="70">
        <f t="shared" si="9"/>
        <v>9.042549113331097E-2</v>
      </c>
      <c r="N115" s="70">
        <f t="shared" si="10"/>
        <v>-2.3695919606124907E-2</v>
      </c>
      <c r="O115" s="45"/>
      <c r="P115" s="85">
        <f>SUMPRODUCT(SUMIFS(RawTransportationData!$D:$D,RawTransportationData!$A:$A,Compare!$P$2,RawTransportationData!$B:$B,Compare!$D115:$F115))</f>
        <v>452</v>
      </c>
      <c r="Q115" s="86">
        <f>SUMPRODUCT(SUMIFS(RawTransportationData!$G:$G,RawTransportationData!$A:$A,Compare!$P$2,RawTransportationData!$B:$B,Compare!$D115:$F115))</f>
        <v>182044.5</v>
      </c>
      <c r="R115" s="32">
        <f t="shared" si="11"/>
        <v>402.75331858407077</v>
      </c>
      <c r="S115" s="32">
        <f>SUMPRODUCT(SUMIFS(RawTransportationData!$H:$H,RawTransportationData!$A:$A,Compare!$P$1,RawTransportationData!$B:$B,Compare!$D115:$F115))</f>
        <v>9800</v>
      </c>
      <c r="T115" s="32">
        <f t="shared" si="12"/>
        <v>172244.5</v>
      </c>
      <c r="U115" s="45"/>
      <c r="V115" s="85">
        <f>SUMPRODUCT(SUMIFS(RawTransportationData!$D:$D,RawTransportationData!$A:$A,Compare!$V$2,RawTransportationData!$B:$B,Compare!$D115:$F115))</f>
        <v>456</v>
      </c>
      <c r="W115" s="86">
        <f>SUMPRODUCT(SUMIFS(RawTransportationData!$G:$G,RawTransportationData!$A:$A,Compare!$V$2,RawTransportationData!$B:$B,Compare!$D115:$F115))</f>
        <v>167429.67000000001</v>
      </c>
      <c r="X115" s="32">
        <f t="shared" si="13"/>
        <v>367.17032894736843</v>
      </c>
      <c r="Y115" s="32">
        <f>SUMPRODUCT(SUMIFS(RawTransportationData!$H:$H,RawTransportationData!$A:$A,Compare!$V$1,RawTransportationData!$B:$B,Compare!$D115:$F115))</f>
        <v>0</v>
      </c>
      <c r="Z115" s="32">
        <f t="shared" si="14"/>
        <v>167429.67000000001</v>
      </c>
    </row>
    <row r="116" spans="1:26" x14ac:dyDescent="0.55000000000000004">
      <c r="A116">
        <f>FinalPayment!A114</f>
        <v>2021</v>
      </c>
      <c r="B116" t="str">
        <f>FinalPayment!B114</f>
        <v>12</v>
      </c>
      <c r="C116" t="str">
        <f>FinalPayment!C114</f>
        <v>2376</v>
      </c>
      <c r="D116" t="str">
        <f>FinalPayment!D114</f>
        <v/>
      </c>
      <c r="E116" t="str">
        <f>FinalPayment!E114</f>
        <v/>
      </c>
      <c r="F116" t="str">
        <f>FinalPayment!F114</f>
        <v>2376</v>
      </c>
      <c r="G116" s="28" t="str">
        <f>FinalPayment!G114</f>
        <v>Galva-Holstein</v>
      </c>
      <c r="H116" s="85">
        <f>SUMPRODUCT(SUMIFS(RawTransportationData!$D:$D,RawTransportationData!$A:$A,Compare!$H$2,RawTransportationData!$B:$B,Compare!$D116:$F116))</f>
        <v>459</v>
      </c>
      <c r="I116" s="86">
        <f>SUMPRODUCT(SUMIFS(RawTransportationData!$G:$G,RawTransportationData!$A:$A,Compare!$H$2,RawTransportationData!$B:$B,Compare!$D116:$F116))</f>
        <v>279449.11</v>
      </c>
      <c r="J116" s="32">
        <f t="shared" si="15"/>
        <v>608.82159041394334</v>
      </c>
      <c r="K116" s="32">
        <f>SUMPRODUCT(SUMIFS(RawTransportationData!$H:$H,RawTransportationData!$A:$A,Compare!$E$1,RawTransportationData!$B:$B,Compare!$D116:$F116))</f>
        <v>120253</v>
      </c>
      <c r="L116" s="32">
        <f t="shared" si="8"/>
        <v>159196.10999999999</v>
      </c>
      <c r="M116" s="70">
        <f t="shared" si="9"/>
        <v>5.9044539675013573E-2</v>
      </c>
      <c r="N116" s="70">
        <f t="shared" si="10"/>
        <v>-0.10185541346746554</v>
      </c>
      <c r="O116" s="45"/>
      <c r="P116" s="85">
        <f>SUMPRODUCT(SUMIFS(RawTransportationData!$D:$D,RawTransportationData!$A:$A,Compare!$P$2,RawTransportationData!$B:$B,Compare!$D116:$F116))</f>
        <v>444</v>
      </c>
      <c r="Q116" s="86">
        <f>SUMPRODUCT(SUMIFS(RawTransportationData!$G:$G,RawTransportationData!$A:$A,Compare!$P$2,RawTransportationData!$B:$B,Compare!$D116:$F116))</f>
        <v>318591.5</v>
      </c>
      <c r="R116" s="32">
        <f t="shared" si="11"/>
        <v>717.5484234234234</v>
      </c>
      <c r="S116" s="32">
        <f>SUMPRODUCT(SUMIFS(RawTransportationData!$H:$H,RawTransportationData!$A:$A,Compare!$P$1,RawTransportationData!$B:$B,Compare!$D116:$F116))</f>
        <v>149398</v>
      </c>
      <c r="T116" s="32">
        <f t="shared" si="12"/>
        <v>169193.5</v>
      </c>
      <c r="U116" s="45"/>
      <c r="V116" s="85">
        <f>SUMPRODUCT(SUMIFS(RawTransportationData!$D:$D,RawTransportationData!$A:$A,Compare!$V$2,RawTransportationData!$B:$B,Compare!$D116:$F116))</f>
        <v>427</v>
      </c>
      <c r="W116" s="86">
        <f>SUMPRODUCT(SUMIFS(RawTransportationData!$G:$G,RawTransportationData!$A:$A,Compare!$V$2,RawTransportationData!$B:$B,Compare!$D116:$F116))</f>
        <v>245472.97999999998</v>
      </c>
      <c r="X116" s="32">
        <f t="shared" si="13"/>
        <v>574.87817330210771</v>
      </c>
      <c r="Y116" s="32">
        <f>SUMPRODUCT(SUMIFS(RawTransportationData!$H:$H,RawTransportationData!$A:$A,Compare!$V$1,RawTransportationData!$B:$B,Compare!$D116:$F116))</f>
        <v>68223</v>
      </c>
      <c r="Z116" s="32">
        <f t="shared" si="14"/>
        <v>177249.97999999998</v>
      </c>
    </row>
    <row r="117" spans="1:26" x14ac:dyDescent="0.55000000000000004">
      <c r="A117">
        <f>FinalPayment!A115</f>
        <v>2021</v>
      </c>
      <c r="B117" t="str">
        <f>FinalPayment!B115</f>
        <v>07</v>
      </c>
      <c r="C117" t="str">
        <f>FinalPayment!C115</f>
        <v>2403</v>
      </c>
      <c r="D117" t="str">
        <f>FinalPayment!D115</f>
        <v/>
      </c>
      <c r="E117" t="str">
        <f>FinalPayment!E115</f>
        <v/>
      </c>
      <c r="F117" t="str">
        <f>FinalPayment!F115</f>
        <v>2403</v>
      </c>
      <c r="G117" s="28" t="str">
        <f>FinalPayment!G115</f>
        <v>Garner-Hayfield-Ventura</v>
      </c>
      <c r="H117" s="85">
        <f>SUMPRODUCT(SUMIFS(RawTransportationData!$D:$D,RawTransportationData!$A:$A,Compare!$H$2,RawTransportationData!$B:$B,Compare!$D117:$F117))</f>
        <v>899.6</v>
      </c>
      <c r="I117" s="86">
        <f>SUMPRODUCT(SUMIFS(RawTransportationData!$G:$G,RawTransportationData!$A:$A,Compare!$H$2,RawTransportationData!$B:$B,Compare!$D117:$F117))</f>
        <v>431334.73000000004</v>
      </c>
      <c r="J117" s="32">
        <f t="shared" si="15"/>
        <v>479.47391062694533</v>
      </c>
      <c r="K117" s="32">
        <f>SUMPRODUCT(SUMIFS(RawTransportationData!$H:$H,RawTransportationData!$A:$A,Compare!$E$1,RawTransportationData!$B:$B,Compare!$D117:$F117))</f>
        <v>119321</v>
      </c>
      <c r="L117" s="32">
        <f t="shared" si="8"/>
        <v>312013.73000000004</v>
      </c>
      <c r="M117" s="70">
        <f t="shared" si="9"/>
        <v>6.7576606629983549E-2</v>
      </c>
      <c r="N117" s="70">
        <f t="shared" si="10"/>
        <v>-0.14508710302277303</v>
      </c>
      <c r="O117" s="45"/>
      <c r="P117" s="85">
        <f>SUMPRODUCT(SUMIFS(RawTransportationData!$D:$D,RawTransportationData!$A:$A,Compare!$P$2,RawTransportationData!$B:$B,Compare!$D117:$F117))</f>
        <v>882.1</v>
      </c>
      <c r="Q117" s="86">
        <f>SUMPRODUCT(SUMIFS(RawTransportationData!$G:$G,RawTransportationData!$A:$A,Compare!$P$2,RawTransportationData!$B:$B,Compare!$D117:$F117))</f>
        <v>427938.33</v>
      </c>
      <c r="R117" s="32">
        <f t="shared" si="11"/>
        <v>485.13584627593247</v>
      </c>
      <c r="S117" s="32">
        <f>SUMPRODUCT(SUMIFS(RawTransportationData!$H:$H,RawTransportationData!$A:$A,Compare!$P$1,RawTransportationData!$B:$B,Compare!$D117:$F117))</f>
        <v>91802</v>
      </c>
      <c r="T117" s="32">
        <f t="shared" si="12"/>
        <v>336136.33</v>
      </c>
      <c r="U117" s="45"/>
      <c r="V117" s="85">
        <f>SUMPRODUCT(SUMIFS(RawTransportationData!$D:$D,RawTransportationData!$A:$A,Compare!$V$2,RawTransportationData!$B:$B,Compare!$D117:$F117))</f>
        <v>879.2</v>
      </c>
      <c r="W117" s="86">
        <f>SUMPRODUCT(SUMIFS(RawTransportationData!$G:$G,RawTransportationData!$A:$A,Compare!$V$2,RawTransportationData!$B:$B,Compare!$D117:$F117))</f>
        <v>394869.51999999996</v>
      </c>
      <c r="X117" s="32">
        <f t="shared" si="13"/>
        <v>449.12365787079153</v>
      </c>
      <c r="Y117" s="32">
        <f>SUMPRODUCT(SUMIFS(RawTransportationData!$H:$H,RawTransportationData!$A:$A,Compare!$V$1,RawTransportationData!$B:$B,Compare!$D117:$F117))</f>
        <v>29904</v>
      </c>
      <c r="Z117" s="32">
        <f t="shared" si="14"/>
        <v>364965.51999999996</v>
      </c>
    </row>
    <row r="118" spans="1:26" x14ac:dyDescent="0.55000000000000004">
      <c r="A118">
        <f>FinalPayment!A116</f>
        <v>2021</v>
      </c>
      <c r="B118" t="str">
        <f>FinalPayment!B116</f>
        <v>12</v>
      </c>
      <c r="C118" t="str">
        <f>FinalPayment!C116</f>
        <v>2457</v>
      </c>
      <c r="D118" t="str">
        <f>FinalPayment!D116</f>
        <v/>
      </c>
      <c r="E118" t="str">
        <f>FinalPayment!E116</f>
        <v/>
      </c>
      <c r="F118" t="str">
        <f>FinalPayment!F116</f>
        <v>2457</v>
      </c>
      <c r="G118" s="28" t="str">
        <f>FinalPayment!G116</f>
        <v>George-Little Rock</v>
      </c>
      <c r="H118" s="85">
        <f>SUMPRODUCT(SUMIFS(RawTransportationData!$D:$D,RawTransportationData!$A:$A,Compare!$H$2,RawTransportationData!$B:$B,Compare!$D118:$F118))</f>
        <v>432.1</v>
      </c>
      <c r="I118" s="86">
        <f>SUMPRODUCT(SUMIFS(RawTransportationData!$G:$G,RawTransportationData!$A:$A,Compare!$H$2,RawTransportationData!$B:$B,Compare!$D118:$F118))</f>
        <v>256513.44</v>
      </c>
      <c r="J118" s="32">
        <f t="shared" si="15"/>
        <v>593.64369358944691</v>
      </c>
      <c r="K118" s="32">
        <f>SUMPRODUCT(SUMIFS(RawTransportationData!$H:$H,RawTransportationData!$A:$A,Compare!$E$1,RawTransportationData!$B:$B,Compare!$D118:$F118))</f>
        <v>106646</v>
      </c>
      <c r="L118" s="32">
        <f t="shared" si="8"/>
        <v>149867.44</v>
      </c>
      <c r="M118" s="70">
        <f t="shared" si="9"/>
        <v>0.19144607910100564</v>
      </c>
      <c r="N118" s="70">
        <f t="shared" si="10"/>
        <v>-0.21344267123567343</v>
      </c>
      <c r="O118" s="45"/>
      <c r="P118" s="85">
        <f>SUMPRODUCT(SUMIFS(RawTransportationData!$D:$D,RawTransportationData!$A:$A,Compare!$P$2,RawTransportationData!$B:$B,Compare!$D118:$F118))</f>
        <v>426.2</v>
      </c>
      <c r="Q118" s="86">
        <f>SUMPRODUCT(SUMIFS(RawTransportationData!$G:$G,RawTransportationData!$A:$A,Compare!$P$2,RawTransportationData!$B:$B,Compare!$D118:$F118))</f>
        <v>252379.1</v>
      </c>
      <c r="R118" s="32">
        <f t="shared" si="11"/>
        <v>592.161191928672</v>
      </c>
      <c r="S118" s="32">
        <f>SUMPRODUCT(SUMIFS(RawTransportationData!$H:$H,RawTransportationData!$A:$A,Compare!$P$1,RawTransportationData!$B:$B,Compare!$D118:$F118))</f>
        <v>89967</v>
      </c>
      <c r="T118" s="32">
        <f t="shared" si="12"/>
        <v>162412.1</v>
      </c>
      <c r="U118" s="45"/>
      <c r="V118" s="85">
        <f>SUMPRODUCT(SUMIFS(RawTransportationData!$D:$D,RawTransportationData!$A:$A,Compare!$V$2,RawTransportationData!$B:$B,Compare!$D118:$F118))</f>
        <v>459</v>
      </c>
      <c r="W118" s="86">
        <f>SUMPRODUCT(SUMIFS(RawTransportationData!$G:$G,RawTransportationData!$A:$A,Compare!$V$2,RawTransportationData!$B:$B,Compare!$D118:$F118))</f>
        <v>228698.94</v>
      </c>
      <c r="X118" s="32">
        <f t="shared" si="13"/>
        <v>498.25477124183004</v>
      </c>
      <c r="Y118" s="32">
        <f>SUMPRODUCT(SUMIFS(RawTransportationData!$H:$H,RawTransportationData!$A:$A,Compare!$V$1,RawTransportationData!$B:$B,Compare!$D118:$F118))</f>
        <v>38163</v>
      </c>
      <c r="Z118" s="32">
        <f t="shared" si="14"/>
        <v>190535.94</v>
      </c>
    </row>
    <row r="119" spans="1:26" x14ac:dyDescent="0.55000000000000004">
      <c r="A119">
        <f>FinalPayment!A117</f>
        <v>2021</v>
      </c>
      <c r="B119" t="str">
        <f>FinalPayment!B117</f>
        <v>11</v>
      </c>
      <c r="C119" t="str">
        <f>FinalPayment!C117</f>
        <v>2466</v>
      </c>
      <c r="D119" t="str">
        <f>FinalPayment!D117</f>
        <v/>
      </c>
      <c r="E119" t="str">
        <f>FinalPayment!E117</f>
        <v/>
      </c>
      <c r="F119" t="str">
        <f>FinalPayment!F117</f>
        <v>2466</v>
      </c>
      <c r="G119" s="28" t="str">
        <f>FinalPayment!G117</f>
        <v>Gilbert</v>
      </c>
      <c r="H119" s="85">
        <f>SUMPRODUCT(SUMIFS(RawTransportationData!$D:$D,RawTransportationData!$A:$A,Compare!$H$2,RawTransportationData!$B:$B,Compare!$D119:$F119))</f>
        <v>1532.3</v>
      </c>
      <c r="I119" s="86">
        <f>SUMPRODUCT(SUMIFS(RawTransportationData!$G:$G,RawTransportationData!$A:$A,Compare!$H$2,RawTransportationData!$B:$B,Compare!$D119:$F119))</f>
        <v>430420.91000000003</v>
      </c>
      <c r="J119" s="32">
        <f t="shared" si="15"/>
        <v>280.89859035436928</v>
      </c>
      <c r="K119" s="32">
        <f>SUMPRODUCT(SUMIFS(RawTransportationData!$H:$H,RawTransportationData!$A:$A,Compare!$E$1,RawTransportationData!$B:$B,Compare!$D119:$F119))</f>
        <v>1254</v>
      </c>
      <c r="L119" s="32">
        <f t="shared" si="8"/>
        <v>429166.91000000003</v>
      </c>
      <c r="M119" s="70">
        <f t="shared" si="9"/>
        <v>0.1181470115323021</v>
      </c>
      <c r="N119" s="70">
        <f t="shared" si="10"/>
        <v>0.19867035087914819</v>
      </c>
      <c r="O119" s="45"/>
      <c r="P119" s="85">
        <f>SUMPRODUCT(SUMIFS(RawTransportationData!$D:$D,RawTransportationData!$A:$A,Compare!$P$2,RawTransportationData!$B:$B,Compare!$D119:$F119))</f>
        <v>1490.7</v>
      </c>
      <c r="Q119" s="86">
        <f>SUMPRODUCT(SUMIFS(RawTransportationData!$G:$G,RawTransportationData!$A:$A,Compare!$P$2,RawTransportationData!$B:$B,Compare!$D119:$F119))</f>
        <v>406163.39</v>
      </c>
      <c r="R119" s="32">
        <f t="shared" si="11"/>
        <v>272.4648755618166</v>
      </c>
      <c r="S119" s="32">
        <f>SUMPRODUCT(SUMIFS(RawTransportationData!$H:$H,RawTransportationData!$A:$A,Compare!$P$1,RawTransportationData!$B:$B,Compare!$D119:$F119))</f>
        <v>0</v>
      </c>
      <c r="T119" s="32">
        <f t="shared" si="12"/>
        <v>406163.39</v>
      </c>
      <c r="U119" s="45"/>
      <c r="V119" s="85">
        <f>SUMPRODUCT(SUMIFS(RawTransportationData!$D:$D,RawTransportationData!$A:$A,Compare!$V$2,RawTransportationData!$B:$B,Compare!$D119:$F119))</f>
        <v>1425.2</v>
      </c>
      <c r="W119" s="86">
        <f>SUMPRODUCT(SUMIFS(RawTransportationData!$G:$G,RawTransportationData!$A:$A,Compare!$V$2,RawTransportationData!$B:$B,Compare!$D119:$F119))</f>
        <v>358035.81</v>
      </c>
      <c r="X119" s="32">
        <f t="shared" si="13"/>
        <v>251.21794134156607</v>
      </c>
      <c r="Y119" s="32">
        <f>SUMPRODUCT(SUMIFS(RawTransportationData!$H:$H,RawTransportationData!$A:$A,Compare!$V$1,RawTransportationData!$B:$B,Compare!$D119:$F119))</f>
        <v>0</v>
      </c>
      <c r="Z119" s="32">
        <f t="shared" si="14"/>
        <v>358035.81</v>
      </c>
    </row>
    <row r="120" spans="1:26" x14ac:dyDescent="0.55000000000000004">
      <c r="A120">
        <f>FinalPayment!A118</f>
        <v>2021</v>
      </c>
      <c r="B120" t="str">
        <f>FinalPayment!B118</f>
        <v>05</v>
      </c>
      <c r="C120" t="str">
        <f>FinalPayment!C118</f>
        <v>2493</v>
      </c>
      <c r="D120" t="str">
        <f>FinalPayment!D118</f>
        <v/>
      </c>
      <c r="E120" t="str">
        <f>FinalPayment!E118</f>
        <v/>
      </c>
      <c r="F120" t="str">
        <f>FinalPayment!F118</f>
        <v>2493</v>
      </c>
      <c r="G120" s="28" t="str">
        <f>FinalPayment!G118</f>
        <v>Gilmore City-Bradgate</v>
      </c>
      <c r="H120" s="85">
        <f>SUMPRODUCT(SUMIFS(RawTransportationData!$D:$D,RawTransportationData!$A:$A,Compare!$H$2,RawTransportationData!$B:$B,Compare!$D120:$F120))</f>
        <v>161</v>
      </c>
      <c r="I120" s="86">
        <f>SUMPRODUCT(SUMIFS(RawTransportationData!$G:$G,RawTransportationData!$A:$A,Compare!$H$2,RawTransportationData!$B:$B,Compare!$D120:$F120))</f>
        <v>78902.45</v>
      </c>
      <c r="J120" s="32">
        <f t="shared" si="15"/>
        <v>490.07732919254659</v>
      </c>
      <c r="K120" s="32">
        <f>SUMPRODUCT(SUMIFS(RawTransportationData!$H:$H,RawTransportationData!$A:$A,Compare!$E$1,RawTransportationData!$B:$B,Compare!$D120:$F120))</f>
        <v>23063</v>
      </c>
      <c r="L120" s="32">
        <f t="shared" si="8"/>
        <v>55839.45</v>
      </c>
      <c r="M120" s="70">
        <f t="shared" si="9"/>
        <v>-0.37691625829565656</v>
      </c>
      <c r="N120" s="70">
        <f t="shared" si="10"/>
        <v>0.13999566372736508</v>
      </c>
      <c r="O120" s="45"/>
      <c r="P120" s="85">
        <f>SUMPRODUCT(SUMIFS(RawTransportationData!$D:$D,RawTransportationData!$A:$A,Compare!$P$2,RawTransportationData!$B:$B,Compare!$D120:$F120))</f>
        <v>146</v>
      </c>
      <c r="Q120" s="86">
        <f>SUMPRODUCT(SUMIFS(RawTransportationData!$G:$G,RawTransportationData!$A:$A,Compare!$P$2,RawTransportationData!$B:$B,Compare!$D120:$F120))</f>
        <v>92934.23</v>
      </c>
      <c r="R120" s="32">
        <f t="shared" si="11"/>
        <v>636.53582191780822</v>
      </c>
      <c r="S120" s="32">
        <f>SUMPRODUCT(SUMIFS(RawTransportationData!$H:$H,RawTransportationData!$A:$A,Compare!$P$1,RawTransportationData!$B:$B,Compare!$D120:$F120))</f>
        <v>37299</v>
      </c>
      <c r="T120" s="32">
        <f t="shared" si="12"/>
        <v>55635.229999999996</v>
      </c>
      <c r="U120" s="45"/>
      <c r="V120" s="85">
        <f>SUMPRODUCT(SUMIFS(RawTransportationData!$D:$D,RawTransportationData!$A:$A,Compare!$V$2,RawTransportationData!$B:$B,Compare!$D120:$F120))</f>
        <v>118</v>
      </c>
      <c r="W120" s="86">
        <f>SUMPRODUCT(SUMIFS(RawTransportationData!$G:$G,RawTransportationData!$A:$A,Compare!$V$2,RawTransportationData!$B:$B,Compare!$D120:$F120))</f>
        <v>92811.16</v>
      </c>
      <c r="X120" s="32">
        <f t="shared" si="13"/>
        <v>786.5352542372882</v>
      </c>
      <c r="Y120" s="32">
        <f>SUMPRODUCT(SUMIFS(RawTransportationData!$H:$H,RawTransportationData!$A:$A,Compare!$V$1,RawTransportationData!$B:$B,Compare!$D120:$F120))</f>
        <v>43829</v>
      </c>
      <c r="Z120" s="32">
        <f t="shared" si="14"/>
        <v>48982.16</v>
      </c>
    </row>
    <row r="121" spans="1:26" x14ac:dyDescent="0.55000000000000004">
      <c r="A121">
        <f>FinalPayment!A119</f>
        <v>2021</v>
      </c>
      <c r="B121" t="str">
        <f>FinalPayment!B119</f>
        <v>07</v>
      </c>
      <c r="C121" t="str">
        <f>FinalPayment!C119</f>
        <v>2502</v>
      </c>
      <c r="D121" t="str">
        <f>FinalPayment!D119</f>
        <v/>
      </c>
      <c r="E121" t="str">
        <f>FinalPayment!E119</f>
        <v/>
      </c>
      <c r="F121" t="str">
        <f>FinalPayment!F119</f>
        <v>2502</v>
      </c>
      <c r="G121" s="28" t="str">
        <f>FinalPayment!G119</f>
        <v>Gladbrook-Reinbeck</v>
      </c>
      <c r="H121" s="85">
        <f>SUMPRODUCT(SUMIFS(RawTransportationData!$D:$D,RawTransportationData!$A:$A,Compare!$H$2,RawTransportationData!$B:$B,Compare!$D121:$F121))</f>
        <v>590.4</v>
      </c>
      <c r="I121" s="86">
        <f>SUMPRODUCT(SUMIFS(RawTransportationData!$G:$G,RawTransportationData!$A:$A,Compare!$H$2,RawTransportationData!$B:$B,Compare!$D121:$F121))</f>
        <v>247203.31</v>
      </c>
      <c r="J121" s="32">
        <f t="shared" si="15"/>
        <v>418.7047933604336</v>
      </c>
      <c r="K121" s="32">
        <f>SUMPRODUCT(SUMIFS(RawTransportationData!$H:$H,RawTransportationData!$A:$A,Compare!$E$1,RawTransportationData!$B:$B,Compare!$D121:$F121))</f>
        <v>42431</v>
      </c>
      <c r="L121" s="32">
        <f t="shared" si="8"/>
        <v>204772.31</v>
      </c>
      <c r="M121" s="70">
        <f t="shared" si="9"/>
        <v>-5.5481669686505905E-2</v>
      </c>
      <c r="N121" s="70">
        <f t="shared" si="10"/>
        <v>-0.13364928384611549</v>
      </c>
      <c r="O121" s="45"/>
      <c r="P121" s="85">
        <f>SUMPRODUCT(SUMIFS(RawTransportationData!$D:$D,RawTransportationData!$A:$A,Compare!$P$2,RawTransportationData!$B:$B,Compare!$D121:$F121))</f>
        <v>584.70000000000005</v>
      </c>
      <c r="Q121" s="86">
        <f>SUMPRODUCT(SUMIFS(RawTransportationData!$G:$G,RawTransportationData!$A:$A,Compare!$P$2,RawTransportationData!$B:$B,Compare!$D121:$F121))</f>
        <v>246554.84</v>
      </c>
      <c r="R121" s="32">
        <f t="shared" si="11"/>
        <v>421.67750983410292</v>
      </c>
      <c r="S121" s="32">
        <f>SUMPRODUCT(SUMIFS(RawTransportationData!$H:$H,RawTransportationData!$A:$A,Compare!$P$1,RawTransportationData!$B:$B,Compare!$D121:$F121))</f>
        <v>23746</v>
      </c>
      <c r="T121" s="32">
        <f t="shared" si="12"/>
        <v>222808.84</v>
      </c>
      <c r="U121" s="45"/>
      <c r="V121" s="85">
        <f>SUMPRODUCT(SUMIFS(RawTransportationData!$D:$D,RawTransportationData!$A:$A,Compare!$V$2,RawTransportationData!$B:$B,Compare!$D121:$F121))</f>
        <v>569.4</v>
      </c>
      <c r="W121" s="86">
        <f>SUMPRODUCT(SUMIFS(RawTransportationData!$G:$G,RawTransportationData!$A:$A,Compare!$V$2,RawTransportationData!$B:$B,Compare!$D121:$F121))</f>
        <v>252414.91</v>
      </c>
      <c r="X121" s="32">
        <f t="shared" si="13"/>
        <v>443.29980681419039</v>
      </c>
      <c r="Y121" s="32">
        <f>SUMPRODUCT(SUMIFS(RawTransportationData!$H:$H,RawTransportationData!$A:$A,Compare!$V$1,RawTransportationData!$B:$B,Compare!$D121:$F121))</f>
        <v>16053</v>
      </c>
      <c r="Z121" s="32">
        <f t="shared" si="14"/>
        <v>236361.91</v>
      </c>
    </row>
    <row r="122" spans="1:26" x14ac:dyDescent="0.55000000000000004">
      <c r="A122">
        <f>FinalPayment!A120</f>
        <v>2021</v>
      </c>
      <c r="B122" t="str">
        <f>FinalPayment!B120</f>
        <v>13</v>
      </c>
      <c r="C122" t="str">
        <f>FinalPayment!C120</f>
        <v>2511</v>
      </c>
      <c r="D122" t="str">
        <f>FinalPayment!D120</f>
        <v/>
      </c>
      <c r="E122" t="str">
        <f>FinalPayment!E120</f>
        <v/>
      </c>
      <c r="F122" t="str">
        <f>FinalPayment!F120</f>
        <v>2511</v>
      </c>
      <c r="G122" s="28" t="str">
        <f>FinalPayment!G120</f>
        <v>Glenwood</v>
      </c>
      <c r="H122" s="85">
        <f>SUMPRODUCT(SUMIFS(RawTransportationData!$D:$D,RawTransportationData!$A:$A,Compare!$H$2,RawTransportationData!$B:$B,Compare!$D122:$F122))</f>
        <v>2007.5</v>
      </c>
      <c r="I122" s="86">
        <f>SUMPRODUCT(SUMIFS(RawTransportationData!$G:$G,RawTransportationData!$A:$A,Compare!$H$2,RawTransportationData!$B:$B,Compare!$D122:$F122))</f>
        <v>686522.28</v>
      </c>
      <c r="J122" s="32">
        <f t="shared" si="15"/>
        <v>341.97871980074723</v>
      </c>
      <c r="K122" s="32">
        <f>SUMPRODUCT(SUMIFS(RawTransportationData!$H:$H,RawTransportationData!$A:$A,Compare!$E$1,RawTransportationData!$B:$B,Compare!$D122:$F122))</f>
        <v>1643</v>
      </c>
      <c r="L122" s="32">
        <f t="shared" si="8"/>
        <v>684879.28</v>
      </c>
      <c r="M122" s="70">
        <f t="shared" si="9"/>
        <v>0.24450843793225541</v>
      </c>
      <c r="N122" s="70">
        <f t="shared" si="10"/>
        <v>0.27376275470492811</v>
      </c>
      <c r="O122" s="45"/>
      <c r="P122" s="85">
        <f>SUMPRODUCT(SUMIFS(RawTransportationData!$D:$D,RawTransportationData!$A:$A,Compare!$P$2,RawTransportationData!$B:$B,Compare!$D122:$F122))</f>
        <v>1979</v>
      </c>
      <c r="Q122" s="86">
        <f>SUMPRODUCT(SUMIFS(RawTransportationData!$G:$G,RawTransportationData!$A:$A,Compare!$P$2,RawTransportationData!$B:$B,Compare!$D122:$F122))</f>
        <v>592163.98</v>
      </c>
      <c r="R122" s="32">
        <f t="shared" si="11"/>
        <v>299.22384032339562</v>
      </c>
      <c r="S122" s="32">
        <f>SUMPRODUCT(SUMIFS(RawTransportationData!$H:$H,RawTransportationData!$A:$A,Compare!$P$1,RawTransportationData!$B:$B,Compare!$D122:$F122))</f>
        <v>0</v>
      </c>
      <c r="T122" s="32">
        <f t="shared" si="12"/>
        <v>592163.98</v>
      </c>
      <c r="U122" s="45"/>
      <c r="V122" s="85">
        <f>SUMPRODUCT(SUMIFS(RawTransportationData!$D:$D,RawTransportationData!$A:$A,Compare!$V$2,RawTransportationData!$B:$B,Compare!$D122:$F122))</f>
        <v>1956.7</v>
      </c>
      <c r="W122" s="86">
        <f>SUMPRODUCT(SUMIFS(RawTransportationData!$G:$G,RawTransportationData!$A:$A,Compare!$V$2,RawTransportationData!$B:$B,Compare!$D122:$F122))</f>
        <v>537681.98</v>
      </c>
      <c r="X122" s="32">
        <f t="shared" si="13"/>
        <v>274.79019778197983</v>
      </c>
      <c r="Y122" s="32">
        <f>SUMPRODUCT(SUMIFS(RawTransportationData!$H:$H,RawTransportationData!$A:$A,Compare!$V$1,RawTransportationData!$B:$B,Compare!$D122:$F122))</f>
        <v>0</v>
      </c>
      <c r="Z122" s="32">
        <f t="shared" si="14"/>
        <v>537681.98</v>
      </c>
    </row>
    <row r="123" spans="1:26" x14ac:dyDescent="0.55000000000000004">
      <c r="A123">
        <f>FinalPayment!A121</f>
        <v>2021</v>
      </c>
      <c r="B123" t="str">
        <f>FinalPayment!B121</f>
        <v>11</v>
      </c>
      <c r="C123" t="str">
        <f>FinalPayment!C121</f>
        <v>2520</v>
      </c>
      <c r="D123" t="str">
        <f>FinalPayment!D121</f>
        <v/>
      </c>
      <c r="E123" t="str">
        <f>FinalPayment!E121</f>
        <v/>
      </c>
      <c r="F123" t="str">
        <f>FinalPayment!F121</f>
        <v>2520</v>
      </c>
      <c r="G123" s="28" t="str">
        <f>FinalPayment!G121</f>
        <v>Glidden-Ralston</v>
      </c>
      <c r="H123" s="85">
        <f>SUMPRODUCT(SUMIFS(RawTransportationData!$D:$D,RawTransportationData!$A:$A,Compare!$H$2,RawTransportationData!$B:$B,Compare!$D123:$F123))</f>
        <v>275</v>
      </c>
      <c r="I123" s="86">
        <f>SUMPRODUCT(SUMIFS(RawTransportationData!$G:$G,RawTransportationData!$A:$A,Compare!$H$2,RawTransportationData!$B:$B,Compare!$D123:$F123))</f>
        <v>93883.91</v>
      </c>
      <c r="J123" s="32">
        <f t="shared" si="15"/>
        <v>341.39603636363637</v>
      </c>
      <c r="K123" s="32">
        <f>SUMPRODUCT(SUMIFS(RawTransportationData!$H:$H,RawTransportationData!$A:$A,Compare!$E$1,RawTransportationData!$B:$B,Compare!$D123:$F123))</f>
        <v>225</v>
      </c>
      <c r="L123" s="32">
        <f t="shared" si="8"/>
        <v>93658.91</v>
      </c>
      <c r="M123" s="70">
        <f t="shared" si="9"/>
        <v>0.7554688471634371</v>
      </c>
      <c r="N123" s="70">
        <f t="shared" si="10"/>
        <v>0.80305868999311947</v>
      </c>
      <c r="O123" s="45"/>
      <c r="P123" s="85">
        <f>SUMPRODUCT(SUMIFS(RawTransportationData!$D:$D,RawTransportationData!$A:$A,Compare!$P$2,RawTransportationData!$B:$B,Compare!$D123:$F123))</f>
        <v>278</v>
      </c>
      <c r="Q123" s="86">
        <f>SUMPRODUCT(SUMIFS(RawTransportationData!$G:$G,RawTransportationData!$A:$A,Compare!$P$2,RawTransportationData!$B:$B,Compare!$D123:$F123))</f>
        <v>76801.490000000005</v>
      </c>
      <c r="R123" s="32">
        <f t="shared" si="11"/>
        <v>276.26435251798563</v>
      </c>
      <c r="S123" s="32">
        <f>SUMPRODUCT(SUMIFS(RawTransportationData!$H:$H,RawTransportationData!$A:$A,Compare!$P$1,RawTransportationData!$B:$B,Compare!$D123:$F123))</f>
        <v>0</v>
      </c>
      <c r="T123" s="32">
        <f t="shared" si="12"/>
        <v>76801.490000000005</v>
      </c>
      <c r="U123" s="45"/>
      <c r="V123" s="85">
        <f>SUMPRODUCT(SUMIFS(RawTransportationData!$D:$D,RawTransportationData!$A:$A,Compare!$V$2,RawTransportationData!$B:$B,Compare!$D123:$F123))</f>
        <v>267.10000000000002</v>
      </c>
      <c r="W123" s="86">
        <f>SUMPRODUCT(SUMIFS(RawTransportationData!$G:$G,RawTransportationData!$A:$A,Compare!$V$2,RawTransportationData!$B:$B,Compare!$D123:$F123))</f>
        <v>51944.460000000006</v>
      </c>
      <c r="X123" s="32">
        <f t="shared" si="13"/>
        <v>194.47570198427556</v>
      </c>
      <c r="Y123" s="32">
        <f>SUMPRODUCT(SUMIFS(RawTransportationData!$H:$H,RawTransportationData!$A:$A,Compare!$V$1,RawTransportationData!$B:$B,Compare!$D123:$F123))</f>
        <v>0</v>
      </c>
      <c r="Z123" s="32">
        <f t="shared" si="14"/>
        <v>51944.460000000006</v>
      </c>
    </row>
    <row r="124" spans="1:26" x14ac:dyDescent="0.55000000000000004">
      <c r="A124">
        <f>FinalPayment!A122</f>
        <v>2021</v>
      </c>
      <c r="B124" t="str">
        <f>FinalPayment!B122</f>
        <v>07</v>
      </c>
      <c r="C124" t="str">
        <f>FinalPayment!C122</f>
        <v>2682</v>
      </c>
      <c r="D124" t="str">
        <f>FinalPayment!D122</f>
        <v/>
      </c>
      <c r="E124" t="str">
        <f>FinalPayment!E122</f>
        <v/>
      </c>
      <c r="F124" t="str">
        <f>FinalPayment!F122</f>
        <v>2682</v>
      </c>
      <c r="G124" s="28" t="str">
        <f>FinalPayment!G122</f>
        <v>GMG</v>
      </c>
      <c r="H124" s="85">
        <f>SUMPRODUCT(SUMIFS(RawTransportationData!$D:$D,RawTransportationData!$A:$A,Compare!$H$2,RawTransportationData!$B:$B,Compare!$D124:$F124))</f>
        <v>275.60000000000002</v>
      </c>
      <c r="I124" s="86">
        <f>SUMPRODUCT(SUMIFS(RawTransportationData!$G:$G,RawTransportationData!$A:$A,Compare!$H$2,RawTransportationData!$B:$B,Compare!$D124:$F124))</f>
        <v>208931.11</v>
      </c>
      <c r="J124" s="32">
        <f t="shared" si="15"/>
        <v>758.09546444121906</v>
      </c>
      <c r="K124" s="32">
        <f>SUMPRODUCT(SUMIFS(RawTransportationData!$H:$H,RawTransportationData!$A:$A,Compare!$E$1,RawTransportationData!$B:$B,Compare!$D124:$F124))</f>
        <v>113346</v>
      </c>
      <c r="L124" s="32">
        <f t="shared" si="8"/>
        <v>95585.109999999986</v>
      </c>
      <c r="M124" s="70">
        <f t="shared" si="9"/>
        <v>0.69985582447347783</v>
      </c>
      <c r="N124" s="70">
        <f t="shared" si="10"/>
        <v>-0.19850820483150131</v>
      </c>
      <c r="O124" s="45"/>
      <c r="P124" s="85">
        <f>SUMPRODUCT(SUMIFS(RawTransportationData!$D:$D,RawTransportationData!$A:$A,Compare!$P$2,RawTransportationData!$B:$B,Compare!$D124:$F124))</f>
        <v>281.39999999999998</v>
      </c>
      <c r="Q124" s="86">
        <f>SUMPRODUCT(SUMIFS(RawTransportationData!$G:$G,RawTransportationData!$A:$A,Compare!$P$2,RawTransportationData!$B:$B,Compare!$D124:$F124))</f>
        <v>124550.8</v>
      </c>
      <c r="R124" s="32">
        <f t="shared" si="11"/>
        <v>442.61122956645352</v>
      </c>
      <c r="S124" s="32">
        <f>SUMPRODUCT(SUMIFS(RawTransportationData!$H:$H,RawTransportationData!$A:$A,Compare!$P$1,RawTransportationData!$B:$B,Compare!$D124:$F124))</f>
        <v>17318</v>
      </c>
      <c r="T124" s="32">
        <f t="shared" si="12"/>
        <v>107232.8</v>
      </c>
      <c r="U124" s="45"/>
      <c r="V124" s="85">
        <f>SUMPRODUCT(SUMIFS(RawTransportationData!$D:$D,RawTransportationData!$A:$A,Compare!$V$2,RawTransportationData!$B:$B,Compare!$D124:$F124))</f>
        <v>287.3</v>
      </c>
      <c r="W124" s="86">
        <f>SUMPRODUCT(SUMIFS(RawTransportationData!$G:$G,RawTransportationData!$A:$A,Compare!$V$2,RawTransportationData!$B:$B,Compare!$D124:$F124))</f>
        <v>128129</v>
      </c>
      <c r="X124" s="32">
        <f t="shared" si="13"/>
        <v>445.97633136094674</v>
      </c>
      <c r="Y124" s="32">
        <f>SUMPRODUCT(SUMIFS(RawTransportationData!$H:$H,RawTransportationData!$A:$A,Compare!$V$1,RawTransportationData!$B:$B,Compare!$D124:$F124))</f>
        <v>8870</v>
      </c>
      <c r="Z124" s="32">
        <f t="shared" si="14"/>
        <v>119259</v>
      </c>
    </row>
    <row r="125" spans="1:26" x14ac:dyDescent="0.55000000000000004">
      <c r="A125">
        <f>FinalPayment!A123</f>
        <v>2021</v>
      </c>
      <c r="B125" t="str">
        <f>FinalPayment!B123</f>
        <v>05</v>
      </c>
      <c r="C125" t="str">
        <f>FinalPayment!C123</f>
        <v>2556</v>
      </c>
      <c r="D125" t="str">
        <f>FinalPayment!D123</f>
        <v/>
      </c>
      <c r="E125" t="str">
        <f>FinalPayment!E123</f>
        <v/>
      </c>
      <c r="F125" t="str">
        <f>FinalPayment!F123</f>
        <v>2556</v>
      </c>
      <c r="G125" s="28" t="str">
        <f>FinalPayment!G123</f>
        <v>Graettinger-Terril</v>
      </c>
      <c r="H125" s="85">
        <f>SUMPRODUCT(SUMIFS(RawTransportationData!$D:$D,RawTransportationData!$A:$A,Compare!$H$2,RawTransportationData!$B:$B,Compare!$D125:$F125))</f>
        <v>382</v>
      </c>
      <c r="I125" s="86">
        <f>SUMPRODUCT(SUMIFS(RawTransportationData!$G:$G,RawTransportationData!$A:$A,Compare!$H$2,RawTransportationData!$B:$B,Compare!$D125:$F125))</f>
        <v>187635.82</v>
      </c>
      <c r="J125" s="32">
        <f t="shared" si="15"/>
        <v>491.19324607329844</v>
      </c>
      <c r="K125" s="32">
        <f>SUMPRODUCT(SUMIFS(RawTransportationData!$H:$H,RawTransportationData!$A:$A,Compare!$E$1,RawTransportationData!$B:$B,Compare!$D125:$F125))</f>
        <v>55145</v>
      </c>
      <c r="L125" s="32">
        <f t="shared" si="8"/>
        <v>132490.82</v>
      </c>
      <c r="M125" s="70">
        <f t="shared" si="9"/>
        <v>0.15105821604414538</v>
      </c>
      <c r="N125" s="70">
        <f t="shared" si="10"/>
        <v>-0.15114165903014959</v>
      </c>
      <c r="O125" s="45"/>
      <c r="P125" s="85">
        <f>SUMPRODUCT(SUMIFS(RawTransportationData!$D:$D,RawTransportationData!$A:$A,Compare!$P$2,RawTransportationData!$B:$B,Compare!$D125:$F125))</f>
        <v>390</v>
      </c>
      <c r="Q125" s="86">
        <f>SUMPRODUCT(SUMIFS(RawTransportationData!$G:$G,RawTransportationData!$A:$A,Compare!$P$2,RawTransportationData!$B:$B,Compare!$D125:$F125))</f>
        <v>210763.03</v>
      </c>
      <c r="R125" s="32">
        <f t="shared" si="11"/>
        <v>540.41802564102568</v>
      </c>
      <c r="S125" s="32">
        <f>SUMPRODUCT(SUMIFS(RawTransportationData!$H:$H,RawTransportationData!$A:$A,Compare!$P$1,RawTransportationData!$B:$B,Compare!$D125:$F125))</f>
        <v>62147</v>
      </c>
      <c r="T125" s="32">
        <f t="shared" si="12"/>
        <v>148616.03</v>
      </c>
      <c r="U125" s="45"/>
      <c r="V125" s="85">
        <f>SUMPRODUCT(SUMIFS(RawTransportationData!$D:$D,RawTransportationData!$A:$A,Compare!$V$2,RawTransportationData!$B:$B,Compare!$D125:$F125))</f>
        <v>376</v>
      </c>
      <c r="W125" s="86">
        <f>SUMPRODUCT(SUMIFS(RawTransportationData!$G:$G,RawTransportationData!$A:$A,Compare!$V$2,RawTransportationData!$B:$B,Compare!$D125:$F125))</f>
        <v>160451.19</v>
      </c>
      <c r="X125" s="32">
        <f t="shared" si="13"/>
        <v>426.73188829787233</v>
      </c>
      <c r="Y125" s="32">
        <f>SUMPRODUCT(SUMIFS(RawTransportationData!$H:$H,RawTransportationData!$A:$A,Compare!$V$1,RawTransportationData!$B:$B,Compare!$D125:$F125))</f>
        <v>4370</v>
      </c>
      <c r="Z125" s="32">
        <f t="shared" si="14"/>
        <v>156081.19</v>
      </c>
    </row>
    <row r="126" spans="1:26" x14ac:dyDescent="0.55000000000000004">
      <c r="A126">
        <f>FinalPayment!A124</f>
        <v>2021</v>
      </c>
      <c r="B126" t="str">
        <f>FinalPayment!B124</f>
        <v>05</v>
      </c>
      <c r="C126" t="str">
        <f>FinalPayment!C124</f>
        <v>3195</v>
      </c>
      <c r="D126" t="str">
        <f>FinalPayment!D124</f>
        <v/>
      </c>
      <c r="E126" t="str">
        <f>FinalPayment!E124</f>
        <v/>
      </c>
      <c r="F126" t="str">
        <f>FinalPayment!F124</f>
        <v>3195</v>
      </c>
      <c r="G126" s="28" t="str">
        <f>FinalPayment!G124</f>
        <v>Greene County</v>
      </c>
      <c r="H126" s="85">
        <f>SUMPRODUCT(SUMIFS(RawTransportationData!$D:$D,RawTransportationData!$A:$A,Compare!$H$2,RawTransportationData!$B:$B,Compare!$D126:$F126))</f>
        <v>1210.4000000000001</v>
      </c>
      <c r="I126" s="86">
        <f>SUMPRODUCT(SUMIFS(RawTransportationData!$G:$G,RawTransportationData!$A:$A,Compare!$H$2,RawTransportationData!$B:$B,Compare!$D126:$F126))</f>
        <v>682030.71</v>
      </c>
      <c r="J126" s="32">
        <f t="shared" si="15"/>
        <v>563.47547091870445</v>
      </c>
      <c r="K126" s="32">
        <f>SUMPRODUCT(SUMIFS(RawTransportationData!$H:$H,RawTransportationData!$A:$A,Compare!$E$1,RawTransportationData!$B:$B,Compare!$D126:$F126))</f>
        <v>262232</v>
      </c>
      <c r="L126" s="32">
        <f t="shared" si="8"/>
        <v>419798.70999999996</v>
      </c>
      <c r="M126" s="70">
        <f t="shared" si="9"/>
        <v>1.0299658565492552E-2</v>
      </c>
      <c r="N126" s="70">
        <f t="shared" si="10"/>
        <v>-0.18992248510778498</v>
      </c>
      <c r="O126" s="45"/>
      <c r="P126" s="85">
        <f>SUMPRODUCT(SUMIFS(RawTransportationData!$D:$D,RawTransportationData!$A:$A,Compare!$P$2,RawTransportationData!$B:$B,Compare!$D126:$F126))</f>
        <v>1238.9000000000001</v>
      </c>
      <c r="Q126" s="86">
        <f>SUMPRODUCT(SUMIFS(RawTransportationData!$G:$G,RawTransportationData!$A:$A,Compare!$P$2,RawTransportationData!$B:$B,Compare!$D126:$F126))</f>
        <v>720777.74</v>
      </c>
      <c r="R126" s="32">
        <f t="shared" si="11"/>
        <v>581.78847364597618</v>
      </c>
      <c r="S126" s="32">
        <f>SUMPRODUCT(SUMIFS(RawTransportationData!$H:$H,RawTransportationData!$A:$A,Compare!$P$1,RawTransportationData!$B:$B,Compare!$D126:$F126))</f>
        <v>248675</v>
      </c>
      <c r="T126" s="32">
        <f t="shared" si="12"/>
        <v>472102.74</v>
      </c>
      <c r="U126" s="45"/>
      <c r="V126" s="85">
        <f>SUMPRODUCT(SUMIFS(RawTransportationData!$D:$D,RawTransportationData!$A:$A,Compare!$V$2,RawTransportationData!$B:$B,Compare!$D126:$F126))</f>
        <v>1248.4000000000001</v>
      </c>
      <c r="W126" s="86">
        <f>SUMPRODUCT(SUMIFS(RawTransportationData!$G:$G,RawTransportationData!$A:$A,Compare!$V$2,RawTransportationData!$B:$B,Compare!$D126:$F126))</f>
        <v>696271.42</v>
      </c>
      <c r="X126" s="32">
        <f t="shared" si="13"/>
        <v>557.73103172060235</v>
      </c>
      <c r="Y126" s="32">
        <f>SUMPRODUCT(SUMIFS(RawTransportationData!$H:$H,RawTransportationData!$A:$A,Compare!$V$1,RawTransportationData!$B:$B,Compare!$D126:$F126))</f>
        <v>178051</v>
      </c>
      <c r="Z126" s="32">
        <f t="shared" si="14"/>
        <v>518220.42000000004</v>
      </c>
    </row>
    <row r="127" spans="1:26" x14ac:dyDescent="0.55000000000000004">
      <c r="A127">
        <f>FinalPayment!A125</f>
        <v>2021</v>
      </c>
      <c r="B127" t="str">
        <f>FinalPayment!B125</f>
        <v>07</v>
      </c>
      <c r="C127" t="str">
        <f>FinalPayment!C125</f>
        <v>2709</v>
      </c>
      <c r="D127" t="str">
        <f>FinalPayment!D125</f>
        <v/>
      </c>
      <c r="E127" t="str">
        <f>FinalPayment!E125</f>
        <v/>
      </c>
      <c r="F127" t="str">
        <f>FinalPayment!F125</f>
        <v>2709</v>
      </c>
      <c r="G127" s="28" t="str">
        <f>FinalPayment!G125</f>
        <v>Grinnell-Newburg</v>
      </c>
      <c r="H127" s="85">
        <f>SUMPRODUCT(SUMIFS(RawTransportationData!$D:$D,RawTransportationData!$A:$A,Compare!$H$2,RawTransportationData!$B:$B,Compare!$D127:$F127))</f>
        <v>1612.5</v>
      </c>
      <c r="I127" s="86">
        <f>SUMPRODUCT(SUMIFS(RawTransportationData!$G:$G,RawTransportationData!$A:$A,Compare!$H$2,RawTransportationData!$B:$B,Compare!$D127:$F127))</f>
        <v>524264.48</v>
      </c>
      <c r="J127" s="32">
        <f t="shared" si="15"/>
        <v>325.12525891472865</v>
      </c>
      <c r="K127" s="32">
        <f>SUMPRODUCT(SUMIFS(RawTransportationData!$H:$H,RawTransportationData!$A:$A,Compare!$E$1,RawTransportationData!$B:$B,Compare!$D127:$F127))</f>
        <v>1320</v>
      </c>
      <c r="L127" s="32">
        <f t="shared" si="8"/>
        <v>522944.48</v>
      </c>
      <c r="M127" s="70">
        <f t="shared" si="9"/>
        <v>4.5744927752148716E-2</v>
      </c>
      <c r="N127" s="70">
        <f t="shared" si="10"/>
        <v>4.1819757880484788E-2</v>
      </c>
      <c r="O127" s="45"/>
      <c r="P127" s="85">
        <f>SUMPRODUCT(SUMIFS(RawTransportationData!$D:$D,RawTransportationData!$A:$A,Compare!$P$2,RawTransportationData!$B:$B,Compare!$D127:$F127))</f>
        <v>1595.6999999999998</v>
      </c>
      <c r="Q127" s="86">
        <f>SUMPRODUCT(SUMIFS(RawTransportationData!$G:$G,RawTransportationData!$A:$A,Compare!$P$2,RawTransportationData!$B:$B,Compare!$D127:$F127))</f>
        <v>492161.5</v>
      </c>
      <c r="R127" s="32">
        <f t="shared" si="11"/>
        <v>308.42984270226236</v>
      </c>
      <c r="S127" s="32">
        <f>SUMPRODUCT(SUMIFS(RawTransportationData!$H:$H,RawTransportationData!$A:$A,Compare!$P$1,RawTransportationData!$B:$B,Compare!$D127:$F127))</f>
        <v>0</v>
      </c>
      <c r="T127" s="32">
        <f t="shared" si="12"/>
        <v>492161.5</v>
      </c>
      <c r="U127" s="45"/>
      <c r="V127" s="85">
        <f>SUMPRODUCT(SUMIFS(RawTransportationData!$D:$D,RawTransportationData!$A:$A,Compare!$V$2,RawTransportationData!$B:$B,Compare!$D127:$F127))</f>
        <v>1614.5</v>
      </c>
      <c r="W127" s="86">
        <f>SUMPRODUCT(SUMIFS(RawTransportationData!$G:$G,RawTransportationData!$A:$A,Compare!$V$2,RawTransportationData!$B:$B,Compare!$D127:$F127))</f>
        <v>501952.93000000005</v>
      </c>
      <c r="X127" s="32">
        <f t="shared" si="13"/>
        <v>310.90302260761848</v>
      </c>
      <c r="Y127" s="32">
        <f>SUMPRODUCT(SUMIFS(RawTransportationData!$H:$H,RawTransportationData!$A:$A,Compare!$V$1,RawTransportationData!$B:$B,Compare!$D127:$F127))</f>
        <v>0</v>
      </c>
      <c r="Z127" s="32">
        <f t="shared" si="14"/>
        <v>501952.93000000005</v>
      </c>
    </row>
    <row r="128" spans="1:26" x14ac:dyDescent="0.55000000000000004">
      <c r="A128">
        <f>FinalPayment!A126</f>
        <v>2021</v>
      </c>
      <c r="B128" t="str">
        <f>FinalPayment!B126</f>
        <v>13</v>
      </c>
      <c r="C128" t="str">
        <f>FinalPayment!C126</f>
        <v>2718</v>
      </c>
      <c r="D128" t="str">
        <f>FinalPayment!D126</f>
        <v/>
      </c>
      <c r="E128" t="str">
        <f>FinalPayment!E126</f>
        <v/>
      </c>
      <c r="F128" t="str">
        <f>FinalPayment!F126</f>
        <v>2718</v>
      </c>
      <c r="G128" s="28" t="str">
        <f>FinalPayment!G126</f>
        <v>Griswold</v>
      </c>
      <c r="H128" s="85">
        <f>SUMPRODUCT(SUMIFS(RawTransportationData!$D:$D,RawTransportationData!$A:$A,Compare!$H$2,RawTransportationData!$B:$B,Compare!$D128:$F128))</f>
        <v>475.8</v>
      </c>
      <c r="I128" s="86">
        <f>SUMPRODUCT(SUMIFS(RawTransportationData!$G:$G,RawTransportationData!$A:$A,Compare!$H$2,RawTransportationData!$B:$B,Compare!$D128:$F128))</f>
        <v>409091.49</v>
      </c>
      <c r="J128" s="32">
        <f t="shared" si="15"/>
        <v>859.79716267339211</v>
      </c>
      <c r="K128" s="32">
        <f>SUMPRODUCT(SUMIFS(RawTransportationData!$H:$H,RawTransportationData!$A:$A,Compare!$E$1,RawTransportationData!$B:$B,Compare!$D128:$F128))</f>
        <v>244070</v>
      </c>
      <c r="L128" s="32">
        <f t="shared" si="8"/>
        <v>165021.49</v>
      </c>
      <c r="M128" s="70">
        <f t="shared" si="9"/>
        <v>0.33058535840981551</v>
      </c>
      <c r="N128" s="70">
        <f t="shared" si="10"/>
        <v>-0.23046957626312475</v>
      </c>
      <c r="O128" s="45"/>
      <c r="P128" s="85">
        <f>SUMPRODUCT(SUMIFS(RawTransportationData!$D:$D,RawTransportationData!$A:$A,Compare!$P$2,RawTransportationData!$B:$B,Compare!$D128:$F128))</f>
        <v>503.9</v>
      </c>
      <c r="Q128" s="86">
        <f>SUMPRODUCT(SUMIFS(RawTransportationData!$G:$G,RawTransportationData!$A:$A,Compare!$P$2,RawTransportationData!$B:$B,Compare!$D128:$F128))</f>
        <v>354853.42</v>
      </c>
      <c r="R128" s="32">
        <f t="shared" si="11"/>
        <v>704.21397102599724</v>
      </c>
      <c r="S128" s="32">
        <f>SUMPRODUCT(SUMIFS(RawTransportationData!$H:$H,RawTransportationData!$A:$A,Compare!$P$1,RawTransportationData!$B:$B,Compare!$D128:$F128))</f>
        <v>162831</v>
      </c>
      <c r="T128" s="32">
        <f t="shared" si="12"/>
        <v>192022.41999999998</v>
      </c>
      <c r="U128" s="45"/>
      <c r="V128" s="85">
        <f>SUMPRODUCT(SUMIFS(RawTransportationData!$D:$D,RawTransportationData!$A:$A,Compare!$V$2,RawTransportationData!$B:$B,Compare!$D128:$F128))</f>
        <v>516.6</v>
      </c>
      <c r="W128" s="86">
        <f>SUMPRODUCT(SUMIFS(RawTransportationData!$G:$G,RawTransportationData!$A:$A,Compare!$V$2,RawTransportationData!$B:$B,Compare!$D128:$F128))</f>
        <v>333816.40000000002</v>
      </c>
      <c r="X128" s="32">
        <f t="shared" si="13"/>
        <v>646.17963608207515</v>
      </c>
      <c r="Y128" s="32">
        <f>SUMPRODUCT(SUMIFS(RawTransportationData!$H:$H,RawTransportationData!$A:$A,Compare!$V$1,RawTransportationData!$B:$B,Compare!$D128:$F128))</f>
        <v>119372</v>
      </c>
      <c r="Z128" s="32">
        <f t="shared" si="14"/>
        <v>214444.40000000002</v>
      </c>
    </row>
    <row r="129" spans="1:26" x14ac:dyDescent="0.55000000000000004">
      <c r="A129">
        <f>FinalPayment!A127</f>
        <v>2021</v>
      </c>
      <c r="B129" t="str">
        <f>FinalPayment!B127</f>
        <v>07</v>
      </c>
      <c r="C129" t="str">
        <f>FinalPayment!C127</f>
        <v>2727</v>
      </c>
      <c r="D129" t="str">
        <f>FinalPayment!D127</f>
        <v/>
      </c>
      <c r="E129" t="str">
        <f>FinalPayment!E127</f>
        <v/>
      </c>
      <c r="F129" t="str">
        <f>FinalPayment!F127</f>
        <v>2727</v>
      </c>
      <c r="G129" s="28" t="str">
        <f>FinalPayment!G127</f>
        <v>Grundy Center</v>
      </c>
      <c r="H129" s="85">
        <f>SUMPRODUCT(SUMIFS(RawTransportationData!$D:$D,RawTransportationData!$A:$A,Compare!$H$2,RawTransportationData!$B:$B,Compare!$D129:$F129))</f>
        <v>653.1</v>
      </c>
      <c r="I129" s="86">
        <f>SUMPRODUCT(SUMIFS(RawTransportationData!$G:$G,RawTransportationData!$A:$A,Compare!$H$2,RawTransportationData!$B:$B,Compare!$D129:$F129))</f>
        <v>200930.46</v>
      </c>
      <c r="J129" s="32">
        <f t="shared" si="15"/>
        <v>307.65649977032609</v>
      </c>
      <c r="K129" s="32">
        <f>SUMPRODUCT(SUMIFS(RawTransportationData!$H:$H,RawTransportationData!$A:$A,Compare!$E$1,RawTransportationData!$B:$B,Compare!$D129:$F129))</f>
        <v>535</v>
      </c>
      <c r="L129" s="32">
        <f t="shared" si="8"/>
        <v>200395.46</v>
      </c>
      <c r="M129" s="70">
        <f t="shared" si="9"/>
        <v>7.3977258214719691E-2</v>
      </c>
      <c r="N129" s="70">
        <f t="shared" si="10"/>
        <v>6.2334019801845837E-2</v>
      </c>
      <c r="O129" s="45"/>
      <c r="P129" s="85">
        <f>SUMPRODUCT(SUMIFS(RawTransportationData!$D:$D,RawTransportationData!$A:$A,Compare!$P$2,RawTransportationData!$B:$B,Compare!$D129:$F129))</f>
        <v>654.20000000000005</v>
      </c>
      <c r="Q129" s="86">
        <f>SUMPRODUCT(SUMIFS(RawTransportationData!$G:$G,RawTransportationData!$A:$A,Compare!$P$2,RawTransportationData!$B:$B,Compare!$D129:$F129))</f>
        <v>195301.09</v>
      </c>
      <c r="R129" s="32">
        <f t="shared" si="11"/>
        <v>298.53422500764287</v>
      </c>
      <c r="S129" s="32">
        <f>SUMPRODUCT(SUMIFS(RawTransportationData!$H:$H,RawTransportationData!$A:$A,Compare!$P$1,RawTransportationData!$B:$B,Compare!$D129:$F129))</f>
        <v>0</v>
      </c>
      <c r="T129" s="32">
        <f t="shared" si="12"/>
        <v>195301.09</v>
      </c>
      <c r="U129" s="45"/>
      <c r="V129" s="85">
        <f>SUMPRODUCT(SUMIFS(RawTransportationData!$D:$D,RawTransportationData!$A:$A,Compare!$V$2,RawTransportationData!$B:$B,Compare!$D129:$F129))</f>
        <v>658.5</v>
      </c>
      <c r="W129" s="86">
        <f>SUMPRODUCT(SUMIFS(RawTransportationData!$G:$G,RawTransportationData!$A:$A,Compare!$V$2,RawTransportationData!$B:$B,Compare!$D129:$F129))</f>
        <v>188636.96</v>
      </c>
      <c r="X129" s="32">
        <f t="shared" si="13"/>
        <v>286.46463173880028</v>
      </c>
      <c r="Y129" s="32">
        <f>SUMPRODUCT(SUMIFS(RawTransportationData!$H:$H,RawTransportationData!$A:$A,Compare!$V$1,RawTransportationData!$B:$B,Compare!$D129:$F129))</f>
        <v>0</v>
      </c>
      <c r="Z129" s="32">
        <f t="shared" si="14"/>
        <v>188636.96</v>
      </c>
    </row>
    <row r="130" spans="1:26" x14ac:dyDescent="0.55000000000000004">
      <c r="A130">
        <f>FinalPayment!A128</f>
        <v>2021</v>
      </c>
      <c r="B130" t="str">
        <f>FinalPayment!B128</f>
        <v>11</v>
      </c>
      <c r="C130" t="str">
        <f>FinalPayment!C128</f>
        <v>2754</v>
      </c>
      <c r="D130" t="str">
        <f>FinalPayment!D128</f>
        <v/>
      </c>
      <c r="E130" t="str">
        <f>FinalPayment!E128</f>
        <v/>
      </c>
      <c r="F130" t="str">
        <f>FinalPayment!F128</f>
        <v>2754</v>
      </c>
      <c r="G130" s="28" t="str">
        <f>FinalPayment!G128</f>
        <v>Guthrie Center</v>
      </c>
      <c r="H130" s="85">
        <f>SUMPRODUCT(SUMIFS(RawTransportationData!$D:$D,RawTransportationData!$A:$A,Compare!$H$2,RawTransportationData!$B:$B,Compare!$D130:$F130))</f>
        <v>431.8</v>
      </c>
      <c r="I130" s="86">
        <f>SUMPRODUCT(SUMIFS(RawTransportationData!$G:$G,RawTransportationData!$A:$A,Compare!$H$2,RawTransportationData!$B:$B,Compare!$D130:$F130))</f>
        <v>236400.34</v>
      </c>
      <c r="J130" s="32">
        <f t="shared" si="15"/>
        <v>547.47647058823532</v>
      </c>
      <c r="K130" s="32">
        <f>SUMPRODUCT(SUMIFS(RawTransportationData!$H:$H,RawTransportationData!$A:$A,Compare!$E$1,RawTransportationData!$B:$B,Compare!$D130:$F130))</f>
        <v>86640</v>
      </c>
      <c r="L130" s="32">
        <f t="shared" si="8"/>
        <v>149760.34</v>
      </c>
      <c r="M130" s="70">
        <f t="shared" si="9"/>
        <v>-9.1608366158214497E-3</v>
      </c>
      <c r="N130" s="70">
        <f t="shared" si="10"/>
        <v>-0.22128772801954932</v>
      </c>
      <c r="O130" s="45"/>
      <c r="P130" s="85">
        <f>SUMPRODUCT(SUMIFS(RawTransportationData!$D:$D,RawTransportationData!$A:$A,Compare!$P$2,RawTransportationData!$B:$B,Compare!$D130:$F130))</f>
        <v>447.6</v>
      </c>
      <c r="Q130" s="86">
        <f>SUMPRODUCT(SUMIFS(RawTransportationData!$G:$G,RawTransportationData!$A:$A,Compare!$P$2,RawTransportationData!$B:$B,Compare!$D130:$F130))</f>
        <v>259378.94</v>
      </c>
      <c r="R130" s="32">
        <f t="shared" si="11"/>
        <v>579.48824843610362</v>
      </c>
      <c r="S130" s="32">
        <f>SUMPRODUCT(SUMIFS(RawTransportationData!$H:$H,RawTransportationData!$A:$A,Compare!$P$1,RawTransportationData!$B:$B,Compare!$D130:$F130))</f>
        <v>88814</v>
      </c>
      <c r="T130" s="32">
        <f t="shared" si="12"/>
        <v>170564.94</v>
      </c>
      <c r="U130" s="45"/>
      <c r="V130" s="85">
        <f>SUMPRODUCT(SUMIFS(RawTransportationData!$D:$D,RawTransportationData!$A:$A,Compare!$V$2,RawTransportationData!$B:$B,Compare!$D130:$F130))</f>
        <v>463.3</v>
      </c>
      <c r="W130" s="86">
        <f>SUMPRODUCT(SUMIFS(RawTransportationData!$G:$G,RawTransportationData!$A:$A,Compare!$V$2,RawTransportationData!$B:$B,Compare!$D130:$F130))</f>
        <v>255990.94</v>
      </c>
      <c r="X130" s="32">
        <f t="shared" si="13"/>
        <v>552.53818260306491</v>
      </c>
      <c r="Y130" s="32">
        <f>SUMPRODUCT(SUMIFS(RawTransportationData!$H:$H,RawTransportationData!$A:$A,Compare!$V$1,RawTransportationData!$B:$B,Compare!$D130:$F130))</f>
        <v>63673</v>
      </c>
      <c r="Z130" s="32">
        <f t="shared" si="14"/>
        <v>192317.94</v>
      </c>
    </row>
    <row r="131" spans="1:26" x14ac:dyDescent="0.55000000000000004">
      <c r="A131">
        <f>FinalPayment!A129</f>
        <v>2021</v>
      </c>
      <c r="B131" t="str">
        <f>FinalPayment!B129</f>
        <v>13</v>
      </c>
      <c r="C131" t="str">
        <f>FinalPayment!C129</f>
        <v>2772</v>
      </c>
      <c r="D131" t="str">
        <f>FinalPayment!D129</f>
        <v/>
      </c>
      <c r="E131" t="str">
        <f>FinalPayment!E129</f>
        <v/>
      </c>
      <c r="F131" t="str">
        <f>FinalPayment!F129</f>
        <v>2772</v>
      </c>
      <c r="G131" s="28" t="str">
        <f>FinalPayment!G129</f>
        <v>Hamburg</v>
      </c>
      <c r="H131" s="85">
        <f>SUMPRODUCT(SUMIFS(RawTransportationData!$D:$D,RawTransportationData!$A:$A,Compare!$H$2,RawTransportationData!$B:$B,Compare!$D131:$F131))</f>
        <v>227</v>
      </c>
      <c r="I131" s="86">
        <f>SUMPRODUCT(SUMIFS(RawTransportationData!$G:$G,RawTransportationData!$A:$A,Compare!$H$2,RawTransportationData!$B:$B,Compare!$D131:$F131))</f>
        <v>51284.24</v>
      </c>
      <c r="J131" s="32">
        <f t="shared" si="15"/>
        <v>225.92176211453744</v>
      </c>
      <c r="K131" s="32">
        <f>SUMPRODUCT(SUMIFS(RawTransportationData!$H:$H,RawTransportationData!$A:$A,Compare!$E$1,RawTransportationData!$B:$B,Compare!$D131:$F131))</f>
        <v>186</v>
      </c>
      <c r="L131" s="32">
        <f t="shared" si="8"/>
        <v>51098.239999999998</v>
      </c>
      <c r="M131" s="70">
        <f t="shared" si="9"/>
        <v>-0.42208761972849185</v>
      </c>
      <c r="N131" s="70">
        <f t="shared" si="10"/>
        <v>-0.44378587827112254</v>
      </c>
      <c r="O131" s="45"/>
      <c r="P131" s="85">
        <f>SUMPRODUCT(SUMIFS(RawTransportationData!$D:$D,RawTransportationData!$A:$A,Compare!$P$2,RawTransportationData!$B:$B,Compare!$D131:$F131))</f>
        <v>221</v>
      </c>
      <c r="Q131" s="86">
        <f>SUMPRODUCT(SUMIFS(RawTransportationData!$G:$G,RawTransportationData!$A:$A,Compare!$P$2,RawTransportationData!$B:$B,Compare!$D131:$F131))</f>
        <v>61436.88</v>
      </c>
      <c r="R131" s="32">
        <f t="shared" si="11"/>
        <v>277.99493212669682</v>
      </c>
      <c r="S131" s="32">
        <f>SUMPRODUCT(SUMIFS(RawTransportationData!$H:$H,RawTransportationData!$A:$A,Compare!$P$1,RawTransportationData!$B:$B,Compare!$D131:$F131))</f>
        <v>0</v>
      </c>
      <c r="T131" s="32">
        <f t="shared" si="12"/>
        <v>61436.88</v>
      </c>
      <c r="U131" s="45"/>
      <c r="V131" s="85">
        <f>SUMPRODUCT(SUMIFS(RawTransportationData!$D:$D,RawTransportationData!$A:$A,Compare!$V$2,RawTransportationData!$B:$B,Compare!$D131:$F131))</f>
        <v>235</v>
      </c>
      <c r="W131" s="86">
        <f>SUMPRODUCT(SUMIFS(RawTransportationData!$G:$G,RawTransportationData!$A:$A,Compare!$V$2,RawTransportationData!$B:$B,Compare!$D131:$F131))</f>
        <v>91867.930000000008</v>
      </c>
      <c r="X131" s="32">
        <f t="shared" si="13"/>
        <v>390.92736170212771</v>
      </c>
      <c r="Y131" s="32">
        <f>SUMPRODUCT(SUMIFS(RawTransportationData!$H:$H,RawTransportationData!$A:$A,Compare!$V$1,RawTransportationData!$B:$B,Compare!$D131:$F131))</f>
        <v>0</v>
      </c>
      <c r="Z131" s="32">
        <f t="shared" si="14"/>
        <v>91867.930000000008</v>
      </c>
    </row>
    <row r="132" spans="1:26" x14ac:dyDescent="0.55000000000000004">
      <c r="A132">
        <f>FinalPayment!A130</f>
        <v>2021</v>
      </c>
      <c r="B132" t="str">
        <f>FinalPayment!B130</f>
        <v>07</v>
      </c>
      <c r="C132" t="str">
        <f>FinalPayment!C130</f>
        <v>2781</v>
      </c>
      <c r="D132" t="str">
        <f>FinalPayment!D130</f>
        <v/>
      </c>
      <c r="E132" t="str">
        <f>FinalPayment!E130</f>
        <v/>
      </c>
      <c r="F132" t="str">
        <f>FinalPayment!F130</f>
        <v>2781</v>
      </c>
      <c r="G132" s="28" t="str">
        <f>FinalPayment!G130</f>
        <v>Hampton-Dumont</v>
      </c>
      <c r="H132" s="85">
        <f>SUMPRODUCT(SUMIFS(RawTransportationData!$D:$D,RawTransportationData!$A:$A,Compare!$H$2,RawTransportationData!$B:$B,Compare!$D132:$F132))</f>
        <v>1190.9000000000001</v>
      </c>
      <c r="I132" s="86">
        <f>SUMPRODUCT(SUMIFS(RawTransportationData!$G:$G,RawTransportationData!$A:$A,Compare!$H$2,RawTransportationData!$B:$B,Compare!$D132:$F132))</f>
        <v>389959.54</v>
      </c>
      <c r="J132" s="32">
        <f t="shared" si="15"/>
        <v>327.44944159879077</v>
      </c>
      <c r="K132" s="32">
        <f>SUMPRODUCT(SUMIFS(RawTransportationData!$H:$H,RawTransportationData!$A:$A,Compare!$E$1,RawTransportationData!$B:$B,Compare!$D132:$F132))</f>
        <v>975</v>
      </c>
      <c r="L132" s="32">
        <f t="shared" si="8"/>
        <v>388984.54</v>
      </c>
      <c r="M132" s="70">
        <f t="shared" si="9"/>
        <v>0.16024453292095284</v>
      </c>
      <c r="N132" s="70">
        <f t="shared" si="10"/>
        <v>0.15598466645753095</v>
      </c>
      <c r="O132" s="45"/>
      <c r="P132" s="85">
        <f>SUMPRODUCT(SUMIFS(RawTransportationData!$D:$D,RawTransportationData!$A:$A,Compare!$P$2,RawTransportationData!$B:$B,Compare!$D132:$F132))</f>
        <v>1200.2</v>
      </c>
      <c r="Q132" s="86">
        <f>SUMPRODUCT(SUMIFS(RawTransportationData!$G:$G,RawTransportationData!$A:$A,Compare!$P$2,RawTransportationData!$B:$B,Compare!$D132:$F132))</f>
        <v>336915.81</v>
      </c>
      <c r="R132" s="32">
        <f t="shared" si="11"/>
        <v>280.71638893517746</v>
      </c>
      <c r="S132" s="32">
        <f>SUMPRODUCT(SUMIFS(RawTransportationData!$H:$H,RawTransportationData!$A:$A,Compare!$P$1,RawTransportationData!$B:$B,Compare!$D132:$F132))</f>
        <v>0</v>
      </c>
      <c r="T132" s="32">
        <f t="shared" si="12"/>
        <v>336915.81</v>
      </c>
      <c r="U132" s="45"/>
      <c r="V132" s="85">
        <f>SUMPRODUCT(SUMIFS(RawTransportationData!$D:$D,RawTransportationData!$A:$A,Compare!$V$2,RawTransportationData!$B:$B,Compare!$D132:$F132))</f>
        <v>1192.3</v>
      </c>
      <c r="W132" s="86">
        <f>SUMPRODUCT(SUMIFS(RawTransportationData!$G:$G,RawTransportationData!$A:$A,Compare!$V$2,RawTransportationData!$B:$B,Compare!$D132:$F132))</f>
        <v>336496.28</v>
      </c>
      <c r="X132" s="32">
        <f t="shared" si="13"/>
        <v>282.22450725488557</v>
      </c>
      <c r="Y132" s="32">
        <f>SUMPRODUCT(SUMIFS(RawTransportationData!$H:$H,RawTransportationData!$A:$A,Compare!$V$1,RawTransportationData!$B:$B,Compare!$D132:$F132))</f>
        <v>0</v>
      </c>
      <c r="Z132" s="32">
        <f t="shared" si="14"/>
        <v>336496.28</v>
      </c>
    </row>
    <row r="133" spans="1:26" x14ac:dyDescent="0.55000000000000004">
      <c r="A133">
        <f>FinalPayment!A131</f>
        <v>2021</v>
      </c>
      <c r="B133" t="str">
        <f>FinalPayment!B131</f>
        <v>13</v>
      </c>
      <c r="C133" t="str">
        <f>FinalPayment!C131</f>
        <v>2826</v>
      </c>
      <c r="D133" t="str">
        <f>FinalPayment!D131</f>
        <v/>
      </c>
      <c r="E133" t="str">
        <f>FinalPayment!E131</f>
        <v/>
      </c>
      <c r="F133" t="str">
        <f>FinalPayment!F131</f>
        <v>2826</v>
      </c>
      <c r="G133" s="28" t="str">
        <f>FinalPayment!G131</f>
        <v>Harlan</v>
      </c>
      <c r="H133" s="85">
        <f>SUMPRODUCT(SUMIFS(RawTransportationData!$D:$D,RawTransportationData!$A:$A,Compare!$H$2,RawTransportationData!$B:$B,Compare!$D133:$F133))</f>
        <v>1419.1000000000001</v>
      </c>
      <c r="I133" s="86">
        <f>SUMPRODUCT(SUMIFS(RawTransportationData!$G:$G,RawTransportationData!$A:$A,Compare!$H$2,RawTransportationData!$B:$B,Compare!$D133:$F133))</f>
        <v>493288.03</v>
      </c>
      <c r="J133" s="32">
        <f t="shared" si="15"/>
        <v>347.60625044041996</v>
      </c>
      <c r="K133" s="32">
        <f>SUMPRODUCT(SUMIFS(RawTransportationData!$H:$H,RawTransportationData!$A:$A,Compare!$E$1,RawTransportationData!$B:$B,Compare!$D133:$F133))</f>
        <v>1162</v>
      </c>
      <c r="L133" s="32">
        <f t="shared" ref="L133:L196" si="16">I133-K133</f>
        <v>492126.03</v>
      </c>
      <c r="M133" s="70">
        <f t="shared" ref="M133:M196" si="17">(J133-X133)/X133</f>
        <v>6.7658811455469536E-2</v>
      </c>
      <c r="N133" s="70">
        <f t="shared" ref="N133:N196" si="18">(L133-Z133)/Z133</f>
        <v>8.0756172189149808E-2</v>
      </c>
      <c r="O133" s="45"/>
      <c r="P133" s="85">
        <f>SUMPRODUCT(SUMIFS(RawTransportationData!$D:$D,RawTransportationData!$A:$A,Compare!$P$2,RawTransportationData!$B:$B,Compare!$D133:$F133))</f>
        <v>1429.7</v>
      </c>
      <c r="Q133" s="86">
        <f>SUMPRODUCT(SUMIFS(RawTransportationData!$G:$G,RawTransportationData!$A:$A,Compare!$P$2,RawTransportationData!$B:$B,Compare!$D133:$F133))</f>
        <v>439161.17</v>
      </c>
      <c r="R133" s="32">
        <f t="shared" ref="R133:R196" si="19">Q133/P133</f>
        <v>307.17015457788347</v>
      </c>
      <c r="S133" s="32">
        <f>SUMPRODUCT(SUMIFS(RawTransportationData!$H:$H,RawTransportationData!$A:$A,Compare!$P$1,RawTransportationData!$B:$B,Compare!$D133:$F133))</f>
        <v>0</v>
      </c>
      <c r="T133" s="32">
        <f t="shared" ref="T133:T196" si="20">Q133-S133</f>
        <v>439161.17</v>
      </c>
      <c r="U133" s="45"/>
      <c r="V133" s="85">
        <f>SUMPRODUCT(SUMIFS(RawTransportationData!$D:$D,RawTransportationData!$A:$A,Compare!$V$2,RawTransportationData!$B:$B,Compare!$D133:$F133))</f>
        <v>1398.6000000000001</v>
      </c>
      <c r="W133" s="86">
        <f>SUMPRODUCT(SUMIFS(RawTransportationData!$G:$G,RawTransportationData!$A:$A,Compare!$V$2,RawTransportationData!$B:$B,Compare!$D133:$F133))</f>
        <v>455353.43000000005</v>
      </c>
      <c r="X133" s="32">
        <f t="shared" ref="X133:X196" si="21">W133/V133</f>
        <v>325.57802802802803</v>
      </c>
      <c r="Y133" s="32">
        <f>SUMPRODUCT(SUMIFS(RawTransportationData!$H:$H,RawTransportationData!$A:$A,Compare!$V$1,RawTransportationData!$B:$B,Compare!$D133:$F133))</f>
        <v>0</v>
      </c>
      <c r="Z133" s="32">
        <f t="shared" ref="Z133:Z196" si="22">W133-Y133</f>
        <v>455353.43000000005</v>
      </c>
    </row>
    <row r="134" spans="1:26" x14ac:dyDescent="0.55000000000000004">
      <c r="A134">
        <f>FinalPayment!A132</f>
        <v>2021</v>
      </c>
      <c r="B134" t="str">
        <f>FinalPayment!B132</f>
        <v>05</v>
      </c>
      <c r="C134" t="str">
        <f>FinalPayment!C132</f>
        <v>2846</v>
      </c>
      <c r="D134" t="str">
        <f>FinalPayment!D132</f>
        <v/>
      </c>
      <c r="E134" t="str">
        <f>FinalPayment!E132</f>
        <v/>
      </c>
      <c r="F134" t="str">
        <f>FinalPayment!F132</f>
        <v>2846</v>
      </c>
      <c r="G134" s="28" t="str">
        <f>FinalPayment!G132</f>
        <v>Harris-Lake Park</v>
      </c>
      <c r="H134" s="85">
        <f>SUMPRODUCT(SUMIFS(RawTransportationData!$D:$D,RawTransportationData!$A:$A,Compare!$H$2,RawTransportationData!$B:$B,Compare!$D134:$F134))</f>
        <v>298.39999999999998</v>
      </c>
      <c r="I134" s="86">
        <f>SUMPRODUCT(SUMIFS(RawTransportationData!$G:$G,RawTransportationData!$A:$A,Compare!$H$2,RawTransportationData!$B:$B,Compare!$D134:$F134))</f>
        <v>149180.4</v>
      </c>
      <c r="J134" s="32">
        <f t="shared" ref="J134:J197" si="23">I134/H134</f>
        <v>499.93431635388743</v>
      </c>
      <c r="K134" s="32">
        <f>SUMPRODUCT(SUMIFS(RawTransportationData!$H:$H,RawTransportationData!$A:$A,Compare!$E$1,RawTransportationData!$B:$B,Compare!$D134:$F134))</f>
        <v>45684</v>
      </c>
      <c r="L134" s="32">
        <f t="shared" si="16"/>
        <v>103496.4</v>
      </c>
      <c r="M134" s="70">
        <f t="shared" si="17"/>
        <v>-5.4282084754633995E-2</v>
      </c>
      <c r="N134" s="70">
        <f t="shared" si="18"/>
        <v>-0.16919535738244573</v>
      </c>
      <c r="O134" s="45"/>
      <c r="P134" s="85">
        <f>SUMPRODUCT(SUMIFS(RawTransportationData!$D:$D,RawTransportationData!$A:$A,Compare!$P$2,RawTransportationData!$B:$B,Compare!$D134:$F134))</f>
        <v>306.89999999999998</v>
      </c>
      <c r="Q134" s="86">
        <f>SUMPRODUCT(SUMIFS(RawTransportationData!$G:$G,RawTransportationData!$A:$A,Compare!$P$2,RawTransportationData!$B:$B,Compare!$D134:$F134))</f>
        <v>152214.47</v>
      </c>
      <c r="R134" s="32">
        <f t="shared" si="19"/>
        <v>495.97416096448359</v>
      </c>
      <c r="S134" s="32">
        <f>SUMPRODUCT(SUMIFS(RawTransportationData!$H:$H,RawTransportationData!$A:$A,Compare!$P$1,RawTransportationData!$B:$B,Compare!$D134:$F134))</f>
        <v>35263</v>
      </c>
      <c r="T134" s="32">
        <f t="shared" si="20"/>
        <v>116951.47</v>
      </c>
      <c r="U134" s="45"/>
      <c r="V134" s="85">
        <f>SUMPRODUCT(SUMIFS(RawTransportationData!$D:$D,RawTransportationData!$A:$A,Compare!$V$2,RawTransportationData!$B:$B,Compare!$D134:$F134))</f>
        <v>300.10000000000002</v>
      </c>
      <c r="W134" s="86">
        <f>SUMPRODUCT(SUMIFS(RawTransportationData!$G:$G,RawTransportationData!$A:$A,Compare!$V$2,RawTransportationData!$B:$B,Compare!$D134:$F134))</f>
        <v>158641.69</v>
      </c>
      <c r="X134" s="32">
        <f t="shared" si="21"/>
        <v>528.62942352549146</v>
      </c>
      <c r="Y134" s="32">
        <f>SUMPRODUCT(SUMIFS(RawTransportationData!$H:$H,RawTransportationData!$A:$A,Compare!$V$1,RawTransportationData!$B:$B,Compare!$D134:$F134))</f>
        <v>34068</v>
      </c>
      <c r="Z134" s="32">
        <f t="shared" si="22"/>
        <v>124573.69</v>
      </c>
    </row>
    <row r="135" spans="1:26" x14ac:dyDescent="0.55000000000000004">
      <c r="A135">
        <f>FinalPayment!A133</f>
        <v>2021</v>
      </c>
      <c r="B135" t="str">
        <f>FinalPayment!B133</f>
        <v>12</v>
      </c>
      <c r="C135" t="str">
        <f>FinalPayment!C133</f>
        <v>2862</v>
      </c>
      <c r="D135" t="str">
        <f>FinalPayment!D133</f>
        <v/>
      </c>
      <c r="E135" t="str">
        <f>FinalPayment!E133</f>
        <v/>
      </c>
      <c r="F135" t="str">
        <f>FinalPayment!F133</f>
        <v>2862</v>
      </c>
      <c r="G135" s="28" t="str">
        <f>FinalPayment!G133</f>
        <v>Hartley-Melvin-Sanborn</v>
      </c>
      <c r="H135" s="85">
        <f>SUMPRODUCT(SUMIFS(RawTransportationData!$D:$D,RawTransportationData!$A:$A,Compare!$H$2,RawTransportationData!$B:$B,Compare!$D135:$F135))</f>
        <v>625.29999999999995</v>
      </c>
      <c r="I135" s="86">
        <f>SUMPRODUCT(SUMIFS(RawTransportationData!$G:$G,RawTransportationData!$A:$A,Compare!$H$2,RawTransportationData!$B:$B,Compare!$D135:$F135))</f>
        <v>149402.08000000002</v>
      </c>
      <c r="J135" s="32">
        <f t="shared" si="23"/>
        <v>238.92864225171922</v>
      </c>
      <c r="K135" s="32">
        <f>SUMPRODUCT(SUMIFS(RawTransportationData!$H:$H,RawTransportationData!$A:$A,Compare!$E$1,RawTransportationData!$B:$B,Compare!$D135:$F135))</f>
        <v>512</v>
      </c>
      <c r="L135" s="32">
        <f t="shared" si="16"/>
        <v>148890.08000000002</v>
      </c>
      <c r="M135" s="70">
        <f t="shared" si="17"/>
        <v>-1.2025074597396828E-2</v>
      </c>
      <c r="N135" s="70">
        <f t="shared" si="18"/>
        <v>-3.4404657839019477E-2</v>
      </c>
      <c r="O135" s="45"/>
      <c r="P135" s="85">
        <f>SUMPRODUCT(SUMIFS(RawTransportationData!$D:$D,RawTransportationData!$A:$A,Compare!$P$2,RawTransportationData!$B:$B,Compare!$D135:$F135))</f>
        <v>627.9</v>
      </c>
      <c r="Q135" s="86">
        <f>SUMPRODUCT(SUMIFS(RawTransportationData!$G:$G,RawTransportationData!$A:$A,Compare!$P$2,RawTransportationData!$B:$B,Compare!$D135:$F135))</f>
        <v>128803.52</v>
      </c>
      <c r="R135" s="32">
        <f t="shared" si="19"/>
        <v>205.13381111641982</v>
      </c>
      <c r="S135" s="32">
        <f>SUMPRODUCT(SUMIFS(RawTransportationData!$H:$H,RawTransportationData!$A:$A,Compare!$P$1,RawTransportationData!$B:$B,Compare!$D135:$F135))</f>
        <v>0</v>
      </c>
      <c r="T135" s="32">
        <f t="shared" si="20"/>
        <v>128803.52</v>
      </c>
      <c r="U135" s="45"/>
      <c r="V135" s="85">
        <f>SUMPRODUCT(SUMIFS(RawTransportationData!$D:$D,RawTransportationData!$A:$A,Compare!$V$2,RawTransportationData!$B:$B,Compare!$D135:$F135))</f>
        <v>637.6</v>
      </c>
      <c r="W135" s="86">
        <f>SUMPRODUCT(SUMIFS(RawTransportationData!$G:$G,RawTransportationData!$A:$A,Compare!$V$2,RawTransportationData!$B:$B,Compare!$D135:$F135))</f>
        <v>154195.10999999999</v>
      </c>
      <c r="X135" s="32">
        <f t="shared" si="21"/>
        <v>241.83674717691341</v>
      </c>
      <c r="Y135" s="32">
        <f>SUMPRODUCT(SUMIFS(RawTransportationData!$H:$H,RawTransportationData!$A:$A,Compare!$V$1,RawTransportationData!$B:$B,Compare!$D135:$F135))</f>
        <v>0</v>
      </c>
      <c r="Z135" s="32">
        <f t="shared" si="22"/>
        <v>154195.10999999999</v>
      </c>
    </row>
    <row r="136" spans="1:26" x14ac:dyDescent="0.55000000000000004">
      <c r="A136">
        <f>FinalPayment!A134</f>
        <v>2021</v>
      </c>
      <c r="B136" t="str">
        <f>FinalPayment!B134</f>
        <v>10</v>
      </c>
      <c r="C136" t="str">
        <f>FinalPayment!C134</f>
        <v>2977</v>
      </c>
      <c r="D136" t="str">
        <f>FinalPayment!D134</f>
        <v/>
      </c>
      <c r="E136" t="str">
        <f>FinalPayment!E134</f>
        <v/>
      </c>
      <c r="F136" t="str">
        <f>FinalPayment!F134</f>
        <v>2977</v>
      </c>
      <c r="G136" s="28" t="str">
        <f>FinalPayment!G134</f>
        <v>Highland</v>
      </c>
      <c r="H136" s="85">
        <f>SUMPRODUCT(SUMIFS(RawTransportationData!$D:$D,RawTransportationData!$A:$A,Compare!$H$2,RawTransportationData!$B:$B,Compare!$D136:$F136))</f>
        <v>631.79999999999995</v>
      </c>
      <c r="I136" s="86">
        <f>SUMPRODUCT(SUMIFS(RawTransportationData!$G:$G,RawTransportationData!$A:$A,Compare!$H$2,RawTransportationData!$B:$B,Compare!$D136:$F136))</f>
        <v>280847.61</v>
      </c>
      <c r="J136" s="32">
        <f t="shared" si="23"/>
        <v>444.51980056980057</v>
      </c>
      <c r="K136" s="32">
        <f>SUMPRODUCT(SUMIFS(RawTransportationData!$H:$H,RawTransportationData!$A:$A,Compare!$E$1,RawTransportationData!$B:$B,Compare!$D136:$F136))</f>
        <v>61719</v>
      </c>
      <c r="L136" s="32">
        <f t="shared" si="16"/>
        <v>219128.61</v>
      </c>
      <c r="M136" s="70">
        <f t="shared" si="17"/>
        <v>7.5381467234309862E-4</v>
      </c>
      <c r="N136" s="70">
        <f t="shared" si="18"/>
        <v>-0.16116469955931484</v>
      </c>
      <c r="O136" s="45"/>
      <c r="P136" s="85">
        <f>SUMPRODUCT(SUMIFS(RawTransportationData!$D:$D,RawTransportationData!$A:$A,Compare!$P$2,RawTransportationData!$B:$B,Compare!$D136:$F136))</f>
        <v>617.20000000000005</v>
      </c>
      <c r="Q136" s="86">
        <f>SUMPRODUCT(SUMIFS(RawTransportationData!$G:$G,RawTransportationData!$A:$A,Compare!$P$2,RawTransportationData!$B:$B,Compare!$D136:$F136))</f>
        <v>323431.07</v>
      </c>
      <c r="R136" s="32">
        <f t="shared" si="19"/>
        <v>524.02960142579389</v>
      </c>
      <c r="S136" s="32">
        <f>SUMPRODUCT(SUMIFS(RawTransportationData!$H:$H,RawTransportationData!$A:$A,Compare!$P$1,RawTransportationData!$B:$B,Compare!$D136:$F136))</f>
        <v>88236</v>
      </c>
      <c r="T136" s="32">
        <f t="shared" si="20"/>
        <v>235195.07</v>
      </c>
      <c r="U136" s="45"/>
      <c r="V136" s="85">
        <f>SUMPRODUCT(SUMIFS(RawTransportationData!$D:$D,RawTransportationData!$A:$A,Compare!$V$2,RawTransportationData!$B:$B,Compare!$D136:$F136))</f>
        <v>629.29999999999995</v>
      </c>
      <c r="W136" s="86">
        <f>SUMPRODUCT(SUMIFS(RawTransportationData!$G:$G,RawTransportationData!$A:$A,Compare!$V$2,RawTransportationData!$B:$B,Compare!$D136:$F136))</f>
        <v>279525.59999999998</v>
      </c>
      <c r="X136" s="32">
        <f t="shared" si="21"/>
        <v>444.18496742412202</v>
      </c>
      <c r="Y136" s="32">
        <f>SUMPRODUCT(SUMIFS(RawTransportationData!$H:$H,RawTransportationData!$A:$A,Compare!$V$1,RawTransportationData!$B:$B,Compare!$D136:$F136))</f>
        <v>18296</v>
      </c>
      <c r="Z136" s="32">
        <f t="shared" si="22"/>
        <v>261229.59999999998</v>
      </c>
    </row>
    <row r="137" spans="1:26" x14ac:dyDescent="0.55000000000000004">
      <c r="A137">
        <f>FinalPayment!A135</f>
        <v>2021</v>
      </c>
      <c r="B137" t="str">
        <f>FinalPayment!B135</f>
        <v>12</v>
      </c>
      <c r="C137" t="str">
        <f>FinalPayment!C135</f>
        <v>2988</v>
      </c>
      <c r="D137" t="str">
        <f>FinalPayment!D135</f>
        <v/>
      </c>
      <c r="E137" t="str">
        <f>FinalPayment!E135</f>
        <v/>
      </c>
      <c r="F137" t="str">
        <f>FinalPayment!F135</f>
        <v>2988</v>
      </c>
      <c r="G137" s="28" t="str">
        <f>FinalPayment!G135</f>
        <v>Hinton</v>
      </c>
      <c r="H137" s="85">
        <f>SUMPRODUCT(SUMIFS(RawTransportationData!$D:$D,RawTransportationData!$A:$A,Compare!$H$2,RawTransportationData!$B:$B,Compare!$D137:$F137))</f>
        <v>521.1</v>
      </c>
      <c r="I137" s="86">
        <f>SUMPRODUCT(SUMIFS(RawTransportationData!$G:$G,RawTransportationData!$A:$A,Compare!$H$2,RawTransportationData!$B:$B,Compare!$D137:$F137))</f>
        <v>352602.36</v>
      </c>
      <c r="J137" s="32">
        <f t="shared" si="23"/>
        <v>676.65008635578579</v>
      </c>
      <c r="K137" s="32">
        <f>SUMPRODUCT(SUMIFS(RawTransportationData!$H:$H,RawTransportationData!$A:$A,Compare!$E$1,RawTransportationData!$B:$B,Compare!$D137:$F137))</f>
        <v>171869</v>
      </c>
      <c r="L137" s="32">
        <f t="shared" si="16"/>
        <v>180733.36</v>
      </c>
      <c r="M137" s="70">
        <f t="shared" si="17"/>
        <v>0.30825134026842893</v>
      </c>
      <c r="N137" s="70">
        <f t="shared" si="18"/>
        <v>-0.19071903230190324</v>
      </c>
      <c r="O137" s="45"/>
      <c r="P137" s="85">
        <f>SUMPRODUCT(SUMIFS(RawTransportationData!$D:$D,RawTransportationData!$A:$A,Compare!$P$2,RawTransportationData!$B:$B,Compare!$D137:$F137))</f>
        <v>526.1</v>
      </c>
      <c r="Q137" s="86">
        <f>SUMPRODUCT(SUMIFS(RawTransportationData!$G:$G,RawTransportationData!$A:$A,Compare!$P$2,RawTransportationData!$B:$B,Compare!$D137:$F137))</f>
        <v>316547.08999999997</v>
      </c>
      <c r="R137" s="32">
        <f t="shared" si="19"/>
        <v>601.68616232655381</v>
      </c>
      <c r="S137" s="32">
        <f>SUMPRODUCT(SUMIFS(RawTransportationData!$H:$H,RawTransportationData!$A:$A,Compare!$P$1,RawTransportationData!$B:$B,Compare!$D137:$F137))</f>
        <v>116069</v>
      </c>
      <c r="T137" s="32">
        <f t="shared" si="20"/>
        <v>200478.08999999997</v>
      </c>
      <c r="U137" s="45"/>
      <c r="V137" s="85">
        <f>SUMPRODUCT(SUMIFS(RawTransportationData!$D:$D,RawTransportationData!$A:$A,Compare!$V$2,RawTransportationData!$B:$B,Compare!$D137:$F137))</f>
        <v>538</v>
      </c>
      <c r="W137" s="86">
        <f>SUMPRODUCT(SUMIFS(RawTransportationData!$G:$G,RawTransportationData!$A:$A,Compare!$V$2,RawTransportationData!$B:$B,Compare!$D137:$F137))</f>
        <v>278262.84999999998</v>
      </c>
      <c r="X137" s="32">
        <f t="shared" si="21"/>
        <v>517.21719330855012</v>
      </c>
      <c r="Y137" s="32">
        <f>SUMPRODUCT(SUMIFS(RawTransportationData!$H:$H,RawTransportationData!$A:$A,Compare!$V$1,RawTransportationData!$B:$B,Compare!$D137:$F137))</f>
        <v>54937</v>
      </c>
      <c r="Z137" s="32">
        <f t="shared" si="22"/>
        <v>223325.84999999998</v>
      </c>
    </row>
    <row r="138" spans="1:26" x14ac:dyDescent="0.55000000000000004">
      <c r="A138">
        <f>FinalPayment!A136</f>
        <v>2021</v>
      </c>
      <c r="B138" t="str">
        <f>FinalPayment!B136</f>
        <v>10</v>
      </c>
      <c r="C138" t="str">
        <f>FinalPayment!C136</f>
        <v>2766</v>
      </c>
      <c r="D138" t="str">
        <f>FinalPayment!D136</f>
        <v/>
      </c>
      <c r="E138" t="str">
        <f>FinalPayment!E136</f>
        <v/>
      </c>
      <c r="F138" t="str">
        <f>FinalPayment!F136</f>
        <v>2766</v>
      </c>
      <c r="G138" s="28" t="str">
        <f>FinalPayment!G136</f>
        <v>HLV</v>
      </c>
      <c r="H138" s="85">
        <f>SUMPRODUCT(SUMIFS(RawTransportationData!$D:$D,RawTransportationData!$A:$A,Compare!$H$2,RawTransportationData!$B:$B,Compare!$D138:$F138))</f>
        <v>351.8</v>
      </c>
      <c r="I138" s="86">
        <f>SUMPRODUCT(SUMIFS(RawTransportationData!$G:$G,RawTransportationData!$A:$A,Compare!$H$2,RawTransportationData!$B:$B,Compare!$D138:$F138))</f>
        <v>113392.97</v>
      </c>
      <c r="J138" s="32">
        <f t="shared" si="23"/>
        <v>322.32225696418419</v>
      </c>
      <c r="K138" s="32">
        <f>SUMPRODUCT(SUMIFS(RawTransportationData!$H:$H,RawTransportationData!$A:$A,Compare!$E$1,RawTransportationData!$B:$B,Compare!$D138:$F138))</f>
        <v>288</v>
      </c>
      <c r="L138" s="32">
        <f t="shared" si="16"/>
        <v>113104.97</v>
      </c>
      <c r="M138" s="70">
        <f t="shared" si="17"/>
        <v>-0.48165146041329926</v>
      </c>
      <c r="N138" s="70">
        <f t="shared" si="18"/>
        <v>-0.17606799041687515</v>
      </c>
      <c r="O138" s="45"/>
      <c r="P138" s="85">
        <f>SUMPRODUCT(SUMIFS(RawTransportationData!$D:$D,RawTransportationData!$A:$A,Compare!$P$2,RawTransportationData!$B:$B,Compare!$D138:$F138))</f>
        <v>333.7</v>
      </c>
      <c r="Q138" s="86">
        <f>SUMPRODUCT(SUMIFS(RawTransportationData!$G:$G,RawTransportationData!$A:$A,Compare!$P$2,RawTransportationData!$B:$B,Compare!$D138:$F138))</f>
        <v>140916.85999999999</v>
      </c>
      <c r="R138" s="32">
        <f t="shared" si="19"/>
        <v>422.28606532813905</v>
      </c>
      <c r="S138" s="32">
        <f>SUMPRODUCT(SUMIFS(RawTransportationData!$H:$H,RawTransportationData!$A:$A,Compare!$P$1,RawTransportationData!$B:$B,Compare!$D138:$F138))</f>
        <v>13756</v>
      </c>
      <c r="T138" s="32">
        <f t="shared" si="20"/>
        <v>127160.85999999999</v>
      </c>
      <c r="U138" s="45"/>
      <c r="V138" s="85">
        <f>SUMPRODUCT(SUMIFS(RawTransportationData!$D:$D,RawTransportationData!$A:$A,Compare!$V$2,RawTransportationData!$B:$B,Compare!$D138:$F138))</f>
        <v>330.7</v>
      </c>
      <c r="W138" s="86">
        <f>SUMPRODUCT(SUMIFS(RawTransportationData!$G:$G,RawTransportationData!$A:$A,Compare!$V$2,RawTransportationData!$B:$B,Compare!$D138:$F138))</f>
        <v>205637.63999999998</v>
      </c>
      <c r="X138" s="32">
        <f t="shared" si="21"/>
        <v>621.82534018748106</v>
      </c>
      <c r="Y138" s="32">
        <f>SUMPRODUCT(SUMIFS(RawTransportationData!$H:$H,RawTransportationData!$A:$A,Compare!$V$1,RawTransportationData!$B:$B,Compare!$D138:$F138))</f>
        <v>68363</v>
      </c>
      <c r="Z138" s="32">
        <f t="shared" si="22"/>
        <v>137274.63999999998</v>
      </c>
    </row>
    <row r="139" spans="1:26" x14ac:dyDescent="0.55000000000000004">
      <c r="A139">
        <f>FinalPayment!A137</f>
        <v>2021</v>
      </c>
      <c r="B139" t="str">
        <f>FinalPayment!B137</f>
        <v>01</v>
      </c>
      <c r="C139" t="str">
        <f>FinalPayment!C137</f>
        <v>3029</v>
      </c>
      <c r="D139" t="str">
        <f>FinalPayment!D137</f>
        <v/>
      </c>
      <c r="E139" t="str">
        <f>FinalPayment!E137</f>
        <v/>
      </c>
      <c r="F139" t="str">
        <f>FinalPayment!F137</f>
        <v>3029</v>
      </c>
      <c r="G139" s="28" t="str">
        <f>FinalPayment!G137</f>
        <v>Howard-Winneshiek</v>
      </c>
      <c r="H139" s="85">
        <f>SUMPRODUCT(SUMIFS(RawTransportationData!$D:$D,RawTransportationData!$A:$A,Compare!$H$2,RawTransportationData!$B:$B,Compare!$D139:$F139))</f>
        <v>1169.8</v>
      </c>
      <c r="I139" s="86">
        <f>SUMPRODUCT(SUMIFS(RawTransportationData!$G:$G,RawTransportationData!$A:$A,Compare!$H$2,RawTransportationData!$B:$B,Compare!$D139:$F139))</f>
        <v>693252.58000000007</v>
      </c>
      <c r="J139" s="32">
        <f t="shared" si="23"/>
        <v>592.62487604718763</v>
      </c>
      <c r="K139" s="32">
        <f>SUMPRODUCT(SUMIFS(RawTransportationData!$H:$H,RawTransportationData!$A:$A,Compare!$E$1,RawTransportationData!$B:$B,Compare!$D139:$F139))</f>
        <v>287524</v>
      </c>
      <c r="L139" s="32">
        <f t="shared" si="16"/>
        <v>405728.58000000007</v>
      </c>
      <c r="M139" s="70">
        <f t="shared" si="17"/>
        <v>8.4369928954661222E-2</v>
      </c>
      <c r="N139" s="70">
        <f t="shared" si="18"/>
        <v>-0.18097916621962137</v>
      </c>
      <c r="O139" s="45"/>
      <c r="P139" s="85">
        <f>SUMPRODUCT(SUMIFS(RawTransportationData!$D:$D,RawTransportationData!$A:$A,Compare!$P$2,RawTransportationData!$B:$B,Compare!$D139:$F139))</f>
        <v>1158.8000000000002</v>
      </c>
      <c r="Q139" s="86">
        <f>SUMPRODUCT(SUMIFS(RawTransportationData!$G:$G,RawTransportationData!$A:$A,Compare!$P$2,RawTransportationData!$B:$B,Compare!$D139:$F139))</f>
        <v>773160.21</v>
      </c>
      <c r="R139" s="32">
        <f t="shared" si="19"/>
        <v>667.20763721090771</v>
      </c>
      <c r="S139" s="32">
        <f>SUMPRODUCT(SUMIFS(RawTransportationData!$H:$H,RawTransportationData!$A:$A,Compare!$P$1,RawTransportationData!$B:$B,Compare!$D139:$F139))</f>
        <v>331582</v>
      </c>
      <c r="T139" s="32">
        <f t="shared" si="20"/>
        <v>441578.20999999996</v>
      </c>
      <c r="U139" s="45"/>
      <c r="V139" s="85">
        <f>SUMPRODUCT(SUMIFS(RawTransportationData!$D:$D,RawTransportationData!$A:$A,Compare!$V$2,RawTransportationData!$B:$B,Compare!$D139:$F139))</f>
        <v>1193.4000000000001</v>
      </c>
      <c r="W139" s="86">
        <f>SUMPRODUCT(SUMIFS(RawTransportationData!$G:$G,RawTransportationData!$A:$A,Compare!$V$2,RawTransportationData!$B:$B,Compare!$D139:$F139))</f>
        <v>652211.49</v>
      </c>
      <c r="X139" s="32">
        <f t="shared" si="21"/>
        <v>546.51540975364503</v>
      </c>
      <c r="Y139" s="32">
        <f>SUMPRODUCT(SUMIFS(RawTransportationData!$H:$H,RawTransportationData!$A:$A,Compare!$V$1,RawTransportationData!$B:$B,Compare!$D139:$F139))</f>
        <v>156829</v>
      </c>
      <c r="Z139" s="32">
        <f t="shared" si="22"/>
        <v>495382.49</v>
      </c>
    </row>
    <row r="140" spans="1:26" x14ac:dyDescent="0.55000000000000004">
      <c r="A140">
        <f>FinalPayment!A138</f>
        <v>2021</v>
      </c>
      <c r="B140" t="str">
        <f>FinalPayment!B138</f>
        <v>07</v>
      </c>
      <c r="C140" t="str">
        <f>FinalPayment!C138</f>
        <v>3033</v>
      </c>
      <c r="D140" t="str">
        <f>FinalPayment!D138</f>
        <v/>
      </c>
      <c r="E140" t="str">
        <f>FinalPayment!E138</f>
        <v/>
      </c>
      <c r="F140" t="str">
        <f>FinalPayment!F138</f>
        <v>3033</v>
      </c>
      <c r="G140" s="28" t="str">
        <f>FinalPayment!G138</f>
        <v>Hubbard-Radcliffe</v>
      </c>
      <c r="H140" s="85">
        <f>SUMPRODUCT(SUMIFS(RawTransportationData!$D:$D,RawTransportationData!$A:$A,Compare!$H$2,RawTransportationData!$B:$B,Compare!$D140:$F140))</f>
        <v>438.4</v>
      </c>
      <c r="I140" s="86">
        <f>SUMPRODUCT(SUMIFS(RawTransportationData!$G:$G,RawTransportationData!$A:$A,Compare!$H$2,RawTransportationData!$B:$B,Compare!$D140:$F140))</f>
        <v>216503.08</v>
      </c>
      <c r="J140" s="32">
        <f t="shared" si="23"/>
        <v>493.84826642335764</v>
      </c>
      <c r="K140" s="32">
        <f>SUMPRODUCT(SUMIFS(RawTransportationData!$H:$H,RawTransportationData!$A:$A,Compare!$E$1,RawTransportationData!$B:$B,Compare!$D140:$F140))</f>
        <v>64453</v>
      </c>
      <c r="L140" s="32">
        <f t="shared" si="16"/>
        <v>152050.07999999999</v>
      </c>
      <c r="M140" s="70">
        <f t="shared" si="17"/>
        <v>-6.7669955799459905E-2</v>
      </c>
      <c r="N140" s="70">
        <f t="shared" si="18"/>
        <v>-0.20302787398716329</v>
      </c>
      <c r="O140" s="45"/>
      <c r="P140" s="85">
        <f>SUMPRODUCT(SUMIFS(RawTransportationData!$D:$D,RawTransportationData!$A:$A,Compare!$P$2,RawTransportationData!$B:$B,Compare!$D140:$F140))</f>
        <v>444.4</v>
      </c>
      <c r="Q140" s="86">
        <f>SUMPRODUCT(SUMIFS(RawTransportationData!$G:$G,RawTransportationData!$A:$A,Compare!$P$2,RawTransportationData!$B:$B,Compare!$D140:$F140))</f>
        <v>211034.46000000002</v>
      </c>
      <c r="R140" s="32">
        <f t="shared" si="19"/>
        <v>474.87502250225032</v>
      </c>
      <c r="S140" s="32">
        <f>SUMPRODUCT(SUMIFS(RawTransportationData!$H:$H,RawTransportationData!$A:$A,Compare!$P$1,RawTransportationData!$B:$B,Compare!$D140:$F140))</f>
        <v>41690</v>
      </c>
      <c r="T140" s="32">
        <f t="shared" si="20"/>
        <v>169344.46000000002</v>
      </c>
      <c r="U140" s="45"/>
      <c r="V140" s="85">
        <f>SUMPRODUCT(SUMIFS(RawTransportationData!$D:$D,RawTransportationData!$A:$A,Compare!$V$2,RawTransportationData!$B:$B,Compare!$D140:$F140))</f>
        <v>459.6</v>
      </c>
      <c r="W140" s="86">
        <f>SUMPRODUCT(SUMIFS(RawTransportationData!$G:$G,RawTransportationData!$A:$A,Compare!$V$2,RawTransportationData!$B:$B,Compare!$D140:$F140))</f>
        <v>243446.69</v>
      </c>
      <c r="X140" s="32">
        <f t="shared" si="21"/>
        <v>529.69253698868579</v>
      </c>
      <c r="Y140" s="32">
        <f>SUMPRODUCT(SUMIFS(RawTransportationData!$H:$H,RawTransportationData!$A:$A,Compare!$V$1,RawTransportationData!$B:$B,Compare!$D140:$F140))</f>
        <v>52662</v>
      </c>
      <c r="Z140" s="32">
        <f t="shared" si="22"/>
        <v>190784.69</v>
      </c>
    </row>
    <row r="141" spans="1:26" x14ac:dyDescent="0.55000000000000004">
      <c r="A141">
        <f>FinalPayment!A139</f>
        <v>2021</v>
      </c>
      <c r="B141" t="str">
        <f>FinalPayment!B139</f>
        <v>07</v>
      </c>
      <c r="C141" t="str">
        <f>FinalPayment!C139</f>
        <v>3042</v>
      </c>
      <c r="D141" t="str">
        <f>FinalPayment!D139</f>
        <v/>
      </c>
      <c r="E141" t="str">
        <f>FinalPayment!E139</f>
        <v/>
      </c>
      <c r="F141" t="str">
        <f>FinalPayment!F139</f>
        <v>3042</v>
      </c>
      <c r="G141" s="28" t="str">
        <f>FinalPayment!G139</f>
        <v>Hudson</v>
      </c>
      <c r="H141" s="85">
        <f>SUMPRODUCT(SUMIFS(RawTransportationData!$D:$D,RawTransportationData!$A:$A,Compare!$H$2,RawTransportationData!$B:$B,Compare!$D141:$F141))</f>
        <v>690.4</v>
      </c>
      <c r="I141" s="86">
        <f>SUMPRODUCT(SUMIFS(RawTransportationData!$G:$G,RawTransportationData!$A:$A,Compare!$H$2,RawTransportationData!$B:$B,Compare!$D141:$F141))</f>
        <v>239085.72</v>
      </c>
      <c r="J141" s="32">
        <f t="shared" si="23"/>
        <v>346.30028968713788</v>
      </c>
      <c r="K141" s="32">
        <f>SUMPRODUCT(SUMIFS(RawTransportationData!$H:$H,RawTransportationData!$A:$A,Compare!$E$1,RawTransportationData!$B:$B,Compare!$D141:$F141))</f>
        <v>565</v>
      </c>
      <c r="L141" s="32">
        <f t="shared" si="16"/>
        <v>238520.72</v>
      </c>
      <c r="M141" s="70">
        <f t="shared" si="17"/>
        <v>0.34890571124244973</v>
      </c>
      <c r="N141" s="70">
        <f t="shared" si="18"/>
        <v>0.39502060093904506</v>
      </c>
      <c r="O141" s="45"/>
      <c r="P141" s="85">
        <f>SUMPRODUCT(SUMIFS(RawTransportationData!$D:$D,RawTransportationData!$A:$A,Compare!$P$2,RawTransportationData!$B:$B,Compare!$D141:$F141))</f>
        <v>677</v>
      </c>
      <c r="Q141" s="86">
        <f>SUMPRODUCT(SUMIFS(RawTransportationData!$G:$G,RawTransportationData!$A:$A,Compare!$P$2,RawTransportationData!$B:$B,Compare!$D141:$F141))</f>
        <v>197278.49</v>
      </c>
      <c r="R141" s="32">
        <f t="shared" si="19"/>
        <v>291.40101920236333</v>
      </c>
      <c r="S141" s="32">
        <f>SUMPRODUCT(SUMIFS(RawTransportationData!$H:$H,RawTransportationData!$A:$A,Compare!$P$1,RawTransportationData!$B:$B,Compare!$D141:$F141))</f>
        <v>0</v>
      </c>
      <c r="T141" s="32">
        <f t="shared" si="20"/>
        <v>197278.49</v>
      </c>
      <c r="U141" s="45"/>
      <c r="V141" s="85">
        <f>SUMPRODUCT(SUMIFS(RawTransportationData!$D:$D,RawTransportationData!$A:$A,Compare!$V$2,RawTransportationData!$B:$B,Compare!$D141:$F141))</f>
        <v>666</v>
      </c>
      <c r="W141" s="86">
        <f>SUMPRODUCT(SUMIFS(RawTransportationData!$G:$G,RawTransportationData!$A:$A,Compare!$V$2,RawTransportationData!$B:$B,Compare!$D141:$F141))</f>
        <v>170980.07</v>
      </c>
      <c r="X141" s="32">
        <f t="shared" si="21"/>
        <v>256.72683183183182</v>
      </c>
      <c r="Y141" s="32">
        <f>SUMPRODUCT(SUMIFS(RawTransportationData!$H:$H,RawTransportationData!$A:$A,Compare!$V$1,RawTransportationData!$B:$B,Compare!$D141:$F141))</f>
        <v>0</v>
      </c>
      <c r="Z141" s="32">
        <f t="shared" si="22"/>
        <v>170980.07</v>
      </c>
    </row>
    <row r="142" spans="1:26" x14ac:dyDescent="0.55000000000000004">
      <c r="A142">
        <f>FinalPayment!A140</f>
        <v>2021</v>
      </c>
      <c r="B142" t="str">
        <f>FinalPayment!B140</f>
        <v>05</v>
      </c>
      <c r="C142" t="str">
        <f>FinalPayment!C140</f>
        <v>3060</v>
      </c>
      <c r="D142" t="str">
        <f>FinalPayment!D140</f>
        <v/>
      </c>
      <c r="E142" t="str">
        <f>FinalPayment!E140</f>
        <v/>
      </c>
      <c r="F142" t="str">
        <f>FinalPayment!F140</f>
        <v>3060</v>
      </c>
      <c r="G142" s="28" t="str">
        <f>FinalPayment!G140</f>
        <v>Humboldt</v>
      </c>
      <c r="H142" s="85">
        <f>SUMPRODUCT(SUMIFS(RawTransportationData!$D:$D,RawTransportationData!$A:$A,Compare!$H$2,RawTransportationData!$B:$B,Compare!$D142:$F142))</f>
        <v>1212.3</v>
      </c>
      <c r="I142" s="86">
        <f>SUMPRODUCT(SUMIFS(RawTransportationData!$G:$G,RawTransportationData!$A:$A,Compare!$H$2,RawTransportationData!$B:$B,Compare!$D142:$F142))</f>
        <v>360246.96</v>
      </c>
      <c r="J142" s="32">
        <f t="shared" si="23"/>
        <v>297.15991091314032</v>
      </c>
      <c r="K142" s="32">
        <f>SUMPRODUCT(SUMIFS(RawTransportationData!$H:$H,RawTransportationData!$A:$A,Compare!$E$1,RawTransportationData!$B:$B,Compare!$D142:$F142))</f>
        <v>992</v>
      </c>
      <c r="L142" s="32">
        <f t="shared" si="16"/>
        <v>359254.96</v>
      </c>
      <c r="M142" s="70">
        <f t="shared" si="17"/>
        <v>0.58590389991343339</v>
      </c>
      <c r="N142" s="70">
        <f t="shared" si="18"/>
        <v>0.60416425915113425</v>
      </c>
      <c r="O142" s="45"/>
      <c r="P142" s="85">
        <f>SUMPRODUCT(SUMIFS(RawTransportationData!$D:$D,RawTransportationData!$A:$A,Compare!$P$2,RawTransportationData!$B:$B,Compare!$D142:$F142))</f>
        <v>1200.3</v>
      </c>
      <c r="Q142" s="86">
        <f>SUMPRODUCT(SUMIFS(RawTransportationData!$G:$G,RawTransportationData!$A:$A,Compare!$P$2,RawTransportationData!$B:$B,Compare!$D142:$F142))</f>
        <v>306607.81</v>
      </c>
      <c r="R142" s="32">
        <f t="shared" si="19"/>
        <v>255.4426476714155</v>
      </c>
      <c r="S142" s="32">
        <f>SUMPRODUCT(SUMIFS(RawTransportationData!$H:$H,RawTransportationData!$A:$A,Compare!$P$1,RawTransportationData!$B:$B,Compare!$D142:$F142))</f>
        <v>0</v>
      </c>
      <c r="T142" s="32">
        <f t="shared" si="20"/>
        <v>306607.81</v>
      </c>
      <c r="U142" s="45"/>
      <c r="V142" s="85">
        <f>SUMPRODUCT(SUMIFS(RawTransportationData!$D:$D,RawTransportationData!$A:$A,Compare!$V$2,RawTransportationData!$B:$B,Compare!$D142:$F142))</f>
        <v>1195.1999999999998</v>
      </c>
      <c r="W142" s="86">
        <f>SUMPRODUCT(SUMIFS(RawTransportationData!$G:$G,RawTransportationData!$A:$A,Compare!$V$2,RawTransportationData!$B:$B,Compare!$D142:$F142))</f>
        <v>223951.47999999998</v>
      </c>
      <c r="X142" s="32">
        <f t="shared" si="21"/>
        <v>187.37573627844714</v>
      </c>
      <c r="Y142" s="32">
        <f>SUMPRODUCT(SUMIFS(RawTransportationData!$H:$H,RawTransportationData!$A:$A,Compare!$V$1,RawTransportationData!$B:$B,Compare!$D142:$F142))</f>
        <v>0</v>
      </c>
      <c r="Z142" s="32">
        <f t="shared" si="22"/>
        <v>223951.47999999998</v>
      </c>
    </row>
    <row r="143" spans="1:26" x14ac:dyDescent="0.55000000000000004">
      <c r="A143">
        <f>FinalPayment!A141</f>
        <v>2021</v>
      </c>
      <c r="B143" t="str">
        <f>FinalPayment!B141</f>
        <v>13</v>
      </c>
      <c r="C143" t="str">
        <f>FinalPayment!C141</f>
        <v>3168</v>
      </c>
      <c r="D143" t="str">
        <f>FinalPayment!D141</f>
        <v/>
      </c>
      <c r="E143" t="str">
        <f>FinalPayment!E141</f>
        <v/>
      </c>
      <c r="F143" t="str">
        <f>FinalPayment!F141</f>
        <v>3168</v>
      </c>
      <c r="G143" s="28" t="str">
        <f>FinalPayment!G141</f>
        <v>IKM-Manning</v>
      </c>
      <c r="H143" s="85">
        <f>SUMPRODUCT(SUMIFS(RawTransportationData!$D:$D,RawTransportationData!$A:$A,Compare!$H$2,RawTransportationData!$B:$B,Compare!$D143:$F143))</f>
        <v>683.2</v>
      </c>
      <c r="I143" s="86">
        <f>SUMPRODUCT(SUMIFS(RawTransportationData!$G:$G,RawTransportationData!$A:$A,Compare!$H$2,RawTransportationData!$B:$B,Compare!$D143:$F143))</f>
        <v>418932.29000000004</v>
      </c>
      <c r="J143" s="32">
        <f t="shared" si="23"/>
        <v>613.19129098360656</v>
      </c>
      <c r="K143" s="32">
        <f>SUMPRODUCT(SUMIFS(RawTransportationData!$H:$H,RawTransportationData!$A:$A,Compare!$E$1,RawTransportationData!$B:$B,Compare!$D143:$F143))</f>
        <v>181976</v>
      </c>
      <c r="L143" s="32">
        <f t="shared" si="16"/>
        <v>236956.29000000004</v>
      </c>
      <c r="M143" s="70">
        <f t="shared" si="17"/>
        <v>-0.13490086105295715</v>
      </c>
      <c r="N143" s="70">
        <f t="shared" si="18"/>
        <v>-0.13352730300190158</v>
      </c>
      <c r="O143" s="45"/>
      <c r="P143" s="85">
        <f>SUMPRODUCT(SUMIFS(RawTransportationData!$D:$D,RawTransportationData!$A:$A,Compare!$P$2,RawTransportationData!$B:$B,Compare!$D143:$F143))</f>
        <v>679.5</v>
      </c>
      <c r="Q143" s="86">
        <f>SUMPRODUCT(SUMIFS(RawTransportationData!$G:$G,RawTransportationData!$A:$A,Compare!$P$2,RawTransportationData!$B:$B,Compare!$D143:$F143))</f>
        <v>415819.93</v>
      </c>
      <c r="R143" s="32">
        <f t="shared" si="19"/>
        <v>611.94986019131716</v>
      </c>
      <c r="S143" s="32">
        <f>SUMPRODUCT(SUMIFS(RawTransportationData!$H:$H,RawTransportationData!$A:$A,Compare!$P$1,RawTransportationData!$B:$B,Compare!$D143:$F143))</f>
        <v>156884</v>
      </c>
      <c r="T143" s="32">
        <f t="shared" si="20"/>
        <v>258935.93</v>
      </c>
      <c r="U143" s="45"/>
      <c r="V143" s="85">
        <f>SUMPRODUCT(SUMIFS(RawTransportationData!$D:$D,RawTransportationData!$A:$A,Compare!$V$2,RawTransportationData!$B:$B,Compare!$D143:$F143))</f>
        <v>658.8</v>
      </c>
      <c r="W143" s="86">
        <f>SUMPRODUCT(SUMIFS(RawTransportationData!$G:$G,RawTransportationData!$A:$A,Compare!$V$2,RawTransportationData!$B:$B,Compare!$D143:$F143))</f>
        <v>466964.31</v>
      </c>
      <c r="X143" s="32">
        <f t="shared" si="21"/>
        <v>708.81042805100185</v>
      </c>
      <c r="Y143" s="32">
        <f>SUMPRODUCT(SUMIFS(RawTransportationData!$H:$H,RawTransportationData!$A:$A,Compare!$V$1,RawTransportationData!$B:$B,Compare!$D143:$F143))</f>
        <v>193492</v>
      </c>
      <c r="Z143" s="32">
        <f t="shared" si="22"/>
        <v>273472.31</v>
      </c>
    </row>
    <row r="144" spans="1:26" x14ac:dyDescent="0.55000000000000004">
      <c r="A144">
        <f>FinalPayment!A142</f>
        <v>2021</v>
      </c>
      <c r="B144" t="str">
        <f>FinalPayment!B142</f>
        <v>07</v>
      </c>
      <c r="C144" t="str">
        <f>FinalPayment!C142</f>
        <v>3105</v>
      </c>
      <c r="D144" t="str">
        <f>FinalPayment!D142</f>
        <v/>
      </c>
      <c r="E144" t="str">
        <f>FinalPayment!E142</f>
        <v/>
      </c>
      <c r="F144" t="str">
        <f>FinalPayment!F142</f>
        <v>3105</v>
      </c>
      <c r="G144" s="28" t="str">
        <f>FinalPayment!G142</f>
        <v>Independence</v>
      </c>
      <c r="H144" s="85">
        <f>SUMPRODUCT(SUMIFS(RawTransportationData!$D:$D,RawTransportationData!$A:$A,Compare!$H$2,RawTransportationData!$B:$B,Compare!$D144:$F144))</f>
        <v>1433.6</v>
      </c>
      <c r="I144" s="86">
        <f>SUMPRODUCT(SUMIFS(RawTransportationData!$G:$G,RawTransportationData!$A:$A,Compare!$H$2,RawTransportationData!$B:$B,Compare!$D144:$F144))</f>
        <v>467096</v>
      </c>
      <c r="J144" s="32">
        <f t="shared" si="23"/>
        <v>325.8203125</v>
      </c>
      <c r="K144" s="32">
        <f>SUMPRODUCT(SUMIFS(RawTransportationData!$H:$H,RawTransportationData!$A:$A,Compare!$E$1,RawTransportationData!$B:$B,Compare!$D144:$F144))</f>
        <v>1174</v>
      </c>
      <c r="L144" s="32">
        <f t="shared" si="16"/>
        <v>465922</v>
      </c>
      <c r="M144" s="70">
        <f t="shared" si="17"/>
        <v>0.18099452527689533</v>
      </c>
      <c r="N144" s="70">
        <f t="shared" si="18"/>
        <v>0.19927451822084039</v>
      </c>
      <c r="O144" s="45"/>
      <c r="P144" s="85">
        <f>SUMPRODUCT(SUMIFS(RawTransportationData!$D:$D,RawTransportationData!$A:$A,Compare!$P$2,RawTransportationData!$B:$B,Compare!$D144:$F144))</f>
        <v>1425.2</v>
      </c>
      <c r="Q144" s="86">
        <f>SUMPRODUCT(SUMIFS(RawTransportationData!$G:$G,RawTransportationData!$A:$A,Compare!$P$2,RawTransportationData!$B:$B,Compare!$D144:$F144))</f>
        <v>411509.3</v>
      </c>
      <c r="R144" s="32">
        <f t="shared" si="19"/>
        <v>288.73793151838339</v>
      </c>
      <c r="S144" s="32">
        <f>SUMPRODUCT(SUMIFS(RawTransportationData!$H:$H,RawTransportationData!$A:$A,Compare!$P$1,RawTransportationData!$B:$B,Compare!$D144:$F144))</f>
        <v>0</v>
      </c>
      <c r="T144" s="32">
        <f t="shared" si="20"/>
        <v>411509.3</v>
      </c>
      <c r="U144" s="45"/>
      <c r="V144" s="85">
        <f>SUMPRODUCT(SUMIFS(RawTransportationData!$D:$D,RawTransportationData!$A:$A,Compare!$V$2,RawTransportationData!$B:$B,Compare!$D144:$F144))</f>
        <v>1408.2</v>
      </c>
      <c r="W144" s="86">
        <f>SUMPRODUCT(SUMIFS(RawTransportationData!$G:$G,RawTransportationData!$A:$A,Compare!$V$2,RawTransportationData!$B:$B,Compare!$D144:$F144))</f>
        <v>388503.21</v>
      </c>
      <c r="X144" s="32">
        <f t="shared" si="21"/>
        <v>275.88638687686409</v>
      </c>
      <c r="Y144" s="32">
        <f>SUMPRODUCT(SUMIFS(RawTransportationData!$H:$H,RawTransportationData!$A:$A,Compare!$V$1,RawTransportationData!$B:$B,Compare!$D144:$F144))</f>
        <v>0</v>
      </c>
      <c r="Z144" s="32">
        <f t="shared" si="22"/>
        <v>388503.21</v>
      </c>
    </row>
    <row r="145" spans="1:26" x14ac:dyDescent="0.55000000000000004">
      <c r="A145">
        <f>FinalPayment!A143</f>
        <v>2021</v>
      </c>
      <c r="B145" t="str">
        <f>FinalPayment!B143</f>
        <v>11</v>
      </c>
      <c r="C145" t="str">
        <f>FinalPayment!C143</f>
        <v>3114</v>
      </c>
      <c r="D145" t="str">
        <f>FinalPayment!D143</f>
        <v/>
      </c>
      <c r="E145" t="str">
        <f>FinalPayment!E143</f>
        <v/>
      </c>
      <c r="F145" t="str">
        <f>FinalPayment!F143</f>
        <v>3114</v>
      </c>
      <c r="G145" s="28" t="str">
        <f>FinalPayment!G143</f>
        <v>Indianola</v>
      </c>
      <c r="H145" s="85">
        <f>SUMPRODUCT(SUMIFS(RawTransportationData!$D:$D,RawTransportationData!$A:$A,Compare!$H$2,RawTransportationData!$B:$B,Compare!$D145:$F145))</f>
        <v>3496.6</v>
      </c>
      <c r="I145" s="86">
        <f>SUMPRODUCT(SUMIFS(RawTransportationData!$G:$G,RawTransportationData!$A:$A,Compare!$H$2,RawTransportationData!$B:$B,Compare!$D145:$F145))</f>
        <v>971391.09000000008</v>
      </c>
      <c r="J145" s="32">
        <f t="shared" si="23"/>
        <v>277.8101841789167</v>
      </c>
      <c r="K145" s="32">
        <f>SUMPRODUCT(SUMIFS(RawTransportationData!$H:$H,RawTransportationData!$A:$A,Compare!$E$1,RawTransportationData!$B:$B,Compare!$D145:$F145))</f>
        <v>2862</v>
      </c>
      <c r="L145" s="32">
        <f t="shared" si="16"/>
        <v>968529.09000000008</v>
      </c>
      <c r="M145" s="70">
        <f t="shared" si="17"/>
        <v>4.8156762366246601E-2</v>
      </c>
      <c r="N145" s="70">
        <f t="shared" si="18"/>
        <v>6.5609129323478857E-2</v>
      </c>
      <c r="O145" s="45"/>
      <c r="P145" s="85">
        <f>SUMPRODUCT(SUMIFS(RawTransportationData!$D:$D,RawTransportationData!$A:$A,Compare!$P$2,RawTransportationData!$B:$B,Compare!$D145:$F145))</f>
        <v>3421.1</v>
      </c>
      <c r="Q145" s="86">
        <f>SUMPRODUCT(SUMIFS(RawTransportationData!$G:$G,RawTransportationData!$A:$A,Compare!$P$2,RawTransportationData!$B:$B,Compare!$D145:$F145))</f>
        <v>906643.7</v>
      </c>
      <c r="R145" s="32">
        <f t="shared" si="19"/>
        <v>265.01525825027039</v>
      </c>
      <c r="S145" s="32">
        <f>SUMPRODUCT(SUMIFS(RawTransportationData!$H:$H,RawTransportationData!$A:$A,Compare!$P$1,RawTransportationData!$B:$B,Compare!$D145:$F145))</f>
        <v>0</v>
      </c>
      <c r="T145" s="32">
        <f t="shared" si="20"/>
        <v>906643.7</v>
      </c>
      <c r="U145" s="45"/>
      <c r="V145" s="85">
        <f>SUMPRODUCT(SUMIFS(RawTransportationData!$D:$D,RawTransportationData!$A:$A,Compare!$V$2,RawTransportationData!$B:$B,Compare!$D145:$F145))</f>
        <v>3429.2</v>
      </c>
      <c r="W145" s="86">
        <f>SUMPRODUCT(SUMIFS(RawTransportationData!$G:$G,RawTransportationData!$A:$A,Compare!$V$2,RawTransportationData!$B:$B,Compare!$D145:$F145))</f>
        <v>908897.14</v>
      </c>
      <c r="X145" s="32">
        <f t="shared" si="21"/>
        <v>265.04640732532368</v>
      </c>
      <c r="Y145" s="32">
        <f>SUMPRODUCT(SUMIFS(RawTransportationData!$H:$H,RawTransportationData!$A:$A,Compare!$V$1,RawTransportationData!$B:$B,Compare!$D145:$F145))</f>
        <v>0</v>
      </c>
      <c r="Z145" s="32">
        <f t="shared" si="22"/>
        <v>908897.14</v>
      </c>
    </row>
    <row r="146" spans="1:26" x14ac:dyDescent="0.55000000000000004">
      <c r="A146">
        <f>FinalPayment!A144</f>
        <v>2021</v>
      </c>
      <c r="B146" t="str">
        <f>FinalPayment!B144</f>
        <v>11</v>
      </c>
      <c r="C146" t="str">
        <f>FinalPayment!C144</f>
        <v>3119</v>
      </c>
      <c r="D146" t="str">
        <f>FinalPayment!D144</f>
        <v/>
      </c>
      <c r="E146" t="str">
        <f>FinalPayment!E144</f>
        <v/>
      </c>
      <c r="F146" t="str">
        <f>FinalPayment!F144</f>
        <v>3119</v>
      </c>
      <c r="G146" s="28" t="str">
        <f>FinalPayment!G144</f>
        <v>Interstate 35</v>
      </c>
      <c r="H146" s="85">
        <f>SUMPRODUCT(SUMIFS(RawTransportationData!$D:$D,RawTransportationData!$A:$A,Compare!$H$2,RawTransportationData!$B:$B,Compare!$D146:$F146))</f>
        <v>860.8</v>
      </c>
      <c r="I146" s="86">
        <f>SUMPRODUCT(SUMIFS(RawTransportationData!$G:$G,RawTransportationData!$A:$A,Compare!$H$2,RawTransportationData!$B:$B,Compare!$D146:$F146))</f>
        <v>563140.78</v>
      </c>
      <c r="J146" s="32">
        <f t="shared" si="23"/>
        <v>654.20629646840155</v>
      </c>
      <c r="K146" s="32">
        <f>SUMPRODUCT(SUMIFS(RawTransportationData!$H:$H,RawTransportationData!$A:$A,Compare!$E$1,RawTransportationData!$B:$B,Compare!$D146:$F146))</f>
        <v>264592</v>
      </c>
      <c r="L146" s="32">
        <f t="shared" si="16"/>
        <v>298548.78000000003</v>
      </c>
      <c r="M146" s="70">
        <f t="shared" si="17"/>
        <v>0.2118102043611057</v>
      </c>
      <c r="N146" s="70">
        <f t="shared" si="18"/>
        <v>-0.19044091064936683</v>
      </c>
      <c r="O146" s="45"/>
      <c r="P146" s="85">
        <f>SUMPRODUCT(SUMIFS(RawTransportationData!$D:$D,RawTransportationData!$A:$A,Compare!$P$2,RawTransportationData!$B:$B,Compare!$D146:$F146))</f>
        <v>857.3</v>
      </c>
      <c r="Q146" s="86">
        <f>SUMPRODUCT(SUMIFS(RawTransportationData!$G:$G,RawTransportationData!$A:$A,Compare!$P$2,RawTransportationData!$B:$B,Compare!$D146:$F146))</f>
        <v>580810.89</v>
      </c>
      <c r="R146" s="32">
        <f t="shared" si="19"/>
        <v>677.48849877522457</v>
      </c>
      <c r="S146" s="32">
        <f>SUMPRODUCT(SUMIFS(RawTransportationData!$H:$H,RawTransportationData!$A:$A,Compare!$P$1,RawTransportationData!$B:$B,Compare!$D146:$F146))</f>
        <v>254123</v>
      </c>
      <c r="T146" s="32">
        <f t="shared" si="20"/>
        <v>326687.89</v>
      </c>
      <c r="U146" s="45"/>
      <c r="V146" s="85">
        <f>SUMPRODUCT(SUMIFS(RawTransportationData!$D:$D,RawTransportationData!$A:$A,Compare!$V$2,RawTransportationData!$B:$B,Compare!$D146:$F146))</f>
        <v>888.4</v>
      </c>
      <c r="W146" s="86">
        <f>SUMPRODUCT(SUMIFS(RawTransportationData!$G:$G,RawTransportationData!$A:$A,Compare!$V$2,RawTransportationData!$B:$B,Compare!$D146:$F146))</f>
        <v>479610.48</v>
      </c>
      <c r="X146" s="32">
        <f t="shared" si="21"/>
        <v>539.85871229176041</v>
      </c>
      <c r="Y146" s="32">
        <f>SUMPRODUCT(SUMIFS(RawTransportationData!$H:$H,RawTransportationData!$A:$A,Compare!$V$1,RawTransportationData!$B:$B,Compare!$D146:$F146))</f>
        <v>110831</v>
      </c>
      <c r="Z146" s="32">
        <f t="shared" si="22"/>
        <v>368779.48</v>
      </c>
    </row>
    <row r="147" spans="1:26" x14ac:dyDescent="0.55000000000000004">
      <c r="A147">
        <f>FinalPayment!A145</f>
        <v>2021</v>
      </c>
      <c r="B147" t="str">
        <f>FinalPayment!B145</f>
        <v>10</v>
      </c>
      <c r="C147" t="str">
        <f>FinalPayment!C145</f>
        <v>3141</v>
      </c>
      <c r="D147" t="str">
        <f>FinalPayment!D145</f>
        <v/>
      </c>
      <c r="E147" t="str">
        <f>FinalPayment!E145</f>
        <v/>
      </c>
      <c r="F147" t="str">
        <f>FinalPayment!F145</f>
        <v>3141</v>
      </c>
      <c r="G147" s="28" t="str">
        <f>FinalPayment!G145</f>
        <v>Iowa City</v>
      </c>
      <c r="H147" s="85">
        <f>SUMPRODUCT(SUMIFS(RawTransportationData!$D:$D,RawTransportationData!$A:$A,Compare!$H$2,RawTransportationData!$B:$B,Compare!$D147:$F147))</f>
        <v>14279.9</v>
      </c>
      <c r="I147" s="86">
        <f>SUMPRODUCT(SUMIFS(RawTransportationData!$G:$G,RawTransportationData!$A:$A,Compare!$H$2,RawTransportationData!$B:$B,Compare!$D147:$F147))</f>
        <v>2544407.66</v>
      </c>
      <c r="J147" s="32">
        <f t="shared" si="23"/>
        <v>178.18105588974714</v>
      </c>
      <c r="K147" s="32">
        <f>SUMPRODUCT(SUMIFS(RawTransportationData!$H:$H,RawTransportationData!$A:$A,Compare!$E$1,RawTransportationData!$B:$B,Compare!$D147:$F147))</f>
        <v>11689</v>
      </c>
      <c r="L147" s="32">
        <f t="shared" si="16"/>
        <v>2532718.66</v>
      </c>
      <c r="M147" s="70">
        <f t="shared" si="17"/>
        <v>0.33229881036247633</v>
      </c>
      <c r="N147" s="70">
        <f t="shared" si="18"/>
        <v>0.35453061776591349</v>
      </c>
      <c r="O147" s="45"/>
      <c r="P147" s="85">
        <f>SUMPRODUCT(SUMIFS(RawTransportationData!$D:$D,RawTransportationData!$A:$A,Compare!$P$2,RawTransportationData!$B:$B,Compare!$D147:$F147))</f>
        <v>14194.7</v>
      </c>
      <c r="Q147" s="86">
        <f>SUMPRODUCT(SUMIFS(RawTransportationData!$G:$G,RawTransportationData!$A:$A,Compare!$P$2,RawTransportationData!$B:$B,Compare!$D147:$F147))</f>
        <v>2183619.58</v>
      </c>
      <c r="R147" s="32">
        <f t="shared" si="19"/>
        <v>153.83344346833678</v>
      </c>
      <c r="S147" s="32">
        <f>SUMPRODUCT(SUMIFS(RawTransportationData!$H:$H,RawTransportationData!$A:$A,Compare!$P$1,RawTransportationData!$B:$B,Compare!$D147:$F147))</f>
        <v>0</v>
      </c>
      <c r="T147" s="32">
        <f t="shared" si="20"/>
        <v>2183619.58</v>
      </c>
      <c r="U147" s="45"/>
      <c r="V147" s="85">
        <f>SUMPRODUCT(SUMIFS(RawTransportationData!$D:$D,RawTransportationData!$A:$A,Compare!$V$2,RawTransportationData!$B:$B,Compare!$D147:$F147))</f>
        <v>13981</v>
      </c>
      <c r="W147" s="86">
        <f>SUMPRODUCT(SUMIFS(RawTransportationData!$G:$G,RawTransportationData!$A:$A,Compare!$V$2,RawTransportationData!$B:$B,Compare!$D147:$F147))</f>
        <v>1869812.78</v>
      </c>
      <c r="X147" s="32">
        <f t="shared" si="21"/>
        <v>133.73955940204564</v>
      </c>
      <c r="Y147" s="32">
        <f>SUMPRODUCT(SUMIFS(RawTransportationData!$H:$H,RawTransportationData!$A:$A,Compare!$V$1,RawTransportationData!$B:$B,Compare!$D147:$F147))</f>
        <v>0</v>
      </c>
      <c r="Z147" s="32">
        <f t="shared" si="22"/>
        <v>1869812.78</v>
      </c>
    </row>
    <row r="148" spans="1:26" x14ac:dyDescent="0.55000000000000004">
      <c r="A148">
        <f>FinalPayment!A146</f>
        <v>2021</v>
      </c>
      <c r="B148" t="str">
        <f>FinalPayment!B146</f>
        <v>07</v>
      </c>
      <c r="C148" t="str">
        <f>FinalPayment!C146</f>
        <v>3150</v>
      </c>
      <c r="D148" t="str">
        <f>FinalPayment!D146</f>
        <v/>
      </c>
      <c r="E148" t="str">
        <f>FinalPayment!E146</f>
        <v/>
      </c>
      <c r="F148" t="str">
        <f>FinalPayment!F146</f>
        <v>3150</v>
      </c>
      <c r="G148" s="28" t="str">
        <f>FinalPayment!G146</f>
        <v>Iowa Falls</v>
      </c>
      <c r="H148" s="85">
        <f>SUMPRODUCT(SUMIFS(RawTransportationData!$D:$D,RawTransportationData!$A:$A,Compare!$H$2,RawTransportationData!$B:$B,Compare!$D148:$F148))</f>
        <v>1052.7</v>
      </c>
      <c r="I148" s="86">
        <f>SUMPRODUCT(SUMIFS(RawTransportationData!$G:$G,RawTransportationData!$A:$A,Compare!$H$2,RawTransportationData!$B:$B,Compare!$D148:$F148))</f>
        <v>313419.24</v>
      </c>
      <c r="J148" s="32">
        <f t="shared" si="23"/>
        <v>297.72892561983468</v>
      </c>
      <c r="K148" s="32">
        <f>SUMPRODUCT(SUMIFS(RawTransportationData!$H:$H,RawTransportationData!$A:$A,Compare!$E$1,RawTransportationData!$B:$B,Compare!$D148:$F148))</f>
        <v>862</v>
      </c>
      <c r="L148" s="32">
        <f t="shared" si="16"/>
        <v>312557.24</v>
      </c>
      <c r="M148" s="70">
        <f t="shared" si="17"/>
        <v>0.21786245229852425</v>
      </c>
      <c r="N148" s="70">
        <f t="shared" si="18"/>
        <v>0.18458054843653021</v>
      </c>
      <c r="O148" s="45"/>
      <c r="P148" s="85">
        <f>SUMPRODUCT(SUMIFS(RawTransportationData!$D:$D,RawTransportationData!$A:$A,Compare!$P$2,RawTransportationData!$B:$B,Compare!$D148:$F148))</f>
        <v>1097.2</v>
      </c>
      <c r="Q148" s="86">
        <f>SUMPRODUCT(SUMIFS(RawTransportationData!$G:$G,RawTransportationData!$A:$A,Compare!$P$2,RawTransportationData!$B:$B,Compare!$D148:$F148))</f>
        <v>316009.41000000003</v>
      </c>
      <c r="R148" s="32">
        <f t="shared" si="19"/>
        <v>288.01440940576015</v>
      </c>
      <c r="S148" s="32">
        <f>SUMPRODUCT(SUMIFS(RawTransportationData!$H:$H,RawTransportationData!$A:$A,Compare!$P$1,RawTransportationData!$B:$B,Compare!$D148:$F148))</f>
        <v>0</v>
      </c>
      <c r="T148" s="32">
        <f t="shared" si="20"/>
        <v>316009.41000000003</v>
      </c>
      <c r="U148" s="45"/>
      <c r="V148" s="85">
        <f>SUMPRODUCT(SUMIFS(RawTransportationData!$D:$D,RawTransportationData!$A:$A,Compare!$V$2,RawTransportationData!$B:$B,Compare!$D148:$F148))</f>
        <v>1079.3</v>
      </c>
      <c r="W148" s="86">
        <f>SUMPRODUCT(SUMIFS(RawTransportationData!$G:$G,RawTransportationData!$A:$A,Compare!$V$2,RawTransportationData!$B:$B,Compare!$D148:$F148))</f>
        <v>263854.77999999997</v>
      </c>
      <c r="X148" s="32">
        <f t="shared" si="21"/>
        <v>244.46843324376908</v>
      </c>
      <c r="Y148" s="32">
        <f>SUMPRODUCT(SUMIFS(RawTransportationData!$H:$H,RawTransportationData!$A:$A,Compare!$V$1,RawTransportationData!$B:$B,Compare!$D148:$F148))</f>
        <v>0</v>
      </c>
      <c r="Z148" s="32">
        <f t="shared" si="22"/>
        <v>263854.77999999997</v>
      </c>
    </row>
    <row r="149" spans="1:26" x14ac:dyDescent="0.55000000000000004">
      <c r="A149">
        <f>FinalPayment!A147</f>
        <v>2021</v>
      </c>
      <c r="B149" t="str">
        <f>FinalPayment!B147</f>
        <v>10</v>
      </c>
      <c r="C149" t="str">
        <f>FinalPayment!C147</f>
        <v>3154</v>
      </c>
      <c r="D149" t="str">
        <f>FinalPayment!D147</f>
        <v/>
      </c>
      <c r="E149" t="str">
        <f>FinalPayment!E147</f>
        <v/>
      </c>
      <c r="F149" t="str">
        <f>FinalPayment!F147</f>
        <v>3154</v>
      </c>
      <c r="G149" s="28" t="str">
        <f>FinalPayment!G147</f>
        <v>Iowa Valley</v>
      </c>
      <c r="H149" s="85">
        <f>SUMPRODUCT(SUMIFS(RawTransportationData!$D:$D,RawTransportationData!$A:$A,Compare!$H$2,RawTransportationData!$B:$B,Compare!$D149:$F149))</f>
        <v>550.1</v>
      </c>
      <c r="I149" s="86">
        <f>SUMPRODUCT(SUMIFS(RawTransportationData!$G:$G,RawTransportationData!$A:$A,Compare!$H$2,RawTransportationData!$B:$B,Compare!$D149:$F149))</f>
        <v>175398.08</v>
      </c>
      <c r="J149" s="32">
        <f t="shared" si="23"/>
        <v>318.84762770405376</v>
      </c>
      <c r="K149" s="32">
        <f>SUMPRODUCT(SUMIFS(RawTransportationData!$H:$H,RawTransportationData!$A:$A,Compare!$E$1,RawTransportationData!$B:$B,Compare!$D149:$F149))</f>
        <v>450</v>
      </c>
      <c r="L149" s="32">
        <f t="shared" si="16"/>
        <v>174948.08</v>
      </c>
      <c r="M149" s="70">
        <f t="shared" si="17"/>
        <v>0.25554404459853741</v>
      </c>
      <c r="N149" s="70">
        <f t="shared" si="18"/>
        <v>0.2740943016371799</v>
      </c>
      <c r="O149" s="45"/>
      <c r="P149" s="85">
        <f>SUMPRODUCT(SUMIFS(RawTransportationData!$D:$D,RawTransportationData!$A:$A,Compare!$P$2,RawTransportationData!$B:$B,Compare!$D149:$F149))</f>
        <v>544.70000000000005</v>
      </c>
      <c r="Q149" s="86">
        <f>SUMPRODUCT(SUMIFS(RawTransportationData!$G:$G,RawTransportationData!$A:$A,Compare!$P$2,RawTransportationData!$B:$B,Compare!$D149:$F149))</f>
        <v>164137.18</v>
      </c>
      <c r="R149" s="32">
        <f t="shared" si="19"/>
        <v>301.33501009730122</v>
      </c>
      <c r="S149" s="32">
        <f>SUMPRODUCT(SUMIFS(RawTransportationData!$H:$H,RawTransportationData!$A:$A,Compare!$P$1,RawTransportationData!$B:$B,Compare!$D149:$F149))</f>
        <v>0</v>
      </c>
      <c r="T149" s="32">
        <f t="shared" si="20"/>
        <v>164137.18</v>
      </c>
      <c r="U149" s="45"/>
      <c r="V149" s="85">
        <f>SUMPRODUCT(SUMIFS(RawTransportationData!$D:$D,RawTransportationData!$A:$A,Compare!$V$2,RawTransportationData!$B:$B,Compare!$D149:$F149))</f>
        <v>540.70000000000005</v>
      </c>
      <c r="W149" s="86">
        <f>SUMPRODUCT(SUMIFS(RawTransportationData!$G:$G,RawTransportationData!$A:$A,Compare!$V$2,RawTransportationData!$B:$B,Compare!$D149:$F149))</f>
        <v>137311.72</v>
      </c>
      <c r="X149" s="32">
        <f t="shared" si="21"/>
        <v>253.95176622896244</v>
      </c>
      <c r="Y149" s="32">
        <f>SUMPRODUCT(SUMIFS(RawTransportationData!$H:$H,RawTransportationData!$A:$A,Compare!$V$1,RawTransportationData!$B:$B,Compare!$D149:$F149))</f>
        <v>0</v>
      </c>
      <c r="Z149" s="32">
        <f t="shared" si="22"/>
        <v>137311.72</v>
      </c>
    </row>
    <row r="150" spans="1:26" x14ac:dyDescent="0.55000000000000004">
      <c r="A150">
        <f>FinalPayment!A148</f>
        <v>2021</v>
      </c>
      <c r="B150" t="str">
        <f>FinalPayment!B148</f>
        <v>07</v>
      </c>
      <c r="C150" t="str">
        <f>FinalPayment!C148</f>
        <v>3186</v>
      </c>
      <c r="D150" t="str">
        <f>FinalPayment!D148</f>
        <v/>
      </c>
      <c r="E150" t="str">
        <f>FinalPayment!E148</f>
        <v/>
      </c>
      <c r="F150" t="str">
        <f>FinalPayment!F148</f>
        <v>3186</v>
      </c>
      <c r="G150" s="28" t="str">
        <f>FinalPayment!G148</f>
        <v>Janesville</v>
      </c>
      <c r="H150" s="85">
        <f>SUMPRODUCT(SUMIFS(RawTransportationData!$D:$D,RawTransportationData!$A:$A,Compare!$H$2,RawTransportationData!$B:$B,Compare!$D150:$F150))</f>
        <v>432.1</v>
      </c>
      <c r="I150" s="86">
        <f>SUMPRODUCT(SUMIFS(RawTransportationData!$G:$G,RawTransportationData!$A:$A,Compare!$H$2,RawTransportationData!$B:$B,Compare!$D150:$F150))</f>
        <v>126611.85</v>
      </c>
      <c r="J150" s="32">
        <f t="shared" si="23"/>
        <v>293.01515852811849</v>
      </c>
      <c r="K150" s="32">
        <f>SUMPRODUCT(SUMIFS(RawTransportationData!$H:$H,RawTransportationData!$A:$A,Compare!$E$1,RawTransportationData!$B:$B,Compare!$D150:$F150))</f>
        <v>354</v>
      </c>
      <c r="L150" s="32">
        <f t="shared" si="16"/>
        <v>126257.85</v>
      </c>
      <c r="M150" s="70">
        <f t="shared" si="17"/>
        <v>-4.3073625729537907E-2</v>
      </c>
      <c r="N150" s="70">
        <f t="shared" si="18"/>
        <v>5.9434214232724998E-2</v>
      </c>
      <c r="O150" s="45"/>
      <c r="P150" s="85">
        <f>SUMPRODUCT(SUMIFS(RawTransportationData!$D:$D,RawTransportationData!$A:$A,Compare!$P$2,RawTransportationData!$B:$B,Compare!$D150:$F150))</f>
        <v>403</v>
      </c>
      <c r="Q150" s="86">
        <f>SUMPRODUCT(SUMIFS(RawTransportationData!$G:$G,RawTransportationData!$A:$A,Compare!$P$2,RawTransportationData!$B:$B,Compare!$D150:$F150))</f>
        <v>161905.91</v>
      </c>
      <c r="R150" s="32">
        <f t="shared" si="19"/>
        <v>401.75163771712158</v>
      </c>
      <c r="S150" s="32">
        <f>SUMPRODUCT(SUMIFS(RawTransportationData!$H:$H,RawTransportationData!$A:$A,Compare!$P$1,RawTransportationData!$B:$B,Compare!$D150:$F150))</f>
        <v>8335</v>
      </c>
      <c r="T150" s="32">
        <f t="shared" si="20"/>
        <v>153570.91</v>
      </c>
      <c r="U150" s="45"/>
      <c r="V150" s="85">
        <f>SUMPRODUCT(SUMIFS(RawTransportationData!$D:$D,RawTransportationData!$A:$A,Compare!$V$2,RawTransportationData!$B:$B,Compare!$D150:$F150))</f>
        <v>389.2</v>
      </c>
      <c r="W150" s="86">
        <f>SUMPRODUCT(SUMIFS(RawTransportationData!$G:$G,RawTransportationData!$A:$A,Compare!$V$2,RawTransportationData!$B:$B,Compare!$D150:$F150))</f>
        <v>119174.79</v>
      </c>
      <c r="X150" s="32">
        <f t="shared" si="21"/>
        <v>306.20449640287768</v>
      </c>
      <c r="Y150" s="32">
        <f>SUMPRODUCT(SUMIFS(RawTransportationData!$H:$H,RawTransportationData!$A:$A,Compare!$V$1,RawTransportationData!$B:$B,Compare!$D150:$F150))</f>
        <v>0</v>
      </c>
      <c r="Z150" s="32">
        <f t="shared" si="22"/>
        <v>119174.79</v>
      </c>
    </row>
    <row r="151" spans="1:26" x14ac:dyDescent="0.55000000000000004">
      <c r="A151">
        <f>FinalPayment!A149</f>
        <v>2021</v>
      </c>
      <c r="B151" t="str">
        <f>FinalPayment!B149</f>
        <v>07</v>
      </c>
      <c r="C151" t="str">
        <f>FinalPayment!C149</f>
        <v>3204</v>
      </c>
      <c r="D151" t="str">
        <f>FinalPayment!D149</f>
        <v/>
      </c>
      <c r="E151" t="str">
        <f>FinalPayment!E149</f>
        <v/>
      </c>
      <c r="F151" t="str">
        <f>FinalPayment!F149</f>
        <v>3204</v>
      </c>
      <c r="G151" s="28" t="str">
        <f>FinalPayment!G149</f>
        <v>Jesup</v>
      </c>
      <c r="H151" s="85">
        <f>SUMPRODUCT(SUMIFS(RawTransportationData!$D:$D,RawTransportationData!$A:$A,Compare!$H$2,RawTransportationData!$B:$B,Compare!$D151:$F151))</f>
        <v>919.2</v>
      </c>
      <c r="I151" s="86">
        <f>SUMPRODUCT(SUMIFS(RawTransportationData!$G:$G,RawTransportationData!$A:$A,Compare!$H$2,RawTransportationData!$B:$B,Compare!$D151:$F151))</f>
        <v>266411.53000000003</v>
      </c>
      <c r="J151" s="32">
        <f t="shared" si="23"/>
        <v>289.82977589208008</v>
      </c>
      <c r="K151" s="32">
        <f>SUMPRODUCT(SUMIFS(RawTransportationData!$H:$H,RawTransportationData!$A:$A,Compare!$E$1,RawTransportationData!$B:$B,Compare!$D151:$F151))</f>
        <v>752</v>
      </c>
      <c r="L151" s="32">
        <f t="shared" si="16"/>
        <v>265659.53000000003</v>
      </c>
      <c r="M151" s="70">
        <f t="shared" si="17"/>
        <v>2.5516105096598175E-2</v>
      </c>
      <c r="N151" s="70">
        <f t="shared" si="18"/>
        <v>6.0940826865181145E-2</v>
      </c>
      <c r="O151" s="45"/>
      <c r="P151" s="85">
        <f>SUMPRODUCT(SUMIFS(RawTransportationData!$D:$D,RawTransportationData!$A:$A,Compare!$P$2,RawTransportationData!$B:$B,Compare!$D151:$F151))</f>
        <v>908</v>
      </c>
      <c r="Q151" s="86">
        <f>SUMPRODUCT(SUMIFS(RawTransportationData!$G:$G,RawTransportationData!$A:$A,Compare!$P$2,RawTransportationData!$B:$B,Compare!$D151:$F151))</f>
        <v>277205.5</v>
      </c>
      <c r="R151" s="32">
        <f t="shared" si="19"/>
        <v>305.29240088105729</v>
      </c>
      <c r="S151" s="32">
        <f>SUMPRODUCT(SUMIFS(RawTransportationData!$H:$H,RawTransportationData!$A:$A,Compare!$P$1,RawTransportationData!$B:$B,Compare!$D151:$F151))</f>
        <v>0</v>
      </c>
      <c r="T151" s="32">
        <f t="shared" si="20"/>
        <v>277205.5</v>
      </c>
      <c r="U151" s="45"/>
      <c r="V151" s="85">
        <f>SUMPRODUCT(SUMIFS(RawTransportationData!$D:$D,RawTransportationData!$A:$A,Compare!$V$2,RawTransportationData!$B:$B,Compare!$D151:$F151))</f>
        <v>886</v>
      </c>
      <c r="W151" s="86">
        <f>SUMPRODUCT(SUMIFS(RawTransportationData!$G:$G,RawTransportationData!$A:$A,Compare!$V$2,RawTransportationData!$B:$B,Compare!$D151:$F151))</f>
        <v>250399.95</v>
      </c>
      <c r="X151" s="32">
        <f t="shared" si="21"/>
        <v>282.61845372460499</v>
      </c>
      <c r="Y151" s="32">
        <f>SUMPRODUCT(SUMIFS(RawTransportationData!$H:$H,RawTransportationData!$A:$A,Compare!$V$1,RawTransportationData!$B:$B,Compare!$D151:$F151))</f>
        <v>0</v>
      </c>
      <c r="Z151" s="32">
        <f t="shared" si="22"/>
        <v>250399.95</v>
      </c>
    </row>
    <row r="152" spans="1:26" x14ac:dyDescent="0.55000000000000004">
      <c r="A152">
        <f>FinalPayment!A150</f>
        <v>2021</v>
      </c>
      <c r="B152" t="str">
        <f>FinalPayment!B150</f>
        <v>11</v>
      </c>
      <c r="C152" t="str">
        <f>FinalPayment!C150</f>
        <v>3231</v>
      </c>
      <c r="D152" t="str">
        <f>FinalPayment!D150</f>
        <v/>
      </c>
      <c r="E152" t="str">
        <f>FinalPayment!E150</f>
        <v/>
      </c>
      <c r="F152" t="str">
        <f>FinalPayment!F150</f>
        <v>3231</v>
      </c>
      <c r="G152" s="28" t="str">
        <f>FinalPayment!G150</f>
        <v>Johnston</v>
      </c>
      <c r="H152" s="85">
        <f>SUMPRODUCT(SUMIFS(RawTransportationData!$D:$D,RawTransportationData!$A:$A,Compare!$H$2,RawTransportationData!$B:$B,Compare!$D152:$F152))</f>
        <v>7057.6</v>
      </c>
      <c r="I152" s="86">
        <f>SUMPRODUCT(SUMIFS(RawTransportationData!$G:$G,RawTransportationData!$A:$A,Compare!$H$2,RawTransportationData!$B:$B,Compare!$D152:$F152))</f>
        <v>2817388.52</v>
      </c>
      <c r="J152" s="32">
        <f t="shared" si="23"/>
        <v>399.19923486737702</v>
      </c>
      <c r="K152" s="32">
        <f>SUMPRODUCT(SUMIFS(RawTransportationData!$H:$H,RawTransportationData!$A:$A,Compare!$E$1,RawTransportationData!$B:$B,Compare!$D152:$F152))</f>
        <v>369596</v>
      </c>
      <c r="L152" s="32">
        <f t="shared" si="16"/>
        <v>2447792.52</v>
      </c>
      <c r="M152" s="70">
        <f t="shared" si="17"/>
        <v>0.10814807314865736</v>
      </c>
      <c r="N152" s="70">
        <f t="shared" si="18"/>
        <v>-1.4404253264108338E-2</v>
      </c>
      <c r="O152" s="45"/>
      <c r="P152" s="85">
        <f>SUMPRODUCT(SUMIFS(RawTransportationData!$D:$D,RawTransportationData!$A:$A,Compare!$P$2,RawTransportationData!$B:$B,Compare!$D152:$F152))</f>
        <v>7074.1</v>
      </c>
      <c r="Q152" s="86">
        <f>SUMPRODUCT(SUMIFS(RawTransportationData!$G:$G,RawTransportationData!$A:$A,Compare!$P$2,RawTransportationData!$B:$B,Compare!$D152:$F152))</f>
        <v>2649264.98</v>
      </c>
      <c r="R152" s="32">
        <f t="shared" si="19"/>
        <v>374.5020539715299</v>
      </c>
      <c r="S152" s="32">
        <f>SUMPRODUCT(SUMIFS(RawTransportationData!$H:$H,RawTransportationData!$A:$A,Compare!$P$1,RawTransportationData!$B:$B,Compare!$D152:$F152))</f>
        <v>0</v>
      </c>
      <c r="T152" s="32">
        <f t="shared" si="20"/>
        <v>2649264.98</v>
      </c>
      <c r="U152" s="45"/>
      <c r="V152" s="85">
        <f>SUMPRODUCT(SUMIFS(RawTransportationData!$D:$D,RawTransportationData!$A:$A,Compare!$V$2,RawTransportationData!$B:$B,Compare!$D152:$F152))</f>
        <v>6894.2</v>
      </c>
      <c r="W152" s="86">
        <f>SUMPRODUCT(SUMIFS(RawTransportationData!$G:$G,RawTransportationData!$A:$A,Compare!$V$2,RawTransportationData!$B:$B,Compare!$D152:$F152))</f>
        <v>2483566.44</v>
      </c>
      <c r="X152" s="32">
        <f t="shared" si="21"/>
        <v>360.23997563169041</v>
      </c>
      <c r="Y152" s="32">
        <f>SUMPRODUCT(SUMIFS(RawTransportationData!$H:$H,RawTransportationData!$A:$A,Compare!$V$1,RawTransportationData!$B:$B,Compare!$D152:$F152))</f>
        <v>0</v>
      </c>
      <c r="Z152" s="32">
        <f t="shared" si="22"/>
        <v>2483566.44</v>
      </c>
    </row>
    <row r="153" spans="1:26" x14ac:dyDescent="0.55000000000000004">
      <c r="A153">
        <f>FinalPayment!A151</f>
        <v>2021</v>
      </c>
      <c r="B153" t="str">
        <f>FinalPayment!B151</f>
        <v>15</v>
      </c>
      <c r="C153" t="str">
        <f>FinalPayment!C151</f>
        <v>3312</v>
      </c>
      <c r="D153" t="str">
        <f>FinalPayment!D151</f>
        <v/>
      </c>
      <c r="E153" t="str">
        <f>FinalPayment!E151</f>
        <v/>
      </c>
      <c r="F153" t="str">
        <f>FinalPayment!F151</f>
        <v>3312</v>
      </c>
      <c r="G153" s="28" t="str">
        <f>FinalPayment!G151</f>
        <v>Keokuk</v>
      </c>
      <c r="H153" s="85">
        <f>SUMPRODUCT(SUMIFS(RawTransportationData!$D:$D,RawTransportationData!$A:$A,Compare!$H$2,RawTransportationData!$B:$B,Compare!$D153:$F153))</f>
        <v>1874.4</v>
      </c>
      <c r="I153" s="86">
        <f>SUMPRODUCT(SUMIFS(RawTransportationData!$G:$G,RawTransportationData!$A:$A,Compare!$H$2,RawTransportationData!$B:$B,Compare!$D153:$F153))</f>
        <v>273515</v>
      </c>
      <c r="J153" s="32">
        <f t="shared" si="23"/>
        <v>145.92136150234742</v>
      </c>
      <c r="K153" s="32">
        <f>SUMPRODUCT(SUMIFS(RawTransportationData!$H:$H,RawTransportationData!$A:$A,Compare!$E$1,RawTransportationData!$B:$B,Compare!$D153:$F153))</f>
        <v>1534</v>
      </c>
      <c r="L153" s="32">
        <f t="shared" si="16"/>
        <v>271981</v>
      </c>
      <c r="M153" s="70">
        <f t="shared" si="17"/>
        <v>0.30889278151813482</v>
      </c>
      <c r="N153" s="70">
        <f t="shared" si="18"/>
        <v>0.27482305438568844</v>
      </c>
      <c r="O153" s="45"/>
      <c r="P153" s="85">
        <f>SUMPRODUCT(SUMIFS(RawTransportationData!$D:$D,RawTransportationData!$A:$A,Compare!$P$2,RawTransportationData!$B:$B,Compare!$D153:$F153))</f>
        <v>1909.6000000000001</v>
      </c>
      <c r="Q153" s="86">
        <f>SUMPRODUCT(SUMIFS(RawTransportationData!$G:$G,RawTransportationData!$A:$A,Compare!$P$2,RawTransportationData!$B:$B,Compare!$D153:$F153))</f>
        <v>226318.04</v>
      </c>
      <c r="R153" s="32">
        <f t="shared" si="19"/>
        <v>118.5159405111018</v>
      </c>
      <c r="S153" s="32">
        <f>SUMPRODUCT(SUMIFS(RawTransportationData!$H:$H,RawTransportationData!$A:$A,Compare!$P$1,RawTransportationData!$B:$B,Compare!$D153:$F153))</f>
        <v>0</v>
      </c>
      <c r="T153" s="32">
        <f t="shared" si="20"/>
        <v>226318.04</v>
      </c>
      <c r="U153" s="45"/>
      <c r="V153" s="85">
        <f>SUMPRODUCT(SUMIFS(RawTransportationData!$D:$D,RawTransportationData!$A:$A,Compare!$V$2,RawTransportationData!$B:$B,Compare!$D153:$F153))</f>
        <v>1913.7</v>
      </c>
      <c r="W153" s="86">
        <f>SUMPRODUCT(SUMIFS(RawTransportationData!$G:$G,RawTransportationData!$A:$A,Compare!$V$2,RawTransportationData!$B:$B,Compare!$D153:$F153))</f>
        <v>213348.03999999998</v>
      </c>
      <c r="X153" s="32">
        <f t="shared" si="21"/>
        <v>111.48457961017922</v>
      </c>
      <c r="Y153" s="32">
        <f>SUMPRODUCT(SUMIFS(RawTransportationData!$H:$H,RawTransportationData!$A:$A,Compare!$V$1,RawTransportationData!$B:$B,Compare!$D153:$F153))</f>
        <v>0</v>
      </c>
      <c r="Z153" s="32">
        <f t="shared" si="22"/>
        <v>213348.03999999998</v>
      </c>
    </row>
    <row r="154" spans="1:26" x14ac:dyDescent="0.55000000000000004">
      <c r="A154">
        <f>FinalPayment!A152</f>
        <v>2021</v>
      </c>
      <c r="B154" t="str">
        <f>FinalPayment!B152</f>
        <v>15</v>
      </c>
      <c r="C154" t="str">
        <f>FinalPayment!C152</f>
        <v>3330</v>
      </c>
      <c r="D154" t="str">
        <f>FinalPayment!D152</f>
        <v/>
      </c>
      <c r="E154" t="str">
        <f>FinalPayment!E152</f>
        <v/>
      </c>
      <c r="F154" t="str">
        <f>FinalPayment!F152</f>
        <v>3330</v>
      </c>
      <c r="G154" s="28" t="str">
        <f>FinalPayment!G152</f>
        <v>Keota</v>
      </c>
      <c r="H154" s="85">
        <f>SUMPRODUCT(SUMIFS(RawTransportationData!$D:$D,RawTransportationData!$A:$A,Compare!$H$2,RawTransportationData!$B:$B,Compare!$D154:$F154))</f>
        <v>332.6</v>
      </c>
      <c r="I154" s="86">
        <f>SUMPRODUCT(SUMIFS(RawTransportationData!$G:$G,RawTransportationData!$A:$A,Compare!$H$2,RawTransportationData!$B:$B,Compare!$D154:$F154))</f>
        <v>196133.69</v>
      </c>
      <c r="J154" s="32">
        <f t="shared" si="23"/>
        <v>589.69840649428738</v>
      </c>
      <c r="K154" s="32">
        <f>SUMPRODUCT(SUMIFS(RawTransportationData!$H:$H,RawTransportationData!$A:$A,Compare!$E$1,RawTransportationData!$B:$B,Compare!$D154:$F154))</f>
        <v>80778</v>
      </c>
      <c r="L154" s="32">
        <f t="shared" si="16"/>
        <v>115355.69</v>
      </c>
      <c r="M154" s="70">
        <f t="shared" si="17"/>
        <v>0.40719017857574491</v>
      </c>
      <c r="N154" s="70">
        <f t="shared" si="18"/>
        <v>-0.20374204143705638</v>
      </c>
      <c r="O154" s="45"/>
      <c r="P154" s="85">
        <f>SUMPRODUCT(SUMIFS(RawTransportationData!$D:$D,RawTransportationData!$A:$A,Compare!$P$2,RawTransportationData!$B:$B,Compare!$D154:$F154))</f>
        <v>341.3</v>
      </c>
      <c r="Q154" s="86">
        <f>SUMPRODUCT(SUMIFS(RawTransportationData!$G:$G,RawTransportationData!$A:$A,Compare!$P$2,RawTransportationData!$B:$B,Compare!$D154:$F154))</f>
        <v>154722.21</v>
      </c>
      <c r="R154" s="32">
        <f t="shared" si="19"/>
        <v>453.33199531204212</v>
      </c>
      <c r="S154" s="32">
        <f>SUMPRODUCT(SUMIFS(RawTransportationData!$H:$H,RawTransportationData!$A:$A,Compare!$P$1,RawTransportationData!$B:$B,Compare!$D154:$F154))</f>
        <v>24663</v>
      </c>
      <c r="T154" s="32">
        <f t="shared" si="20"/>
        <v>130059.20999999999</v>
      </c>
      <c r="U154" s="45"/>
      <c r="V154" s="85">
        <f>SUMPRODUCT(SUMIFS(RawTransportationData!$D:$D,RawTransportationData!$A:$A,Compare!$V$2,RawTransportationData!$B:$B,Compare!$D154:$F154))</f>
        <v>349</v>
      </c>
      <c r="W154" s="86">
        <f>SUMPRODUCT(SUMIFS(RawTransportationData!$G:$G,RawTransportationData!$A:$A,Compare!$V$2,RawTransportationData!$B:$B,Compare!$D154:$F154))</f>
        <v>146252.26</v>
      </c>
      <c r="X154" s="32">
        <f t="shared" si="21"/>
        <v>419.06091690544417</v>
      </c>
      <c r="Y154" s="32">
        <f>SUMPRODUCT(SUMIFS(RawTransportationData!$H:$H,RawTransportationData!$A:$A,Compare!$V$1,RawTransportationData!$B:$B,Compare!$D154:$F154))</f>
        <v>1380</v>
      </c>
      <c r="Z154" s="32">
        <f t="shared" si="22"/>
        <v>144872.26</v>
      </c>
    </row>
    <row r="155" spans="1:26" x14ac:dyDescent="0.55000000000000004">
      <c r="A155">
        <f>FinalPayment!A153</f>
        <v>2021</v>
      </c>
      <c r="B155" t="str">
        <f>FinalPayment!B153</f>
        <v>12</v>
      </c>
      <c r="C155" t="str">
        <f>FinalPayment!C153</f>
        <v>3348</v>
      </c>
      <c r="D155" t="str">
        <f>FinalPayment!D153</f>
        <v/>
      </c>
      <c r="E155" t="str">
        <f>FinalPayment!E153</f>
        <v/>
      </c>
      <c r="F155" t="str">
        <f>FinalPayment!F153</f>
        <v>3348</v>
      </c>
      <c r="G155" s="28" t="str">
        <f>FinalPayment!G153</f>
        <v>Kingsley-Pierson</v>
      </c>
      <c r="H155" s="85">
        <f>SUMPRODUCT(SUMIFS(RawTransportationData!$D:$D,RawTransportationData!$A:$A,Compare!$H$2,RawTransportationData!$B:$B,Compare!$D155:$F155))</f>
        <v>440.3</v>
      </c>
      <c r="I155" s="86">
        <f>SUMPRODUCT(SUMIFS(RawTransportationData!$G:$G,RawTransportationData!$A:$A,Compare!$H$2,RawTransportationData!$B:$B,Compare!$D155:$F155))</f>
        <v>132204.29</v>
      </c>
      <c r="J155" s="32">
        <f t="shared" si="23"/>
        <v>300.25957301839657</v>
      </c>
      <c r="K155" s="32">
        <f>SUMPRODUCT(SUMIFS(RawTransportationData!$H:$H,RawTransportationData!$A:$A,Compare!$E$1,RawTransportationData!$B:$B,Compare!$D155:$F155))</f>
        <v>360</v>
      </c>
      <c r="L155" s="32">
        <f t="shared" si="16"/>
        <v>131844.29</v>
      </c>
      <c r="M155" s="70">
        <f t="shared" si="17"/>
        <v>-2.9578335794487542E-2</v>
      </c>
      <c r="N155" s="70">
        <f t="shared" si="18"/>
        <v>-8.8137899715999835E-2</v>
      </c>
      <c r="O155" s="45"/>
      <c r="P155" s="85">
        <f>SUMPRODUCT(SUMIFS(RawTransportationData!$D:$D,RawTransportationData!$A:$A,Compare!$P$2,RawTransportationData!$B:$B,Compare!$D155:$F155))</f>
        <v>456.4</v>
      </c>
      <c r="Q155" s="86">
        <f>SUMPRODUCT(SUMIFS(RawTransportationData!$G:$G,RawTransportationData!$A:$A,Compare!$P$2,RawTransportationData!$B:$B,Compare!$D155:$F155))</f>
        <v>121445.82</v>
      </c>
      <c r="R155" s="32">
        <f t="shared" si="19"/>
        <v>266.09513584574938</v>
      </c>
      <c r="S155" s="32">
        <f>SUMPRODUCT(SUMIFS(RawTransportationData!$H:$H,RawTransportationData!$A:$A,Compare!$P$1,RawTransportationData!$B:$B,Compare!$D155:$F155))</f>
        <v>0</v>
      </c>
      <c r="T155" s="32">
        <f t="shared" si="20"/>
        <v>121445.82</v>
      </c>
      <c r="U155" s="45"/>
      <c r="V155" s="85">
        <f>SUMPRODUCT(SUMIFS(RawTransportationData!$D:$D,RawTransportationData!$A:$A,Compare!$V$2,RawTransportationData!$B:$B,Compare!$D155:$F155))</f>
        <v>467.3</v>
      </c>
      <c r="W155" s="86">
        <f>SUMPRODUCT(SUMIFS(RawTransportationData!$G:$G,RawTransportationData!$A:$A,Compare!$V$2,RawTransportationData!$B:$B,Compare!$D155:$F155))</f>
        <v>144587.97</v>
      </c>
      <c r="X155" s="32">
        <f t="shared" si="21"/>
        <v>309.41144874812755</v>
      </c>
      <c r="Y155" s="32">
        <f>SUMPRODUCT(SUMIFS(RawTransportationData!$H:$H,RawTransportationData!$A:$A,Compare!$V$1,RawTransportationData!$B:$B,Compare!$D155:$F155))</f>
        <v>0</v>
      </c>
      <c r="Z155" s="32">
        <f t="shared" si="22"/>
        <v>144587.97</v>
      </c>
    </row>
    <row r="156" spans="1:26" x14ac:dyDescent="0.55000000000000004">
      <c r="A156">
        <f>FinalPayment!A154</f>
        <v>2021</v>
      </c>
      <c r="B156" t="str">
        <f>FinalPayment!B154</f>
        <v>11</v>
      </c>
      <c r="C156" t="str">
        <f>FinalPayment!C154</f>
        <v>3375</v>
      </c>
      <c r="D156" t="str">
        <f>FinalPayment!D154</f>
        <v/>
      </c>
      <c r="E156" t="str">
        <f>FinalPayment!E154</f>
        <v/>
      </c>
      <c r="F156" t="str">
        <f>FinalPayment!F154</f>
        <v>3375</v>
      </c>
      <c r="G156" s="28" t="str">
        <f>FinalPayment!G154</f>
        <v>Knoxville</v>
      </c>
      <c r="H156" s="85">
        <f>SUMPRODUCT(SUMIFS(RawTransportationData!$D:$D,RawTransportationData!$A:$A,Compare!$H$2,RawTransportationData!$B:$B,Compare!$D156:$F156))</f>
        <v>1757.7</v>
      </c>
      <c r="I156" s="86">
        <f>SUMPRODUCT(SUMIFS(RawTransportationData!$G:$G,RawTransportationData!$A:$A,Compare!$H$2,RawTransportationData!$B:$B,Compare!$D156:$F156))</f>
        <v>461251.4</v>
      </c>
      <c r="J156" s="32">
        <f t="shared" si="23"/>
        <v>262.41759117027937</v>
      </c>
      <c r="K156" s="32">
        <f>SUMPRODUCT(SUMIFS(RawTransportationData!$H:$H,RawTransportationData!$A:$A,Compare!$E$1,RawTransportationData!$B:$B,Compare!$D156:$F156))</f>
        <v>1439</v>
      </c>
      <c r="L156" s="32">
        <f t="shared" si="16"/>
        <v>459812.4</v>
      </c>
      <c r="M156" s="70">
        <f t="shared" si="17"/>
        <v>4.9212410644293547E-2</v>
      </c>
      <c r="N156" s="70">
        <f t="shared" si="18"/>
        <v>5.3672148921519579E-2</v>
      </c>
      <c r="O156" s="45"/>
      <c r="P156" s="85">
        <f>SUMPRODUCT(SUMIFS(RawTransportationData!$D:$D,RawTransportationData!$A:$A,Compare!$P$2,RawTransportationData!$B:$B,Compare!$D156:$F156))</f>
        <v>1763.9</v>
      </c>
      <c r="Q156" s="86">
        <f>SUMPRODUCT(SUMIFS(RawTransportationData!$G:$G,RawTransportationData!$A:$A,Compare!$P$2,RawTransportationData!$B:$B,Compare!$D156:$F156))</f>
        <v>453315.64</v>
      </c>
      <c r="R156" s="32">
        <f t="shared" si="19"/>
        <v>256.99622427575258</v>
      </c>
      <c r="S156" s="32">
        <f>SUMPRODUCT(SUMIFS(RawTransportationData!$H:$H,RawTransportationData!$A:$A,Compare!$P$1,RawTransportationData!$B:$B,Compare!$D156:$F156))</f>
        <v>0</v>
      </c>
      <c r="T156" s="32">
        <f t="shared" si="20"/>
        <v>453315.64</v>
      </c>
      <c r="U156" s="45"/>
      <c r="V156" s="85">
        <f>SUMPRODUCT(SUMIFS(RawTransportationData!$D:$D,RawTransportationData!$A:$A,Compare!$V$2,RawTransportationData!$B:$B,Compare!$D156:$F156))</f>
        <v>1744.8</v>
      </c>
      <c r="W156" s="86">
        <f>SUMPRODUCT(SUMIFS(RawTransportationData!$G:$G,RawTransportationData!$A:$A,Compare!$V$2,RawTransportationData!$B:$B,Compare!$D156:$F156))</f>
        <v>436390.39</v>
      </c>
      <c r="X156" s="32">
        <f t="shared" si="21"/>
        <v>250.10911852361303</v>
      </c>
      <c r="Y156" s="32">
        <f>SUMPRODUCT(SUMIFS(RawTransportationData!$H:$H,RawTransportationData!$A:$A,Compare!$V$1,RawTransportationData!$B:$B,Compare!$D156:$F156))</f>
        <v>0</v>
      </c>
      <c r="Z156" s="32">
        <f t="shared" si="22"/>
        <v>436390.39</v>
      </c>
    </row>
    <row r="157" spans="1:26" x14ac:dyDescent="0.55000000000000004">
      <c r="A157">
        <f>FinalPayment!A155</f>
        <v>2021</v>
      </c>
      <c r="B157" t="str">
        <f>FinalPayment!B155</f>
        <v>07</v>
      </c>
      <c r="C157" t="str">
        <f>FinalPayment!C155</f>
        <v>3420</v>
      </c>
      <c r="D157" t="str">
        <f>FinalPayment!D155</f>
        <v/>
      </c>
      <c r="E157" t="str">
        <f>FinalPayment!E155</f>
        <v/>
      </c>
      <c r="F157" t="str">
        <f>FinalPayment!F155</f>
        <v>3420</v>
      </c>
      <c r="G157" s="28" t="str">
        <f>FinalPayment!G155</f>
        <v>Lake Mills</v>
      </c>
      <c r="H157" s="85">
        <f>SUMPRODUCT(SUMIFS(RawTransportationData!$D:$D,RawTransportationData!$A:$A,Compare!$H$2,RawTransportationData!$B:$B,Compare!$D157:$F157))</f>
        <v>595.70000000000005</v>
      </c>
      <c r="I157" s="86">
        <f>SUMPRODUCT(SUMIFS(RawTransportationData!$G:$G,RawTransportationData!$A:$A,Compare!$H$2,RawTransportationData!$B:$B,Compare!$D157:$F157))</f>
        <v>343854.26</v>
      </c>
      <c r="J157" s="32">
        <f t="shared" si="23"/>
        <v>577.22722847070668</v>
      </c>
      <c r="K157" s="32">
        <f>SUMPRODUCT(SUMIFS(RawTransportationData!$H:$H,RawTransportationData!$A:$A,Compare!$E$1,RawTransportationData!$B:$B,Compare!$D157:$F157))</f>
        <v>137249</v>
      </c>
      <c r="L157" s="32">
        <f t="shared" si="16"/>
        <v>206605.26</v>
      </c>
      <c r="M157" s="70">
        <f t="shared" si="17"/>
        <v>-4.1583045548900952E-2</v>
      </c>
      <c r="N157" s="70">
        <f t="shared" si="18"/>
        <v>-0.1907099470966537</v>
      </c>
      <c r="O157" s="45"/>
      <c r="P157" s="85">
        <f>SUMPRODUCT(SUMIFS(RawTransportationData!$D:$D,RawTransportationData!$A:$A,Compare!$P$2,RawTransportationData!$B:$B,Compare!$D157:$F157))</f>
        <v>614.6</v>
      </c>
      <c r="Q157" s="86">
        <f>SUMPRODUCT(SUMIFS(RawTransportationData!$G:$G,RawTransportationData!$A:$A,Compare!$P$2,RawTransportationData!$B:$B,Compare!$D157:$F157))</f>
        <v>433787.78</v>
      </c>
      <c r="R157" s="32">
        <f t="shared" si="19"/>
        <v>705.80504393101205</v>
      </c>
      <c r="S157" s="32">
        <f>SUMPRODUCT(SUMIFS(RawTransportationData!$H:$H,RawTransportationData!$A:$A,Compare!$P$1,RawTransportationData!$B:$B,Compare!$D157:$F157))</f>
        <v>199587</v>
      </c>
      <c r="T157" s="32">
        <f t="shared" si="20"/>
        <v>234200.78000000003</v>
      </c>
      <c r="U157" s="45"/>
      <c r="V157" s="85">
        <f>SUMPRODUCT(SUMIFS(RawTransportationData!$D:$D,RawTransportationData!$A:$A,Compare!$V$2,RawTransportationData!$B:$B,Compare!$D157:$F157))</f>
        <v>615</v>
      </c>
      <c r="W157" s="86">
        <f>SUMPRODUCT(SUMIFS(RawTransportationData!$G:$G,RawTransportationData!$A:$A,Compare!$V$2,RawTransportationData!$B:$B,Compare!$D157:$F157))</f>
        <v>370396.98</v>
      </c>
      <c r="X157" s="32">
        <f t="shared" si="21"/>
        <v>602.27151219512189</v>
      </c>
      <c r="Y157" s="32">
        <f>SUMPRODUCT(SUMIFS(RawTransportationData!$H:$H,RawTransportationData!$A:$A,Compare!$V$1,RawTransportationData!$B:$B,Compare!$D157:$F157))</f>
        <v>115105</v>
      </c>
      <c r="Z157" s="32">
        <f t="shared" si="22"/>
        <v>255291.97999999998</v>
      </c>
    </row>
    <row r="158" spans="1:26" x14ac:dyDescent="0.55000000000000004">
      <c r="A158">
        <f>FinalPayment!A156</f>
        <v>2021</v>
      </c>
      <c r="B158" t="str">
        <f>FinalPayment!B156</f>
        <v>13</v>
      </c>
      <c r="C158" t="str">
        <f>FinalPayment!C156</f>
        <v>3465</v>
      </c>
      <c r="D158" t="str">
        <f>FinalPayment!D156</f>
        <v/>
      </c>
      <c r="E158" t="str">
        <f>FinalPayment!E156</f>
        <v/>
      </c>
      <c r="F158" t="str">
        <f>FinalPayment!F156</f>
        <v>3465</v>
      </c>
      <c r="G158" s="28" t="str">
        <f>FinalPayment!G156</f>
        <v>Lamoni</v>
      </c>
      <c r="H158" s="85">
        <f>SUMPRODUCT(SUMIFS(RawTransportationData!$D:$D,RawTransportationData!$A:$A,Compare!$H$2,RawTransportationData!$B:$B,Compare!$D158:$F158))</f>
        <v>314.2</v>
      </c>
      <c r="I158" s="86">
        <f>SUMPRODUCT(SUMIFS(RawTransportationData!$G:$G,RawTransportationData!$A:$A,Compare!$H$2,RawTransportationData!$B:$B,Compare!$D158:$F158))</f>
        <v>157164.88</v>
      </c>
      <c r="J158" s="32">
        <f t="shared" si="23"/>
        <v>500.20649267982179</v>
      </c>
      <c r="K158" s="32">
        <f>SUMPRODUCT(SUMIFS(RawTransportationData!$H:$H,RawTransportationData!$A:$A,Compare!$E$1,RawTransportationData!$B:$B,Compare!$D158:$F158))</f>
        <v>48191</v>
      </c>
      <c r="L158" s="32">
        <f t="shared" si="16"/>
        <v>108973.88</v>
      </c>
      <c r="M158" s="70">
        <f t="shared" si="17"/>
        <v>0.11388441690951907</v>
      </c>
      <c r="N158" s="70">
        <f t="shared" si="18"/>
        <v>-0.12464866100593616</v>
      </c>
      <c r="O158" s="45"/>
      <c r="P158" s="85">
        <f>SUMPRODUCT(SUMIFS(RawTransportationData!$D:$D,RawTransportationData!$A:$A,Compare!$P$2,RawTransportationData!$B:$B,Compare!$D158:$F158))</f>
        <v>306.3</v>
      </c>
      <c r="Q158" s="86">
        <f>SUMPRODUCT(SUMIFS(RawTransportationData!$G:$G,RawTransportationData!$A:$A,Compare!$P$2,RawTransportationData!$B:$B,Compare!$D158:$F158))</f>
        <v>142389.95000000001</v>
      </c>
      <c r="R158" s="32">
        <f t="shared" si="19"/>
        <v>464.87087822396347</v>
      </c>
      <c r="S158" s="32">
        <f>SUMPRODUCT(SUMIFS(RawTransportationData!$H:$H,RawTransportationData!$A:$A,Compare!$P$1,RawTransportationData!$B:$B,Compare!$D158:$F158))</f>
        <v>25669</v>
      </c>
      <c r="T158" s="32">
        <f t="shared" si="20"/>
        <v>116720.95000000001</v>
      </c>
      <c r="U158" s="45"/>
      <c r="V158" s="85">
        <f>SUMPRODUCT(SUMIFS(RawTransportationData!$D:$D,RawTransportationData!$A:$A,Compare!$V$2,RawTransportationData!$B:$B,Compare!$D158:$F158))</f>
        <v>299.89999999999998</v>
      </c>
      <c r="W158" s="86">
        <f>SUMPRODUCT(SUMIFS(RawTransportationData!$G:$G,RawTransportationData!$A:$A,Compare!$V$2,RawTransportationData!$B:$B,Compare!$D158:$F158))</f>
        <v>134674.59</v>
      </c>
      <c r="X158" s="32">
        <f t="shared" si="21"/>
        <v>449.06498832944317</v>
      </c>
      <c r="Y158" s="32">
        <f>SUMPRODUCT(SUMIFS(RawTransportationData!$H:$H,RawTransportationData!$A:$A,Compare!$V$1,RawTransportationData!$B:$B,Compare!$D158:$F158))</f>
        <v>10183</v>
      </c>
      <c r="Z158" s="32">
        <f t="shared" si="22"/>
        <v>124491.59</v>
      </c>
    </row>
    <row r="159" spans="1:26" x14ac:dyDescent="0.55000000000000004">
      <c r="A159">
        <f>FinalPayment!A157</f>
        <v>2021</v>
      </c>
      <c r="B159" t="str">
        <f>FinalPayment!B157</f>
        <v>05</v>
      </c>
      <c r="C159" t="str">
        <f>FinalPayment!C157</f>
        <v>3537</v>
      </c>
      <c r="D159" t="str">
        <f>FinalPayment!D157</f>
        <v/>
      </c>
      <c r="E159" t="str">
        <f>FinalPayment!E157</f>
        <v/>
      </c>
      <c r="F159" t="str">
        <f>FinalPayment!F157</f>
        <v>3537</v>
      </c>
      <c r="G159" s="28" t="str">
        <f>FinalPayment!G157</f>
        <v>Laurens-Marathon</v>
      </c>
      <c r="H159" s="85">
        <f>SUMPRODUCT(SUMIFS(RawTransportationData!$D:$D,RawTransportationData!$A:$A,Compare!$H$2,RawTransportationData!$B:$B,Compare!$D159:$F159))</f>
        <v>255</v>
      </c>
      <c r="I159" s="86">
        <f>SUMPRODUCT(SUMIFS(RawTransportationData!$G:$G,RawTransportationData!$A:$A,Compare!$H$2,RawTransportationData!$B:$B,Compare!$D159:$F159))</f>
        <v>86594.209999999992</v>
      </c>
      <c r="J159" s="32">
        <f t="shared" si="23"/>
        <v>339.58513725490195</v>
      </c>
      <c r="K159" s="32">
        <f>SUMPRODUCT(SUMIFS(RawTransportationData!$H:$H,RawTransportationData!$A:$A,Compare!$E$1,RawTransportationData!$B:$B,Compare!$D159:$F159))</f>
        <v>209</v>
      </c>
      <c r="L159" s="32">
        <f t="shared" si="16"/>
        <v>86385.209999999992</v>
      </c>
      <c r="M159" s="70">
        <f t="shared" si="17"/>
        <v>-4.5805148805118167E-4</v>
      </c>
      <c r="N159" s="70">
        <f t="shared" si="18"/>
        <v>-0.12622672876913635</v>
      </c>
      <c r="O159" s="45"/>
      <c r="P159" s="85">
        <f>SUMPRODUCT(SUMIFS(RawTransportationData!$D:$D,RawTransportationData!$A:$A,Compare!$P$2,RawTransportationData!$B:$B,Compare!$D159:$F159))</f>
        <v>281</v>
      </c>
      <c r="Q159" s="86">
        <f>SUMPRODUCT(SUMIFS(RawTransportationData!$G:$G,RawTransportationData!$A:$A,Compare!$P$2,RawTransportationData!$B:$B,Compare!$D159:$F159))</f>
        <v>116523.82</v>
      </c>
      <c r="R159" s="32">
        <f t="shared" si="19"/>
        <v>414.67551601423492</v>
      </c>
      <c r="S159" s="32">
        <f>SUMPRODUCT(SUMIFS(RawTransportationData!$H:$H,RawTransportationData!$A:$A,Compare!$P$1,RawTransportationData!$B:$B,Compare!$D159:$F159))</f>
        <v>9445</v>
      </c>
      <c r="T159" s="32">
        <f t="shared" si="20"/>
        <v>107078.82</v>
      </c>
      <c r="U159" s="45"/>
      <c r="V159" s="85">
        <f>SUMPRODUCT(SUMIFS(RawTransportationData!$D:$D,RawTransportationData!$A:$A,Compare!$V$2,RawTransportationData!$B:$B,Compare!$D159:$F159))</f>
        <v>291</v>
      </c>
      <c r="W159" s="86">
        <f>SUMPRODUCT(SUMIFS(RawTransportationData!$G:$G,RawTransportationData!$A:$A,Compare!$V$2,RawTransportationData!$B:$B,Compare!$D159:$F159))</f>
        <v>98864.56</v>
      </c>
      <c r="X159" s="32">
        <f t="shared" si="21"/>
        <v>339.74075601374568</v>
      </c>
      <c r="Y159" s="32">
        <f>SUMPRODUCT(SUMIFS(RawTransportationData!$H:$H,RawTransportationData!$A:$A,Compare!$V$1,RawTransportationData!$B:$B,Compare!$D159:$F159))</f>
        <v>0</v>
      </c>
      <c r="Z159" s="32">
        <f t="shared" si="22"/>
        <v>98864.56</v>
      </c>
    </row>
    <row r="160" spans="1:26" x14ac:dyDescent="0.55000000000000004">
      <c r="A160">
        <f>FinalPayment!A158</f>
        <v>2021</v>
      </c>
      <c r="B160" t="str">
        <f>FinalPayment!B158</f>
        <v>12</v>
      </c>
      <c r="C160" t="str">
        <f>FinalPayment!C158</f>
        <v>3555</v>
      </c>
      <c r="D160" t="str">
        <f>FinalPayment!D158</f>
        <v/>
      </c>
      <c r="E160" t="str">
        <f>FinalPayment!E158</f>
        <v/>
      </c>
      <c r="F160" t="str">
        <f>FinalPayment!F158</f>
        <v>3555</v>
      </c>
      <c r="G160" s="28" t="str">
        <f>FinalPayment!G158</f>
        <v>Lawton-Bronson</v>
      </c>
      <c r="H160" s="85">
        <f>SUMPRODUCT(SUMIFS(RawTransportationData!$D:$D,RawTransportationData!$A:$A,Compare!$H$2,RawTransportationData!$B:$B,Compare!$D160:$F160))</f>
        <v>615.29999999999995</v>
      </c>
      <c r="I160" s="86">
        <f>SUMPRODUCT(SUMIFS(RawTransportationData!$G:$G,RawTransportationData!$A:$A,Compare!$H$2,RawTransportationData!$B:$B,Compare!$D160:$F160))</f>
        <v>390997</v>
      </c>
      <c r="J160" s="32">
        <f t="shared" si="23"/>
        <v>635.45750040630594</v>
      </c>
      <c r="K160" s="32">
        <f>SUMPRODUCT(SUMIFS(RawTransportationData!$H:$H,RawTransportationData!$A:$A,Compare!$E$1,RawTransportationData!$B:$B,Compare!$D160:$F160))</f>
        <v>177593</v>
      </c>
      <c r="L160" s="32">
        <f t="shared" si="16"/>
        <v>213404</v>
      </c>
      <c r="M160" s="70">
        <f t="shared" si="17"/>
        <v>0.11434512532796025</v>
      </c>
      <c r="N160" s="70">
        <f t="shared" si="18"/>
        <v>-0.11652838428489942</v>
      </c>
      <c r="O160" s="45"/>
      <c r="P160" s="85">
        <f>SUMPRODUCT(SUMIFS(RawTransportationData!$D:$D,RawTransportationData!$A:$A,Compare!$P$2,RawTransportationData!$B:$B,Compare!$D160:$F160))</f>
        <v>575.20000000000005</v>
      </c>
      <c r="Q160" s="86">
        <f>SUMPRODUCT(SUMIFS(RawTransportationData!$G:$G,RawTransportationData!$A:$A,Compare!$P$2,RawTransportationData!$B:$B,Compare!$D160:$F160))</f>
        <v>377128.64999999997</v>
      </c>
      <c r="R160" s="32">
        <f t="shared" si="19"/>
        <v>655.64786161335178</v>
      </c>
      <c r="S160" s="32">
        <f>SUMPRODUCT(SUMIFS(RawTransportationData!$H:$H,RawTransportationData!$A:$A,Compare!$P$1,RawTransportationData!$B:$B,Compare!$D160:$F160))</f>
        <v>157940</v>
      </c>
      <c r="T160" s="32">
        <f t="shared" si="20"/>
        <v>219188.64999999997</v>
      </c>
      <c r="U160" s="45"/>
      <c r="V160" s="85">
        <f>SUMPRODUCT(SUMIFS(RawTransportationData!$D:$D,RawTransportationData!$A:$A,Compare!$V$2,RawTransportationData!$B:$B,Compare!$D160:$F160))</f>
        <v>581.9</v>
      </c>
      <c r="W160" s="86">
        <f>SUMPRODUCT(SUMIFS(RawTransportationData!$G:$G,RawTransportationData!$A:$A,Compare!$V$2,RawTransportationData!$B:$B,Compare!$D160:$F160))</f>
        <v>331829.62</v>
      </c>
      <c r="X160" s="32">
        <f t="shared" si="21"/>
        <v>570.25196769204331</v>
      </c>
      <c r="Y160" s="32">
        <f>SUMPRODUCT(SUMIFS(RawTransportationData!$H:$H,RawTransportationData!$A:$A,Compare!$V$1,RawTransportationData!$B:$B,Compare!$D160:$F160))</f>
        <v>90278</v>
      </c>
      <c r="Z160" s="32">
        <f t="shared" si="22"/>
        <v>241551.62</v>
      </c>
    </row>
    <row r="161" spans="1:26" x14ac:dyDescent="0.55000000000000004">
      <c r="A161">
        <f>FinalPayment!A159</f>
        <v>2021</v>
      </c>
      <c r="B161" t="str">
        <f>FinalPayment!B159</f>
        <v>12</v>
      </c>
      <c r="C161" t="str">
        <f>FinalPayment!C159</f>
        <v>3600</v>
      </c>
      <c r="D161" t="str">
        <f>FinalPayment!D159</f>
        <v/>
      </c>
      <c r="E161" t="str">
        <f>FinalPayment!E159</f>
        <v/>
      </c>
      <c r="F161" t="str">
        <f>FinalPayment!F159</f>
        <v>3600</v>
      </c>
      <c r="G161" s="28" t="str">
        <f>FinalPayment!G159</f>
        <v>Le Mars</v>
      </c>
      <c r="H161" s="85">
        <f>SUMPRODUCT(SUMIFS(RawTransportationData!$D:$D,RawTransportationData!$A:$A,Compare!$H$2,RawTransportationData!$B:$B,Compare!$D161:$F161))</f>
        <v>2254.3000000000002</v>
      </c>
      <c r="I161" s="86">
        <f>SUMPRODUCT(SUMIFS(RawTransportationData!$G:$G,RawTransportationData!$A:$A,Compare!$H$2,RawTransportationData!$B:$B,Compare!$D161:$F161))</f>
        <v>687406.75</v>
      </c>
      <c r="J161" s="32">
        <f t="shared" si="23"/>
        <v>304.93135341347642</v>
      </c>
      <c r="K161" s="32">
        <f>SUMPRODUCT(SUMIFS(RawTransportationData!$H:$H,RawTransportationData!$A:$A,Compare!$E$1,RawTransportationData!$B:$B,Compare!$D161:$F161))</f>
        <v>1845</v>
      </c>
      <c r="L161" s="32">
        <f t="shared" si="16"/>
        <v>685561.75</v>
      </c>
      <c r="M161" s="70">
        <f t="shared" si="17"/>
        <v>0.28241252633477409</v>
      </c>
      <c r="N161" s="70">
        <f t="shared" si="18"/>
        <v>0.33043388265438545</v>
      </c>
      <c r="O161" s="45"/>
      <c r="P161" s="85">
        <f>SUMPRODUCT(SUMIFS(RawTransportationData!$D:$D,RawTransportationData!$A:$A,Compare!$P$2,RawTransportationData!$B:$B,Compare!$D161:$F161))</f>
        <v>2182.7000000000003</v>
      </c>
      <c r="Q161" s="86">
        <f>SUMPRODUCT(SUMIFS(RawTransportationData!$G:$G,RawTransportationData!$A:$A,Compare!$P$2,RawTransportationData!$B:$B,Compare!$D161:$F161))</f>
        <v>579459.12</v>
      </c>
      <c r="R161" s="32">
        <f t="shared" si="19"/>
        <v>265.47813258807895</v>
      </c>
      <c r="S161" s="32">
        <f>SUMPRODUCT(SUMIFS(RawTransportationData!$H:$H,RawTransportationData!$A:$A,Compare!$P$1,RawTransportationData!$B:$B,Compare!$D161:$F161))</f>
        <v>0</v>
      </c>
      <c r="T161" s="32">
        <f t="shared" si="20"/>
        <v>579459.12</v>
      </c>
      <c r="U161" s="45"/>
      <c r="V161" s="85">
        <f>SUMPRODUCT(SUMIFS(RawTransportationData!$D:$D,RawTransportationData!$A:$A,Compare!$V$2,RawTransportationData!$B:$B,Compare!$D161:$F161))</f>
        <v>2167.1</v>
      </c>
      <c r="W161" s="86">
        <f>SUMPRODUCT(SUMIFS(RawTransportationData!$G:$G,RawTransportationData!$A:$A,Compare!$V$2,RawTransportationData!$B:$B,Compare!$D161:$F161))</f>
        <v>515291.86</v>
      </c>
      <c r="X161" s="32">
        <f t="shared" si="21"/>
        <v>237.77945641640903</v>
      </c>
      <c r="Y161" s="32">
        <f>SUMPRODUCT(SUMIFS(RawTransportationData!$H:$H,RawTransportationData!$A:$A,Compare!$V$1,RawTransportationData!$B:$B,Compare!$D161:$F161))</f>
        <v>0</v>
      </c>
      <c r="Z161" s="32">
        <f t="shared" si="22"/>
        <v>515291.86</v>
      </c>
    </row>
    <row r="162" spans="1:26" x14ac:dyDescent="0.55000000000000004">
      <c r="A162">
        <f>FinalPayment!A160</f>
        <v>2021</v>
      </c>
      <c r="B162" t="str">
        <f>FinalPayment!B160</f>
        <v>13</v>
      </c>
      <c r="C162" t="str">
        <f>FinalPayment!C160</f>
        <v>3609</v>
      </c>
      <c r="D162" t="str">
        <f>FinalPayment!D160</f>
        <v/>
      </c>
      <c r="E162" t="str">
        <f>FinalPayment!E160</f>
        <v/>
      </c>
      <c r="F162" t="str">
        <f>FinalPayment!F160</f>
        <v>3609</v>
      </c>
      <c r="G162" s="28" t="str">
        <f>FinalPayment!G160</f>
        <v>Lenox</v>
      </c>
      <c r="H162" s="85">
        <f>SUMPRODUCT(SUMIFS(RawTransportationData!$D:$D,RawTransportationData!$A:$A,Compare!$H$2,RawTransportationData!$B:$B,Compare!$D162:$F162))</f>
        <v>447.7</v>
      </c>
      <c r="I162" s="86">
        <f>SUMPRODUCT(SUMIFS(RawTransportationData!$G:$G,RawTransportationData!$A:$A,Compare!$H$2,RawTransportationData!$B:$B,Compare!$D162:$F162))</f>
        <v>122846.23</v>
      </c>
      <c r="J162" s="32">
        <f t="shared" si="23"/>
        <v>274.3940808577172</v>
      </c>
      <c r="K162" s="32">
        <f>SUMPRODUCT(SUMIFS(RawTransportationData!$H:$H,RawTransportationData!$A:$A,Compare!$E$1,RawTransportationData!$B:$B,Compare!$D162:$F162))</f>
        <v>366</v>
      </c>
      <c r="L162" s="32">
        <f t="shared" si="16"/>
        <v>122480.23</v>
      </c>
      <c r="M162" s="70">
        <f t="shared" si="17"/>
        <v>-4.147315067846722E-2</v>
      </c>
      <c r="N162" s="70">
        <f t="shared" si="18"/>
        <v>-8.4020677999920149E-2</v>
      </c>
      <c r="O162" s="45"/>
      <c r="P162" s="85">
        <f>SUMPRODUCT(SUMIFS(RawTransportationData!$D:$D,RawTransportationData!$A:$A,Compare!$P$2,RawTransportationData!$B:$B,Compare!$D162:$F162))</f>
        <v>460.5</v>
      </c>
      <c r="Q162" s="86">
        <f>SUMPRODUCT(SUMIFS(RawTransportationData!$G:$G,RawTransportationData!$A:$A,Compare!$P$2,RawTransportationData!$B:$B,Compare!$D162:$F162))</f>
        <v>144660.22</v>
      </c>
      <c r="R162" s="32">
        <f t="shared" si="19"/>
        <v>314.13728555917481</v>
      </c>
      <c r="S162" s="32">
        <f>SUMPRODUCT(SUMIFS(RawTransportationData!$H:$H,RawTransportationData!$A:$A,Compare!$P$1,RawTransportationData!$B:$B,Compare!$D162:$F162))</f>
        <v>0</v>
      </c>
      <c r="T162" s="32">
        <f t="shared" si="20"/>
        <v>144660.22</v>
      </c>
      <c r="U162" s="45"/>
      <c r="V162" s="85">
        <f>SUMPRODUCT(SUMIFS(RawTransportationData!$D:$D,RawTransportationData!$A:$A,Compare!$V$2,RawTransportationData!$B:$B,Compare!$D162:$F162))</f>
        <v>467.1</v>
      </c>
      <c r="W162" s="86">
        <f>SUMPRODUCT(SUMIFS(RawTransportationData!$G:$G,RawTransportationData!$A:$A,Compare!$V$2,RawTransportationData!$B:$B,Compare!$D162:$F162))</f>
        <v>133715.06</v>
      </c>
      <c r="X162" s="32">
        <f t="shared" si="21"/>
        <v>286.26645257974735</v>
      </c>
      <c r="Y162" s="32">
        <f>SUMPRODUCT(SUMIFS(RawTransportationData!$H:$H,RawTransportationData!$A:$A,Compare!$V$1,RawTransportationData!$B:$B,Compare!$D162:$F162))</f>
        <v>0</v>
      </c>
      <c r="Z162" s="32">
        <f t="shared" si="22"/>
        <v>133715.06</v>
      </c>
    </row>
    <row r="163" spans="1:26" x14ac:dyDescent="0.55000000000000004">
      <c r="A163">
        <f>FinalPayment!A161</f>
        <v>2021</v>
      </c>
      <c r="B163" t="str">
        <f>FinalPayment!B161</f>
        <v>13</v>
      </c>
      <c r="C163" t="str">
        <f>FinalPayment!C161</f>
        <v>3645</v>
      </c>
      <c r="D163" t="str">
        <f>FinalPayment!D161</f>
        <v/>
      </c>
      <c r="E163" t="str">
        <f>FinalPayment!E161</f>
        <v/>
      </c>
      <c r="F163" t="str">
        <f>FinalPayment!F161</f>
        <v>3645</v>
      </c>
      <c r="G163" s="28" t="str">
        <f>FinalPayment!G161</f>
        <v>Lewis Central</v>
      </c>
      <c r="H163" s="85">
        <f>SUMPRODUCT(SUMIFS(RawTransportationData!$D:$D,RawTransportationData!$A:$A,Compare!$H$2,RawTransportationData!$B:$B,Compare!$D163:$F163))</f>
        <v>2542.8000000000002</v>
      </c>
      <c r="I163" s="86">
        <f>SUMPRODUCT(SUMIFS(RawTransportationData!$G:$G,RawTransportationData!$A:$A,Compare!$H$2,RawTransportationData!$B:$B,Compare!$D163:$F163))</f>
        <v>1033060.54</v>
      </c>
      <c r="J163" s="32">
        <f t="shared" si="23"/>
        <v>406.26889255938335</v>
      </c>
      <c r="K163" s="32">
        <f>SUMPRODUCT(SUMIFS(RawTransportationData!$H:$H,RawTransportationData!$A:$A,Compare!$E$1,RawTransportationData!$B:$B,Compare!$D163:$F163))</f>
        <v>151140</v>
      </c>
      <c r="L163" s="32">
        <f t="shared" si="16"/>
        <v>881920.54</v>
      </c>
      <c r="M163" s="70">
        <f t="shared" si="17"/>
        <v>0.15114798595327111</v>
      </c>
      <c r="N163" s="70">
        <f t="shared" si="18"/>
        <v>1.7596550928353353E-3</v>
      </c>
      <c r="O163" s="45"/>
      <c r="P163" s="85">
        <f>SUMPRODUCT(SUMIFS(RawTransportationData!$D:$D,RawTransportationData!$A:$A,Compare!$P$2,RawTransportationData!$B:$B,Compare!$D163:$F163))</f>
        <v>2475.6</v>
      </c>
      <c r="Q163" s="86">
        <f>SUMPRODUCT(SUMIFS(RawTransportationData!$G:$G,RawTransportationData!$A:$A,Compare!$P$2,RawTransportationData!$B:$B,Compare!$D163:$F163))</f>
        <v>1066529.54</v>
      </c>
      <c r="R163" s="32">
        <f t="shared" si="19"/>
        <v>430.816585878171</v>
      </c>
      <c r="S163" s="32">
        <f>SUMPRODUCT(SUMIFS(RawTransportationData!$H:$H,RawTransportationData!$A:$A,Compare!$P$1,RawTransportationData!$B:$B,Compare!$D163:$F163))</f>
        <v>123166</v>
      </c>
      <c r="T163" s="32">
        <f t="shared" si="20"/>
        <v>943363.54</v>
      </c>
      <c r="U163" s="45"/>
      <c r="V163" s="85">
        <f>SUMPRODUCT(SUMIFS(RawTransportationData!$D:$D,RawTransportationData!$A:$A,Compare!$V$2,RawTransportationData!$B:$B,Compare!$D163:$F163))</f>
        <v>2494.5</v>
      </c>
      <c r="W163" s="86">
        <f>SUMPRODUCT(SUMIFS(RawTransportationData!$G:$G,RawTransportationData!$A:$A,Compare!$V$2,RawTransportationData!$B:$B,Compare!$D163:$F163))</f>
        <v>880371.39</v>
      </c>
      <c r="X163" s="32">
        <f t="shared" si="21"/>
        <v>352.92499098015634</v>
      </c>
      <c r="Y163" s="32">
        <f>SUMPRODUCT(SUMIFS(RawTransportationData!$H:$H,RawTransportationData!$A:$A,Compare!$V$1,RawTransportationData!$B:$B,Compare!$D163:$F163))</f>
        <v>0</v>
      </c>
      <c r="Z163" s="32">
        <f t="shared" si="22"/>
        <v>880371.39</v>
      </c>
    </row>
    <row r="164" spans="1:26" x14ac:dyDescent="0.55000000000000004">
      <c r="A164">
        <f>FinalPayment!A162</f>
        <v>2021</v>
      </c>
      <c r="B164" t="str">
        <f>FinalPayment!B162</f>
        <v>10</v>
      </c>
      <c r="C164" t="str">
        <f>FinalPayment!C162</f>
        <v>3715</v>
      </c>
      <c r="D164" t="str">
        <f>FinalPayment!D162</f>
        <v/>
      </c>
      <c r="E164" t="str">
        <f>FinalPayment!E162</f>
        <v/>
      </c>
      <c r="F164" t="str">
        <f>FinalPayment!F162</f>
        <v>3715</v>
      </c>
      <c r="G164" s="28" t="str">
        <f>FinalPayment!G162</f>
        <v>Linn-Mar</v>
      </c>
      <c r="H164" s="85">
        <f>SUMPRODUCT(SUMIFS(RawTransportationData!$D:$D,RawTransportationData!$A:$A,Compare!$H$2,RawTransportationData!$B:$B,Compare!$D164:$F164))</f>
        <v>7556.7</v>
      </c>
      <c r="I164" s="86">
        <f>SUMPRODUCT(SUMIFS(RawTransportationData!$G:$G,RawTransportationData!$A:$A,Compare!$H$2,RawTransportationData!$B:$B,Compare!$D164:$F164))</f>
        <v>2088190.81</v>
      </c>
      <c r="J164" s="32">
        <f t="shared" si="23"/>
        <v>276.33633861341593</v>
      </c>
      <c r="K164" s="32">
        <f>SUMPRODUCT(SUMIFS(RawTransportationData!$H:$H,RawTransportationData!$A:$A,Compare!$E$1,RawTransportationData!$B:$B,Compare!$D164:$F164))</f>
        <v>6186</v>
      </c>
      <c r="L164" s="32">
        <f t="shared" si="16"/>
        <v>2082004.81</v>
      </c>
      <c r="M164" s="70">
        <f t="shared" si="17"/>
        <v>0.12137659411428932</v>
      </c>
      <c r="N164" s="70">
        <f t="shared" si="18"/>
        <v>0.15539195038623022</v>
      </c>
      <c r="O164" s="45"/>
      <c r="P164" s="85">
        <f>SUMPRODUCT(SUMIFS(RawTransportationData!$D:$D,RawTransportationData!$A:$A,Compare!$P$2,RawTransportationData!$B:$B,Compare!$D164:$F164))</f>
        <v>7436.2</v>
      </c>
      <c r="Q164" s="86">
        <f>SUMPRODUCT(SUMIFS(RawTransportationData!$G:$G,RawTransportationData!$A:$A,Compare!$P$2,RawTransportationData!$B:$B,Compare!$D164:$F164))</f>
        <v>2005011.93</v>
      </c>
      <c r="R164" s="32">
        <f t="shared" si="19"/>
        <v>269.62856432048625</v>
      </c>
      <c r="S164" s="32">
        <f>SUMPRODUCT(SUMIFS(RawTransportationData!$H:$H,RawTransportationData!$A:$A,Compare!$P$1,RawTransportationData!$B:$B,Compare!$D164:$F164))</f>
        <v>0</v>
      </c>
      <c r="T164" s="32">
        <f t="shared" si="20"/>
        <v>2005011.93</v>
      </c>
      <c r="U164" s="45"/>
      <c r="V164" s="85">
        <f>SUMPRODUCT(SUMIFS(RawTransportationData!$D:$D,RawTransportationData!$A:$A,Compare!$V$2,RawTransportationData!$B:$B,Compare!$D164:$F164))</f>
        <v>7312.5</v>
      </c>
      <c r="W164" s="86">
        <f>SUMPRODUCT(SUMIFS(RawTransportationData!$G:$G,RawTransportationData!$A:$A,Compare!$V$2,RawTransportationData!$B:$B,Compare!$D164:$F164))</f>
        <v>1801990.06</v>
      </c>
      <c r="X164" s="32">
        <f t="shared" si="21"/>
        <v>246.42599111111113</v>
      </c>
      <c r="Y164" s="32">
        <f>SUMPRODUCT(SUMIFS(RawTransportationData!$H:$H,RawTransportationData!$A:$A,Compare!$V$1,RawTransportationData!$B:$B,Compare!$D164:$F164))</f>
        <v>0</v>
      </c>
      <c r="Z164" s="32">
        <f t="shared" si="22"/>
        <v>1801990.06</v>
      </c>
    </row>
    <row r="165" spans="1:26" x14ac:dyDescent="0.55000000000000004">
      <c r="A165">
        <f>FinalPayment!A163</f>
        <v>2021</v>
      </c>
      <c r="B165" t="str">
        <f>FinalPayment!B163</f>
        <v>10</v>
      </c>
      <c r="C165" t="str">
        <f>FinalPayment!C163</f>
        <v>3744</v>
      </c>
      <c r="D165" t="str">
        <f>FinalPayment!D163</f>
        <v/>
      </c>
      <c r="E165" t="str">
        <f>FinalPayment!E163</f>
        <v/>
      </c>
      <c r="F165" t="str">
        <f>FinalPayment!F163</f>
        <v>3744</v>
      </c>
      <c r="G165" s="28" t="str">
        <f>FinalPayment!G163</f>
        <v>Lisbon</v>
      </c>
      <c r="H165" s="85">
        <f>SUMPRODUCT(SUMIFS(RawTransportationData!$D:$D,RawTransportationData!$A:$A,Compare!$H$2,RawTransportationData!$B:$B,Compare!$D165:$F165))</f>
        <v>636.79999999999995</v>
      </c>
      <c r="I165" s="86">
        <f>SUMPRODUCT(SUMIFS(RawTransportationData!$G:$G,RawTransportationData!$A:$A,Compare!$H$2,RawTransportationData!$B:$B,Compare!$D165:$F165))</f>
        <v>187803.50999999998</v>
      </c>
      <c r="J165" s="32">
        <f t="shared" si="23"/>
        <v>294.91757223618089</v>
      </c>
      <c r="K165" s="32">
        <f>SUMPRODUCT(SUMIFS(RawTransportationData!$H:$H,RawTransportationData!$A:$A,Compare!$E$1,RawTransportationData!$B:$B,Compare!$D165:$F165))</f>
        <v>521</v>
      </c>
      <c r="L165" s="32">
        <f t="shared" si="16"/>
        <v>187282.50999999998</v>
      </c>
      <c r="M165" s="70">
        <f t="shared" si="17"/>
        <v>0.81832779530503608</v>
      </c>
      <c r="N165" s="70">
        <f t="shared" si="18"/>
        <v>0.74189001462468562</v>
      </c>
      <c r="O165" s="45"/>
      <c r="P165" s="85">
        <f>SUMPRODUCT(SUMIFS(RawTransportationData!$D:$D,RawTransportationData!$A:$A,Compare!$P$2,RawTransportationData!$B:$B,Compare!$D165:$F165))</f>
        <v>645.5</v>
      </c>
      <c r="Q165" s="86">
        <f>SUMPRODUCT(SUMIFS(RawTransportationData!$G:$G,RawTransportationData!$A:$A,Compare!$P$2,RawTransportationData!$B:$B,Compare!$D165:$F165))</f>
        <v>172995.81</v>
      </c>
      <c r="R165" s="32">
        <f t="shared" si="19"/>
        <v>268.00280402788536</v>
      </c>
      <c r="S165" s="32">
        <f>SUMPRODUCT(SUMIFS(RawTransportationData!$H:$H,RawTransportationData!$A:$A,Compare!$P$1,RawTransportationData!$B:$B,Compare!$D165:$F165))</f>
        <v>0</v>
      </c>
      <c r="T165" s="32">
        <f t="shared" si="20"/>
        <v>172995.81</v>
      </c>
      <c r="U165" s="45"/>
      <c r="V165" s="85">
        <f>SUMPRODUCT(SUMIFS(RawTransportationData!$D:$D,RawTransportationData!$A:$A,Compare!$V$2,RawTransportationData!$B:$B,Compare!$D165:$F165))</f>
        <v>662.9</v>
      </c>
      <c r="W165" s="86">
        <f>SUMPRODUCT(SUMIFS(RawTransportationData!$G:$G,RawTransportationData!$A:$A,Compare!$V$2,RawTransportationData!$B:$B,Compare!$D165:$F165))</f>
        <v>107516.84</v>
      </c>
      <c r="X165" s="32">
        <f t="shared" si="21"/>
        <v>162.19164278171669</v>
      </c>
      <c r="Y165" s="32">
        <f>SUMPRODUCT(SUMIFS(RawTransportationData!$H:$H,RawTransportationData!$A:$A,Compare!$V$1,RawTransportationData!$B:$B,Compare!$D165:$F165))</f>
        <v>0</v>
      </c>
      <c r="Z165" s="32">
        <f t="shared" si="22"/>
        <v>107516.84</v>
      </c>
    </row>
    <row r="166" spans="1:26" x14ac:dyDescent="0.55000000000000004">
      <c r="A166">
        <f>FinalPayment!A164</f>
        <v>2021</v>
      </c>
      <c r="B166" t="str">
        <f>FinalPayment!B164</f>
        <v>13</v>
      </c>
      <c r="C166" t="str">
        <f>FinalPayment!C164</f>
        <v>3798</v>
      </c>
      <c r="D166" t="str">
        <f>FinalPayment!D164</f>
        <v/>
      </c>
      <c r="E166" t="str">
        <f>FinalPayment!E164</f>
        <v/>
      </c>
      <c r="F166" t="str">
        <f>FinalPayment!F164</f>
        <v>3798</v>
      </c>
      <c r="G166" s="28" t="str">
        <f>FinalPayment!G164</f>
        <v>Logan-Magnolia</v>
      </c>
      <c r="H166" s="85">
        <f>SUMPRODUCT(SUMIFS(RawTransportationData!$D:$D,RawTransportationData!$A:$A,Compare!$H$2,RawTransportationData!$B:$B,Compare!$D166:$F166))</f>
        <v>565.1</v>
      </c>
      <c r="I166" s="86">
        <f>SUMPRODUCT(SUMIFS(RawTransportationData!$G:$G,RawTransportationData!$A:$A,Compare!$H$2,RawTransportationData!$B:$B,Compare!$D166:$F166))</f>
        <v>233456.16</v>
      </c>
      <c r="J166" s="32">
        <f t="shared" si="23"/>
        <v>413.1236241373208</v>
      </c>
      <c r="K166" s="32">
        <f>SUMPRODUCT(SUMIFS(RawTransportationData!$H:$H,RawTransportationData!$A:$A,Compare!$E$1,RawTransportationData!$B:$B,Compare!$D166:$F166))</f>
        <v>37460</v>
      </c>
      <c r="L166" s="32">
        <f t="shared" si="16"/>
        <v>195996.16</v>
      </c>
      <c r="M166" s="70">
        <f t="shared" si="17"/>
        <v>-2.9551816842328653E-2</v>
      </c>
      <c r="N166" s="70">
        <f t="shared" si="18"/>
        <v>-0.14464666188764988</v>
      </c>
      <c r="O166" s="45"/>
      <c r="P166" s="85">
        <f>SUMPRODUCT(SUMIFS(RawTransportationData!$D:$D,RawTransportationData!$A:$A,Compare!$P$2,RawTransportationData!$B:$B,Compare!$D166:$F166))</f>
        <v>564</v>
      </c>
      <c r="Q166" s="86">
        <f>SUMPRODUCT(SUMIFS(RawTransportationData!$G:$G,RawTransportationData!$A:$A,Compare!$P$2,RawTransportationData!$B:$B,Compare!$D166:$F166))</f>
        <v>246489.78</v>
      </c>
      <c r="R166" s="32">
        <f t="shared" si="19"/>
        <v>437.03861702127659</v>
      </c>
      <c r="S166" s="32">
        <f>SUMPRODUCT(SUMIFS(RawTransportationData!$H:$H,RawTransportationData!$A:$A,Compare!$P$1,RawTransportationData!$B:$B,Compare!$D166:$F166))</f>
        <v>31568</v>
      </c>
      <c r="T166" s="32">
        <f t="shared" si="20"/>
        <v>214921.78</v>
      </c>
      <c r="U166" s="45"/>
      <c r="V166" s="85">
        <f>SUMPRODUCT(SUMIFS(RawTransportationData!$D:$D,RawTransportationData!$A:$A,Compare!$V$2,RawTransportationData!$B:$B,Compare!$D166:$F166))</f>
        <v>552</v>
      </c>
      <c r="W166" s="86">
        <f>SUMPRODUCT(SUMIFS(RawTransportationData!$G:$G,RawTransportationData!$A:$A,Compare!$V$2,RawTransportationData!$B:$B,Compare!$D166:$F166))</f>
        <v>234988.58</v>
      </c>
      <c r="X166" s="32">
        <f t="shared" si="21"/>
        <v>425.70394927536228</v>
      </c>
      <c r="Y166" s="32">
        <f>SUMPRODUCT(SUMIFS(RawTransportationData!$H:$H,RawTransportationData!$A:$A,Compare!$V$1,RawTransportationData!$B:$B,Compare!$D166:$F166))</f>
        <v>5848</v>
      </c>
      <c r="Z166" s="32">
        <f t="shared" si="22"/>
        <v>229140.58</v>
      </c>
    </row>
    <row r="167" spans="1:26" x14ac:dyDescent="0.55000000000000004">
      <c r="A167">
        <f>FinalPayment!A165</f>
        <v>2021</v>
      </c>
      <c r="B167" t="str">
        <f>FinalPayment!B165</f>
        <v>10</v>
      </c>
      <c r="C167" t="str">
        <f>FinalPayment!C165</f>
        <v>3816</v>
      </c>
      <c r="D167" t="str">
        <f>FinalPayment!D165</f>
        <v/>
      </c>
      <c r="E167" t="str">
        <f>FinalPayment!E165</f>
        <v/>
      </c>
      <c r="F167" t="str">
        <f>FinalPayment!F165</f>
        <v>3816</v>
      </c>
      <c r="G167" s="28" t="str">
        <f>FinalPayment!G165</f>
        <v>Lone Tree</v>
      </c>
      <c r="H167" s="85">
        <f>SUMPRODUCT(SUMIFS(RawTransportationData!$D:$D,RawTransportationData!$A:$A,Compare!$H$2,RawTransportationData!$B:$B,Compare!$D167:$F167))</f>
        <v>363.7</v>
      </c>
      <c r="I167" s="86">
        <f>SUMPRODUCT(SUMIFS(RawTransportationData!$G:$G,RawTransportationData!$A:$A,Compare!$H$2,RawTransportationData!$B:$B,Compare!$D167:$F167))</f>
        <v>116908.79000000001</v>
      </c>
      <c r="J167" s="32">
        <f t="shared" si="23"/>
        <v>321.44291998900195</v>
      </c>
      <c r="K167" s="32">
        <f>SUMPRODUCT(SUMIFS(RawTransportationData!$H:$H,RawTransportationData!$A:$A,Compare!$E$1,RawTransportationData!$B:$B,Compare!$D167:$F167))</f>
        <v>298</v>
      </c>
      <c r="L167" s="32">
        <f t="shared" si="16"/>
        <v>116610.79000000001</v>
      </c>
      <c r="M167" s="70">
        <f t="shared" si="17"/>
        <v>0.90664198370899052</v>
      </c>
      <c r="N167" s="70">
        <f t="shared" si="18"/>
        <v>0.9240002765288241</v>
      </c>
      <c r="O167" s="45"/>
      <c r="P167" s="85">
        <f>SUMPRODUCT(SUMIFS(RawTransportationData!$D:$D,RawTransportationData!$A:$A,Compare!$P$2,RawTransportationData!$B:$B,Compare!$D167:$F167))</f>
        <v>366.1</v>
      </c>
      <c r="Q167" s="86">
        <f>SUMPRODUCT(SUMIFS(RawTransportationData!$G:$G,RawTransportationData!$A:$A,Compare!$P$2,RawTransportationData!$B:$B,Compare!$D167:$F167))</f>
        <v>88058.64</v>
      </c>
      <c r="R167" s="32">
        <f t="shared" si="19"/>
        <v>240.53165801693524</v>
      </c>
      <c r="S167" s="32">
        <f>SUMPRODUCT(SUMIFS(RawTransportationData!$H:$H,RawTransportationData!$A:$A,Compare!$P$1,RawTransportationData!$B:$B,Compare!$D167:$F167))</f>
        <v>0</v>
      </c>
      <c r="T167" s="32">
        <f t="shared" si="20"/>
        <v>88058.64</v>
      </c>
      <c r="U167" s="45"/>
      <c r="V167" s="85">
        <f>SUMPRODUCT(SUMIFS(RawTransportationData!$D:$D,RawTransportationData!$A:$A,Compare!$V$2,RawTransportationData!$B:$B,Compare!$D167:$F167))</f>
        <v>359.5</v>
      </c>
      <c r="W167" s="86">
        <f>SUMPRODUCT(SUMIFS(RawTransportationData!$G:$G,RawTransportationData!$A:$A,Compare!$V$2,RawTransportationData!$B:$B,Compare!$D167:$F167))</f>
        <v>60608.51</v>
      </c>
      <c r="X167" s="32">
        <f t="shared" si="21"/>
        <v>168.59112656467317</v>
      </c>
      <c r="Y167" s="32">
        <f>SUMPRODUCT(SUMIFS(RawTransportationData!$H:$H,RawTransportationData!$A:$A,Compare!$V$1,RawTransportationData!$B:$B,Compare!$D167:$F167))</f>
        <v>0</v>
      </c>
      <c r="Z167" s="32">
        <f t="shared" si="22"/>
        <v>60608.51</v>
      </c>
    </row>
    <row r="168" spans="1:26" x14ac:dyDescent="0.55000000000000004">
      <c r="A168">
        <f>FinalPayment!A166</f>
        <v>2021</v>
      </c>
      <c r="B168" t="str">
        <f>FinalPayment!B166</f>
        <v>09</v>
      </c>
      <c r="C168" t="str">
        <f>FinalPayment!C166</f>
        <v>3841</v>
      </c>
      <c r="D168" t="str">
        <f>FinalPayment!D166</f>
        <v/>
      </c>
      <c r="E168" t="str">
        <f>FinalPayment!E166</f>
        <v/>
      </c>
      <c r="F168" t="str">
        <f>FinalPayment!F166</f>
        <v>3841</v>
      </c>
      <c r="G168" s="28" t="str">
        <f>FinalPayment!G166</f>
        <v>Louisa-Muscatine</v>
      </c>
      <c r="H168" s="85">
        <f>SUMPRODUCT(SUMIFS(RawTransportationData!$D:$D,RawTransportationData!$A:$A,Compare!$H$2,RawTransportationData!$B:$B,Compare!$D168:$F168))</f>
        <v>711.7</v>
      </c>
      <c r="I168" s="86">
        <f>SUMPRODUCT(SUMIFS(RawTransportationData!$G:$G,RawTransportationData!$A:$A,Compare!$H$2,RawTransportationData!$B:$B,Compare!$D168:$F168))</f>
        <v>440882.94</v>
      </c>
      <c r="J168" s="32">
        <f t="shared" si="23"/>
        <v>619.47862863566104</v>
      </c>
      <c r="K168" s="32">
        <f>SUMPRODUCT(SUMIFS(RawTransportationData!$H:$H,RawTransportationData!$A:$A,Compare!$E$1,RawTransportationData!$B:$B,Compare!$D168:$F168))</f>
        <v>194044</v>
      </c>
      <c r="L168" s="32">
        <f t="shared" si="16"/>
        <v>246838.94</v>
      </c>
      <c r="M168" s="70">
        <f t="shared" si="17"/>
        <v>4.966596121062055E-2</v>
      </c>
      <c r="N168" s="70">
        <f t="shared" si="18"/>
        <v>-0.18508417680157377</v>
      </c>
      <c r="O168" s="45"/>
      <c r="P168" s="85">
        <f>SUMPRODUCT(SUMIFS(RawTransportationData!$D:$D,RawTransportationData!$A:$A,Compare!$P$2,RawTransportationData!$B:$B,Compare!$D168:$F168))</f>
        <v>740</v>
      </c>
      <c r="Q168" s="86">
        <f>SUMPRODUCT(SUMIFS(RawTransportationData!$G:$G,RawTransportationData!$A:$A,Compare!$P$2,RawTransportationData!$B:$B,Compare!$D168:$F168))</f>
        <v>463081.64</v>
      </c>
      <c r="R168" s="32">
        <f t="shared" si="19"/>
        <v>625.78600000000006</v>
      </c>
      <c r="S168" s="32">
        <f>SUMPRODUCT(SUMIFS(RawTransportationData!$H:$H,RawTransportationData!$A:$A,Compare!$P$1,RawTransportationData!$B:$B,Compare!$D168:$F168))</f>
        <v>181094</v>
      </c>
      <c r="T168" s="32">
        <f t="shared" si="20"/>
        <v>281987.64</v>
      </c>
      <c r="U168" s="45"/>
      <c r="V168" s="85">
        <f>SUMPRODUCT(SUMIFS(RawTransportationData!$D:$D,RawTransportationData!$A:$A,Compare!$V$2,RawTransportationData!$B:$B,Compare!$D168:$F168))</f>
        <v>729.7</v>
      </c>
      <c r="W168" s="86">
        <f>SUMPRODUCT(SUMIFS(RawTransportationData!$G:$G,RawTransportationData!$A:$A,Compare!$V$2,RawTransportationData!$B:$B,Compare!$D168:$F168))</f>
        <v>430645.15</v>
      </c>
      <c r="X168" s="32">
        <f t="shared" si="21"/>
        <v>590.16739756064135</v>
      </c>
      <c r="Y168" s="32">
        <f>SUMPRODUCT(SUMIFS(RawTransportationData!$H:$H,RawTransportationData!$A:$A,Compare!$V$1,RawTransportationData!$B:$B,Compare!$D168:$F168))</f>
        <v>127744</v>
      </c>
      <c r="Z168" s="32">
        <f t="shared" si="22"/>
        <v>302901.15000000002</v>
      </c>
    </row>
    <row r="169" spans="1:26" x14ac:dyDescent="0.55000000000000004">
      <c r="A169">
        <f>FinalPayment!A167</f>
        <v>2021</v>
      </c>
      <c r="B169" t="str">
        <f>FinalPayment!B167</f>
        <v>05</v>
      </c>
      <c r="C169" t="str">
        <f>FinalPayment!C167</f>
        <v>3897</v>
      </c>
      <c r="D169" t="str">
        <f>FinalPayment!D167</f>
        <v/>
      </c>
      <c r="E169" t="str">
        <f>FinalPayment!E167</f>
        <v/>
      </c>
      <c r="F169" t="str">
        <f>FinalPayment!F167</f>
        <v>3897</v>
      </c>
      <c r="G169" s="28" t="str">
        <f>FinalPayment!G167</f>
        <v>Lu Verne</v>
      </c>
      <c r="H169" s="85">
        <f>SUMPRODUCT(SUMIFS(RawTransportationData!$D:$D,RawTransportationData!$A:$A,Compare!$H$2,RawTransportationData!$B:$B,Compare!$D169:$F169))</f>
        <v>164.1</v>
      </c>
      <c r="I169" s="86">
        <f>SUMPRODUCT(SUMIFS(RawTransportationData!$G:$G,RawTransportationData!$A:$A,Compare!$H$2,RawTransportationData!$B:$B,Compare!$D169:$F169))</f>
        <v>121555.29000000001</v>
      </c>
      <c r="J169" s="32">
        <f t="shared" si="23"/>
        <v>740.73912248628892</v>
      </c>
      <c r="K169" s="32">
        <f>SUMPRODUCT(SUMIFS(RawTransportationData!$H:$H,RawTransportationData!$A:$A,Compare!$E$1,RawTransportationData!$B:$B,Compare!$D169:$F169))</f>
        <v>64640</v>
      </c>
      <c r="L169" s="32">
        <f t="shared" si="16"/>
        <v>56915.290000000008</v>
      </c>
      <c r="M169" s="70">
        <f t="shared" si="17"/>
        <v>4.5600068395480753E-2</v>
      </c>
      <c r="N169" s="70">
        <f t="shared" si="18"/>
        <v>-0.10678645800065872</v>
      </c>
      <c r="O169" s="45"/>
      <c r="P169" s="85">
        <f>SUMPRODUCT(SUMIFS(RawTransportationData!$D:$D,RawTransportationData!$A:$A,Compare!$P$2,RawTransportationData!$B:$B,Compare!$D169:$F169))</f>
        <v>165.2</v>
      </c>
      <c r="Q169" s="86">
        <f>SUMPRODUCT(SUMIFS(RawTransportationData!$G:$G,RawTransportationData!$A:$A,Compare!$P$2,RawTransportationData!$B:$B,Compare!$D169:$F169))</f>
        <v>118353.53</v>
      </c>
      <c r="R169" s="32">
        <f t="shared" si="19"/>
        <v>716.42572639225182</v>
      </c>
      <c r="S169" s="32">
        <f>SUMPRODUCT(SUMIFS(RawTransportationData!$H:$H,RawTransportationData!$A:$A,Compare!$P$1,RawTransportationData!$B:$B,Compare!$D169:$F169))</f>
        <v>55402</v>
      </c>
      <c r="T169" s="32">
        <f t="shared" si="20"/>
        <v>62951.53</v>
      </c>
      <c r="U169" s="45"/>
      <c r="V169" s="85">
        <f>SUMPRODUCT(SUMIFS(RawTransportationData!$D:$D,RawTransportationData!$A:$A,Compare!$V$2,RawTransportationData!$B:$B,Compare!$D169:$F169))</f>
        <v>153.5</v>
      </c>
      <c r="W169" s="86">
        <f>SUMPRODUCT(SUMIFS(RawTransportationData!$G:$G,RawTransportationData!$A:$A,Compare!$V$2,RawTransportationData!$B:$B,Compare!$D169:$F169))</f>
        <v>108744.69</v>
      </c>
      <c r="X169" s="32">
        <f t="shared" si="21"/>
        <v>708.43446254071659</v>
      </c>
      <c r="Y169" s="32">
        <f>SUMPRODUCT(SUMIFS(RawTransportationData!$H:$H,RawTransportationData!$A:$A,Compare!$V$1,RawTransportationData!$B:$B,Compare!$D169:$F169))</f>
        <v>45025</v>
      </c>
      <c r="Z169" s="32">
        <f t="shared" si="22"/>
        <v>63719.69</v>
      </c>
    </row>
    <row r="170" spans="1:26" x14ac:dyDescent="0.55000000000000004">
      <c r="A170">
        <f>FinalPayment!A168</f>
        <v>2021</v>
      </c>
      <c r="B170" t="str">
        <f>FinalPayment!B168</f>
        <v>11</v>
      </c>
      <c r="C170" t="str">
        <f>FinalPayment!C168</f>
        <v>3906</v>
      </c>
      <c r="D170" t="str">
        <f>FinalPayment!D168</f>
        <v/>
      </c>
      <c r="E170" t="str">
        <f>FinalPayment!E168</f>
        <v/>
      </c>
      <c r="F170" t="str">
        <f>FinalPayment!F168</f>
        <v>3906</v>
      </c>
      <c r="G170" s="28" t="str">
        <f>FinalPayment!G168</f>
        <v>Lynnville-Sully</v>
      </c>
      <c r="H170" s="85">
        <f>SUMPRODUCT(SUMIFS(RawTransportationData!$D:$D,RawTransportationData!$A:$A,Compare!$H$2,RawTransportationData!$B:$B,Compare!$D170:$F170))</f>
        <v>463.3</v>
      </c>
      <c r="I170" s="86">
        <f>SUMPRODUCT(SUMIFS(RawTransportationData!$G:$G,RawTransportationData!$A:$A,Compare!$H$2,RawTransportationData!$B:$B,Compare!$D170:$F170))</f>
        <v>218407.21000000002</v>
      </c>
      <c r="J170" s="32">
        <f t="shared" si="23"/>
        <v>471.41638247355928</v>
      </c>
      <c r="K170" s="32">
        <f>SUMPRODUCT(SUMIFS(RawTransportationData!$H:$H,RawTransportationData!$A:$A,Compare!$E$1,RawTransportationData!$B:$B,Compare!$D170:$F170))</f>
        <v>57722</v>
      </c>
      <c r="L170" s="32">
        <f t="shared" si="16"/>
        <v>160685.21000000002</v>
      </c>
      <c r="M170" s="70">
        <f t="shared" si="17"/>
        <v>0.26137881754436926</v>
      </c>
      <c r="N170" s="70">
        <f t="shared" si="18"/>
        <v>-4.9626821467351451E-2</v>
      </c>
      <c r="O170" s="45"/>
      <c r="P170" s="85">
        <f>SUMPRODUCT(SUMIFS(RawTransportationData!$D:$D,RawTransportationData!$A:$A,Compare!$P$2,RawTransportationData!$B:$B,Compare!$D170:$F170))</f>
        <v>462.6</v>
      </c>
      <c r="Q170" s="86">
        <f>SUMPRODUCT(SUMIFS(RawTransportationData!$G:$G,RawTransportationData!$A:$A,Compare!$P$2,RawTransportationData!$B:$B,Compare!$D170:$F170))</f>
        <v>195966.74</v>
      </c>
      <c r="R170" s="32">
        <f t="shared" si="19"/>
        <v>423.62027669693038</v>
      </c>
      <c r="S170" s="32">
        <f>SUMPRODUCT(SUMIFS(RawTransportationData!$H:$H,RawTransportationData!$A:$A,Compare!$P$1,RawTransportationData!$B:$B,Compare!$D170:$F170))</f>
        <v>19685</v>
      </c>
      <c r="T170" s="32">
        <f t="shared" si="20"/>
        <v>176281.74</v>
      </c>
      <c r="U170" s="45"/>
      <c r="V170" s="85">
        <f>SUMPRODUCT(SUMIFS(RawTransportationData!$D:$D,RawTransportationData!$A:$A,Compare!$V$2,RawTransportationData!$B:$B,Compare!$D170:$F170))</f>
        <v>452.4</v>
      </c>
      <c r="W170" s="86">
        <f>SUMPRODUCT(SUMIFS(RawTransportationData!$G:$G,RawTransportationData!$A:$A,Compare!$V$2,RawTransportationData!$B:$B,Compare!$D170:$F170))</f>
        <v>169075.91</v>
      </c>
      <c r="X170" s="32">
        <f t="shared" si="21"/>
        <v>373.73101237842621</v>
      </c>
      <c r="Y170" s="32">
        <f>SUMPRODUCT(SUMIFS(RawTransportationData!$H:$H,RawTransportationData!$A:$A,Compare!$V$1,RawTransportationData!$B:$B,Compare!$D170:$F170))</f>
        <v>0</v>
      </c>
      <c r="Z170" s="32">
        <f t="shared" si="22"/>
        <v>169075.91</v>
      </c>
    </row>
    <row r="171" spans="1:26" x14ac:dyDescent="0.55000000000000004">
      <c r="A171">
        <f>FinalPayment!A169</f>
        <v>2021</v>
      </c>
      <c r="B171" t="str">
        <f>FinalPayment!B169</f>
        <v>11</v>
      </c>
      <c r="C171" t="str">
        <f>FinalPayment!C169</f>
        <v>3942</v>
      </c>
      <c r="D171" t="str">
        <f>FinalPayment!D169</f>
        <v/>
      </c>
      <c r="E171" t="str">
        <f>FinalPayment!E169</f>
        <v/>
      </c>
      <c r="F171" t="str">
        <f>FinalPayment!F169</f>
        <v>3942</v>
      </c>
      <c r="G171" s="28" t="str">
        <f>FinalPayment!G169</f>
        <v>Madrid</v>
      </c>
      <c r="H171" s="85">
        <f>SUMPRODUCT(SUMIFS(RawTransportationData!$D:$D,RawTransportationData!$A:$A,Compare!$H$2,RawTransportationData!$B:$B,Compare!$D171:$F171))</f>
        <v>662.3</v>
      </c>
      <c r="I171" s="86">
        <f>SUMPRODUCT(SUMIFS(RawTransportationData!$G:$G,RawTransportationData!$A:$A,Compare!$H$2,RawTransportationData!$B:$B,Compare!$D171:$F171))</f>
        <v>153550.81</v>
      </c>
      <c r="J171" s="32">
        <f t="shared" si="23"/>
        <v>231.84479842971464</v>
      </c>
      <c r="K171" s="32">
        <f>SUMPRODUCT(SUMIFS(RawTransportationData!$H:$H,RawTransportationData!$A:$A,Compare!$E$1,RawTransportationData!$B:$B,Compare!$D171:$F171))</f>
        <v>542</v>
      </c>
      <c r="L171" s="32">
        <f t="shared" si="16"/>
        <v>153008.81</v>
      </c>
      <c r="M171" s="70">
        <f t="shared" si="17"/>
        <v>0.21607689814932357</v>
      </c>
      <c r="N171" s="70">
        <f t="shared" si="18"/>
        <v>0.19340493766651137</v>
      </c>
      <c r="O171" s="45"/>
      <c r="P171" s="85">
        <f>SUMPRODUCT(SUMIFS(RawTransportationData!$D:$D,RawTransportationData!$A:$A,Compare!$P$2,RawTransportationData!$B:$B,Compare!$D171:$F171))</f>
        <v>683.7</v>
      </c>
      <c r="Q171" s="86">
        <f>SUMPRODUCT(SUMIFS(RawTransportationData!$G:$G,RawTransportationData!$A:$A,Compare!$P$2,RawTransportationData!$B:$B,Compare!$D171:$F171))</f>
        <v>153018.74</v>
      </c>
      <c r="R171" s="32">
        <f t="shared" si="19"/>
        <v>223.80977036712005</v>
      </c>
      <c r="S171" s="32">
        <f>SUMPRODUCT(SUMIFS(RawTransportationData!$H:$H,RawTransportationData!$A:$A,Compare!$P$1,RawTransportationData!$B:$B,Compare!$D171:$F171))</f>
        <v>0</v>
      </c>
      <c r="T171" s="32">
        <f t="shared" si="20"/>
        <v>153018.74</v>
      </c>
      <c r="U171" s="45"/>
      <c r="V171" s="85">
        <f>SUMPRODUCT(SUMIFS(RawTransportationData!$D:$D,RawTransportationData!$A:$A,Compare!$V$2,RawTransportationData!$B:$B,Compare!$D171:$F171))</f>
        <v>672.5</v>
      </c>
      <c r="W171" s="86">
        <f>SUMPRODUCT(SUMIFS(RawTransportationData!$G:$G,RawTransportationData!$A:$A,Compare!$V$2,RawTransportationData!$B:$B,Compare!$D171:$F171))</f>
        <v>128211.98</v>
      </c>
      <c r="X171" s="32">
        <f t="shared" si="21"/>
        <v>190.64978438661709</v>
      </c>
      <c r="Y171" s="32">
        <f>SUMPRODUCT(SUMIFS(RawTransportationData!$H:$H,RawTransportationData!$A:$A,Compare!$V$1,RawTransportationData!$B:$B,Compare!$D171:$F171))</f>
        <v>0</v>
      </c>
      <c r="Z171" s="32">
        <f t="shared" si="22"/>
        <v>128211.98</v>
      </c>
    </row>
    <row r="172" spans="1:26" x14ac:dyDescent="0.55000000000000004">
      <c r="A172">
        <f>FinalPayment!A170</f>
        <v>2021</v>
      </c>
      <c r="B172" t="str">
        <f>FinalPayment!B170</f>
        <v>05</v>
      </c>
      <c r="C172" t="str">
        <f>FinalPayment!C170</f>
        <v>4023</v>
      </c>
      <c r="D172" t="str">
        <f>FinalPayment!D170</f>
        <v/>
      </c>
      <c r="E172" t="str">
        <f>FinalPayment!E170</f>
        <v/>
      </c>
      <c r="F172" t="str">
        <f>FinalPayment!F170</f>
        <v>4023</v>
      </c>
      <c r="G172" s="28" t="str">
        <f>FinalPayment!G170</f>
        <v>Manson-Northwest Webster</v>
      </c>
      <c r="H172" s="85">
        <f>SUMPRODUCT(SUMIFS(RawTransportationData!$D:$D,RawTransportationData!$A:$A,Compare!$H$2,RawTransportationData!$B:$B,Compare!$D172:$F172))</f>
        <v>655.20000000000005</v>
      </c>
      <c r="I172" s="86">
        <f>SUMPRODUCT(SUMIFS(RawTransportationData!$G:$G,RawTransportationData!$A:$A,Compare!$H$2,RawTransportationData!$B:$B,Compare!$D172:$F172))</f>
        <v>576778.54999999993</v>
      </c>
      <c r="J172" s="32">
        <f t="shared" si="23"/>
        <v>880.30914224664207</v>
      </c>
      <c r="K172" s="32">
        <f>SUMPRODUCT(SUMIFS(RawTransportationData!$H:$H,RawTransportationData!$A:$A,Compare!$E$1,RawTransportationData!$B:$B,Compare!$D172:$F172))</f>
        <v>349535</v>
      </c>
      <c r="L172" s="32">
        <f t="shared" si="16"/>
        <v>227243.54999999993</v>
      </c>
      <c r="M172" s="70">
        <f t="shared" si="17"/>
        <v>-5.0209824177889122E-3</v>
      </c>
      <c r="N172" s="70">
        <f t="shared" si="18"/>
        <v>-0.15649745531536802</v>
      </c>
      <c r="O172" s="45"/>
      <c r="P172" s="85">
        <f>SUMPRODUCT(SUMIFS(RawTransportationData!$D:$D,RawTransportationData!$A:$A,Compare!$P$2,RawTransportationData!$B:$B,Compare!$D172:$F172))</f>
        <v>658</v>
      </c>
      <c r="Q172" s="86">
        <f>SUMPRODUCT(SUMIFS(RawTransportationData!$G:$G,RawTransportationData!$A:$A,Compare!$P$2,RawTransportationData!$B:$B,Compare!$D172:$F172))</f>
        <v>551478.47</v>
      </c>
      <c r="R172" s="32">
        <f t="shared" si="19"/>
        <v>838.11317629179325</v>
      </c>
      <c r="S172" s="32">
        <f>SUMPRODUCT(SUMIFS(RawTransportationData!$H:$H,RawTransportationData!$A:$A,Compare!$P$1,RawTransportationData!$B:$B,Compare!$D172:$F172))</f>
        <v>300734</v>
      </c>
      <c r="T172" s="32">
        <f t="shared" si="20"/>
        <v>250744.46999999997</v>
      </c>
      <c r="U172" s="45"/>
      <c r="V172" s="85">
        <f>SUMPRODUCT(SUMIFS(RawTransportationData!$D:$D,RawTransportationData!$A:$A,Compare!$V$2,RawTransportationData!$B:$B,Compare!$D172:$F172))</f>
        <v>649</v>
      </c>
      <c r="W172" s="86">
        <f>SUMPRODUCT(SUMIFS(RawTransportationData!$G:$G,RawTransportationData!$A:$A,Compare!$V$2,RawTransportationData!$B:$B,Compare!$D172:$F172))</f>
        <v>574203.70000000007</v>
      </c>
      <c r="X172" s="32">
        <f t="shared" si="21"/>
        <v>884.75146379044691</v>
      </c>
      <c r="Y172" s="32">
        <f>SUMPRODUCT(SUMIFS(RawTransportationData!$H:$H,RawTransportationData!$A:$A,Compare!$V$1,RawTransportationData!$B:$B,Compare!$D172:$F172))</f>
        <v>304799</v>
      </c>
      <c r="Z172" s="32">
        <f t="shared" si="22"/>
        <v>269404.70000000007</v>
      </c>
    </row>
    <row r="173" spans="1:26" x14ac:dyDescent="0.55000000000000004">
      <c r="A173">
        <f>FinalPayment!A171</f>
        <v>2021</v>
      </c>
      <c r="B173" t="str">
        <f>FinalPayment!B171</f>
        <v>12</v>
      </c>
      <c r="C173" t="str">
        <f>FinalPayment!C171</f>
        <v>4033</v>
      </c>
      <c r="D173" t="str">
        <f>FinalPayment!D171</f>
        <v>0270</v>
      </c>
      <c r="E173" t="str">
        <f>FinalPayment!E171</f>
        <v/>
      </c>
      <c r="F173" t="str">
        <f>FinalPayment!F171</f>
        <v>4033</v>
      </c>
      <c r="G173" s="28" t="str">
        <f>FinalPayment!G171</f>
        <v>Maple Valley-Anthon Oto</v>
      </c>
      <c r="H173" s="85">
        <f>SUMPRODUCT(SUMIFS(RawTransportationData!$D:$D,RawTransportationData!$A:$A,Compare!$H$2,RawTransportationData!$B:$B,Compare!$D173:$F173))</f>
        <v>613.79999999999995</v>
      </c>
      <c r="I173" s="86">
        <f>SUMPRODUCT(SUMIFS(RawTransportationData!$G:$G,RawTransportationData!$A:$A,Compare!$H$2,RawTransportationData!$B:$B,Compare!$D173:$F173))</f>
        <v>477815.89</v>
      </c>
      <c r="J173" s="32">
        <f t="shared" si="23"/>
        <v>778.45534376018259</v>
      </c>
      <c r="K173" s="32">
        <f>SUMPRODUCT(SUMIFS(RawTransportationData!$H:$H,RawTransportationData!$A:$A,Compare!$E$1,RawTransportationData!$B:$B,Compare!$D173:$F173))</f>
        <v>264933</v>
      </c>
      <c r="L173" s="32">
        <f t="shared" si="16"/>
        <v>212882.89</v>
      </c>
      <c r="M173" s="70">
        <f t="shared" si="17"/>
        <v>0.53334662108630182</v>
      </c>
      <c r="N173" s="70">
        <f t="shared" si="18"/>
        <v>-0.24516685351677325</v>
      </c>
      <c r="O173" s="45"/>
      <c r="P173" s="85">
        <f>SUMPRODUCT(SUMIFS(RawTransportationData!$D:$D,RawTransportationData!$A:$A,Compare!$P$2,RawTransportationData!$B:$B,Compare!$D173:$F173))</f>
        <v>654.6</v>
      </c>
      <c r="Q173" s="86">
        <f>SUMPRODUCT(SUMIFS(RawTransportationData!$G:$G,RawTransportationData!$A:$A,Compare!$P$2,RawTransportationData!$B:$B,Compare!$D173:$F173))</f>
        <v>369911.45</v>
      </c>
      <c r="R173" s="32">
        <f t="shared" si="19"/>
        <v>565.09540177207452</v>
      </c>
      <c r="S173" s="32">
        <f>SUMPRODUCT(SUMIFS(RawTransportationData!$H:$H,RawTransportationData!$A:$A,Compare!$P$1,RawTransportationData!$B:$B,Compare!$D173:$F173))</f>
        <v>120467</v>
      </c>
      <c r="T173" s="32">
        <f t="shared" si="20"/>
        <v>249444.45</v>
      </c>
      <c r="U173" s="45"/>
      <c r="V173" s="85">
        <f>SUMPRODUCT(SUMIFS(RawTransportationData!$D:$D,RawTransportationData!$A:$A,Compare!$V$2,RawTransportationData!$B:$B,Compare!$D173:$F173))</f>
        <v>679.4</v>
      </c>
      <c r="W173" s="86">
        <f>SUMPRODUCT(SUMIFS(RawTransportationData!$G:$G,RawTransportationData!$A:$A,Compare!$V$2,RawTransportationData!$B:$B,Compare!$D173:$F173))</f>
        <v>344920.42</v>
      </c>
      <c r="X173" s="32">
        <f t="shared" si="21"/>
        <v>507.68386811892844</v>
      </c>
      <c r="Y173" s="32">
        <f>SUMPRODUCT(SUMIFS(RawTransportationData!$H:$H,RawTransportationData!$A:$A,Compare!$V$1,RawTransportationData!$B:$B,Compare!$D173:$F173))</f>
        <v>62894</v>
      </c>
      <c r="Z173" s="32">
        <f t="shared" si="22"/>
        <v>282026.42</v>
      </c>
    </row>
    <row r="174" spans="1:26" x14ac:dyDescent="0.55000000000000004">
      <c r="A174">
        <f>FinalPayment!A172</f>
        <v>2021</v>
      </c>
      <c r="B174" t="str">
        <f>FinalPayment!B172</f>
        <v>09</v>
      </c>
      <c r="C174" t="str">
        <f>FinalPayment!C172</f>
        <v>4041</v>
      </c>
      <c r="D174" t="str">
        <f>FinalPayment!D172</f>
        <v/>
      </c>
      <c r="E174" t="str">
        <f>FinalPayment!E172</f>
        <v/>
      </c>
      <c r="F174" t="str">
        <f>FinalPayment!F172</f>
        <v>4041</v>
      </c>
      <c r="G174" s="28" t="str">
        <f>FinalPayment!G172</f>
        <v>Maquoketa</v>
      </c>
      <c r="H174" s="85">
        <f>SUMPRODUCT(SUMIFS(RawTransportationData!$D:$D,RawTransportationData!$A:$A,Compare!$H$2,RawTransportationData!$B:$B,Compare!$D174:$F174))</f>
        <v>1305.3</v>
      </c>
      <c r="I174" s="86">
        <f>SUMPRODUCT(SUMIFS(RawTransportationData!$G:$G,RawTransportationData!$A:$A,Compare!$H$2,RawTransportationData!$B:$B,Compare!$D174:$F174))</f>
        <v>460248.97000000003</v>
      </c>
      <c r="J174" s="32">
        <f t="shared" si="23"/>
        <v>352.60014556040761</v>
      </c>
      <c r="K174" s="32">
        <f>SUMPRODUCT(SUMIFS(RawTransportationData!$H:$H,RawTransportationData!$A:$A,Compare!$E$1,RawTransportationData!$B:$B,Compare!$D174:$F174))</f>
        <v>7529</v>
      </c>
      <c r="L174" s="32">
        <f t="shared" si="16"/>
        <v>452719.97000000003</v>
      </c>
      <c r="M174" s="70">
        <f t="shared" si="17"/>
        <v>0.10323172641548964</v>
      </c>
      <c r="N174" s="70">
        <f t="shared" si="18"/>
        <v>3.9397774652706823E-2</v>
      </c>
      <c r="O174" s="45"/>
      <c r="P174" s="85">
        <f>SUMPRODUCT(SUMIFS(RawTransportationData!$D:$D,RawTransportationData!$A:$A,Compare!$P$2,RawTransportationData!$B:$B,Compare!$D174:$F174))</f>
        <v>1335.5</v>
      </c>
      <c r="Q174" s="86">
        <f>SUMPRODUCT(SUMIFS(RawTransportationData!$G:$G,RawTransportationData!$A:$A,Compare!$P$2,RawTransportationData!$B:$B,Compare!$D174:$F174))</f>
        <v>477774.03</v>
      </c>
      <c r="R174" s="32">
        <f t="shared" si="19"/>
        <v>357.74918008236619</v>
      </c>
      <c r="S174" s="32">
        <f>SUMPRODUCT(SUMIFS(RawTransportationData!$H:$H,RawTransportationData!$A:$A,Compare!$P$1,RawTransportationData!$B:$B,Compare!$D174:$F174))</f>
        <v>0</v>
      </c>
      <c r="T174" s="32">
        <f t="shared" si="20"/>
        <v>477774.03</v>
      </c>
      <c r="U174" s="45"/>
      <c r="V174" s="85">
        <f>SUMPRODUCT(SUMIFS(RawTransportationData!$D:$D,RawTransportationData!$A:$A,Compare!$V$2,RawTransportationData!$B:$B,Compare!$D174:$F174))</f>
        <v>1362.8</v>
      </c>
      <c r="W174" s="86">
        <f>SUMPRODUCT(SUMIFS(RawTransportationData!$G:$G,RawTransportationData!$A:$A,Compare!$V$2,RawTransportationData!$B:$B,Compare!$D174:$F174))</f>
        <v>435559.88</v>
      </c>
      <c r="X174" s="32">
        <f t="shared" si="21"/>
        <v>319.60660405048429</v>
      </c>
      <c r="Y174" s="32">
        <f>SUMPRODUCT(SUMIFS(RawTransportationData!$H:$H,RawTransportationData!$A:$A,Compare!$V$1,RawTransportationData!$B:$B,Compare!$D174:$F174))</f>
        <v>0</v>
      </c>
      <c r="Z174" s="32">
        <f t="shared" si="22"/>
        <v>435559.88</v>
      </c>
    </row>
    <row r="175" spans="1:26" x14ac:dyDescent="0.55000000000000004">
      <c r="A175">
        <f>FinalPayment!A173</f>
        <v>2021</v>
      </c>
      <c r="B175" t="str">
        <f>FinalPayment!B173</f>
        <v>01</v>
      </c>
      <c r="C175" t="str">
        <f>FinalPayment!C173</f>
        <v>4043</v>
      </c>
      <c r="D175" t="str">
        <f>FinalPayment!D173</f>
        <v/>
      </c>
      <c r="E175" t="str">
        <f>FinalPayment!E173</f>
        <v/>
      </c>
      <c r="F175" t="str">
        <f>FinalPayment!F173</f>
        <v>4043</v>
      </c>
      <c r="G175" s="28" t="str">
        <f>FinalPayment!G173</f>
        <v>Maquoketa Valley</v>
      </c>
      <c r="H175" s="85">
        <f>SUMPRODUCT(SUMIFS(RawTransportationData!$D:$D,RawTransportationData!$A:$A,Compare!$H$2,RawTransportationData!$B:$B,Compare!$D175:$F175))</f>
        <v>699.4</v>
      </c>
      <c r="I175" s="86">
        <f>SUMPRODUCT(SUMIFS(RawTransportationData!$G:$G,RawTransportationData!$A:$A,Compare!$H$2,RawTransportationData!$B:$B,Compare!$D175:$F175))</f>
        <v>358784.87</v>
      </c>
      <c r="J175" s="32">
        <f t="shared" si="23"/>
        <v>512.98951958821851</v>
      </c>
      <c r="K175" s="32">
        <f>SUMPRODUCT(SUMIFS(RawTransportationData!$H:$H,RawTransportationData!$A:$A,Compare!$E$1,RawTransportationData!$B:$B,Compare!$D175:$F175))</f>
        <v>116212</v>
      </c>
      <c r="L175" s="32">
        <f t="shared" si="16"/>
        <v>242572.87</v>
      </c>
      <c r="M175" s="70">
        <f t="shared" si="17"/>
        <v>0.31520168135984911</v>
      </c>
      <c r="N175" s="70">
        <f t="shared" si="18"/>
        <v>-0.10952473845145409</v>
      </c>
      <c r="O175" s="45"/>
      <c r="P175" s="85">
        <f>SUMPRODUCT(SUMIFS(RawTransportationData!$D:$D,RawTransportationData!$A:$A,Compare!$P$2,RawTransportationData!$B:$B,Compare!$D175:$F175))</f>
        <v>672.4</v>
      </c>
      <c r="Q175" s="86">
        <f>SUMPRODUCT(SUMIFS(RawTransportationData!$G:$G,RawTransportationData!$A:$A,Compare!$P$2,RawTransportationData!$B:$B,Compare!$D175:$F175))</f>
        <v>314637.7</v>
      </c>
      <c r="R175" s="32">
        <f t="shared" si="19"/>
        <v>467.93233194527073</v>
      </c>
      <c r="S175" s="32">
        <f>SUMPRODUCT(SUMIFS(RawTransportationData!$H:$H,RawTransportationData!$A:$A,Compare!$P$1,RawTransportationData!$B:$B,Compare!$D175:$F175))</f>
        <v>58406</v>
      </c>
      <c r="T175" s="32">
        <f t="shared" si="20"/>
        <v>256231.7</v>
      </c>
      <c r="U175" s="45"/>
      <c r="V175" s="85">
        <f>SUMPRODUCT(SUMIFS(RawTransportationData!$D:$D,RawTransportationData!$A:$A,Compare!$V$2,RawTransportationData!$B:$B,Compare!$D175:$F175))</f>
        <v>698.4</v>
      </c>
      <c r="W175" s="86">
        <f>SUMPRODUCT(SUMIFS(RawTransportationData!$G:$G,RawTransportationData!$A:$A,Compare!$V$2,RawTransportationData!$B:$B,Compare!$D175:$F175))</f>
        <v>272408.32000000001</v>
      </c>
      <c r="X175" s="32">
        <f t="shared" si="21"/>
        <v>390.0462772050401</v>
      </c>
      <c r="Y175" s="32">
        <f>SUMPRODUCT(SUMIFS(RawTransportationData!$H:$H,RawTransportationData!$A:$A,Compare!$V$1,RawTransportationData!$B:$B,Compare!$D175:$F175))</f>
        <v>0</v>
      </c>
      <c r="Z175" s="32">
        <f t="shared" si="22"/>
        <v>272408.32000000001</v>
      </c>
    </row>
    <row r="176" spans="1:26" x14ac:dyDescent="0.55000000000000004">
      <c r="A176">
        <f>FinalPayment!A174</f>
        <v>2021</v>
      </c>
      <c r="B176" t="str">
        <f>FinalPayment!B174</f>
        <v>12</v>
      </c>
      <c r="C176" t="str">
        <f>FinalPayment!C174</f>
        <v>4068</v>
      </c>
      <c r="D176" t="str">
        <f>FinalPayment!D174</f>
        <v/>
      </c>
      <c r="E176" t="str">
        <f>FinalPayment!E174</f>
        <v/>
      </c>
      <c r="F176" t="str">
        <f>FinalPayment!F174</f>
        <v>4068</v>
      </c>
      <c r="G176" s="28" t="str">
        <f>FinalPayment!G174</f>
        <v>Marcus-Meriden Cleghorn</v>
      </c>
      <c r="H176" s="85">
        <f>SUMPRODUCT(SUMIFS(RawTransportationData!$D:$D,RawTransportationData!$A:$A,Compare!$H$2,RawTransportationData!$B:$B,Compare!$D176:$F176))</f>
        <v>421.3</v>
      </c>
      <c r="I176" s="86">
        <f>SUMPRODUCT(SUMIFS(RawTransportationData!$G:$G,RawTransportationData!$A:$A,Compare!$H$2,RawTransportationData!$B:$B,Compare!$D176:$F176))</f>
        <v>200525.9</v>
      </c>
      <c r="J176" s="32">
        <f t="shared" si="23"/>
        <v>475.96938048896271</v>
      </c>
      <c r="K176" s="32">
        <f>SUMPRODUCT(SUMIFS(RawTransportationData!$H:$H,RawTransportationData!$A:$A,Compare!$E$1,RawTransportationData!$B:$B,Compare!$D176:$F176))</f>
        <v>54406</v>
      </c>
      <c r="L176" s="32">
        <f t="shared" si="16"/>
        <v>146119.9</v>
      </c>
      <c r="M176" s="70">
        <f t="shared" si="17"/>
        <v>9.7652772816890498E-3</v>
      </c>
      <c r="N176" s="70">
        <f t="shared" si="18"/>
        <v>-0.18327661018199665</v>
      </c>
      <c r="O176" s="45"/>
      <c r="P176" s="85">
        <f>SUMPRODUCT(SUMIFS(RawTransportationData!$D:$D,RawTransportationData!$A:$A,Compare!$P$2,RawTransportationData!$B:$B,Compare!$D176:$F176))</f>
        <v>424.5</v>
      </c>
      <c r="Q176" s="86">
        <f>SUMPRODUCT(SUMIFS(RawTransportationData!$G:$G,RawTransportationData!$A:$A,Compare!$P$2,RawTransportationData!$B:$B,Compare!$D176:$F176))</f>
        <v>185939.06</v>
      </c>
      <c r="R176" s="32">
        <f t="shared" si="19"/>
        <v>438.01898704358069</v>
      </c>
      <c r="S176" s="32">
        <f>SUMPRODUCT(SUMIFS(RawTransportationData!$H:$H,RawTransportationData!$A:$A,Compare!$P$1,RawTransportationData!$B:$B,Compare!$D176:$F176))</f>
        <v>24176</v>
      </c>
      <c r="T176" s="32">
        <f t="shared" si="20"/>
        <v>161763.06</v>
      </c>
      <c r="U176" s="45"/>
      <c r="V176" s="85">
        <f>SUMPRODUCT(SUMIFS(RawTransportationData!$D:$D,RawTransportationData!$A:$A,Compare!$V$2,RawTransportationData!$B:$B,Compare!$D176:$F176))</f>
        <v>431</v>
      </c>
      <c r="W176" s="86">
        <f>SUMPRODUCT(SUMIFS(RawTransportationData!$G:$G,RawTransportationData!$A:$A,Compare!$V$2,RawTransportationData!$B:$B,Compare!$D176:$F176))</f>
        <v>203158.9</v>
      </c>
      <c r="X176" s="32">
        <f t="shared" si="21"/>
        <v>471.36635730858467</v>
      </c>
      <c r="Y176" s="32">
        <f>SUMPRODUCT(SUMIFS(RawTransportationData!$H:$H,RawTransportationData!$A:$A,Compare!$V$1,RawTransportationData!$B:$B,Compare!$D176:$F176))</f>
        <v>24249</v>
      </c>
      <c r="Z176" s="32">
        <f t="shared" si="22"/>
        <v>178909.9</v>
      </c>
    </row>
    <row r="177" spans="1:26" x14ac:dyDescent="0.55000000000000004">
      <c r="A177">
        <f>FinalPayment!A175</f>
        <v>2021</v>
      </c>
      <c r="B177" t="str">
        <f>FinalPayment!B175</f>
        <v>10</v>
      </c>
      <c r="C177" t="str">
        <f>FinalPayment!C175</f>
        <v>4086</v>
      </c>
      <c r="D177" t="str">
        <f>FinalPayment!D175</f>
        <v/>
      </c>
      <c r="E177" t="str">
        <f>FinalPayment!E175</f>
        <v/>
      </c>
      <c r="F177" t="str">
        <f>FinalPayment!F175</f>
        <v>4086</v>
      </c>
      <c r="G177" s="28" t="str">
        <f>FinalPayment!G175</f>
        <v>Marion</v>
      </c>
      <c r="H177" s="85">
        <f>SUMPRODUCT(SUMIFS(RawTransportationData!$D:$D,RawTransportationData!$A:$A,Compare!$H$2,RawTransportationData!$B:$B,Compare!$D177:$F177))</f>
        <v>1931.9</v>
      </c>
      <c r="I177" s="86">
        <f>SUMPRODUCT(SUMIFS(RawTransportationData!$G:$G,RawTransportationData!$A:$A,Compare!$H$2,RawTransportationData!$B:$B,Compare!$D177:$F177))</f>
        <v>300140.40000000002</v>
      </c>
      <c r="J177" s="32">
        <f t="shared" si="23"/>
        <v>155.36021533205653</v>
      </c>
      <c r="K177" s="32">
        <f>SUMPRODUCT(SUMIFS(RawTransportationData!$H:$H,RawTransportationData!$A:$A,Compare!$E$1,RawTransportationData!$B:$B,Compare!$D177:$F177))</f>
        <v>1581</v>
      </c>
      <c r="L177" s="32">
        <f t="shared" si="16"/>
        <v>298559.40000000002</v>
      </c>
      <c r="M177" s="70">
        <f t="shared" si="17"/>
        <v>0.34659242544891505</v>
      </c>
      <c r="N177" s="70">
        <f t="shared" si="18"/>
        <v>0.33790637486602326</v>
      </c>
      <c r="O177" s="45"/>
      <c r="P177" s="85">
        <f>SUMPRODUCT(SUMIFS(RawTransportationData!$D:$D,RawTransportationData!$A:$A,Compare!$P$2,RawTransportationData!$B:$B,Compare!$D177:$F177))</f>
        <v>1917.8</v>
      </c>
      <c r="Q177" s="86">
        <f>SUMPRODUCT(SUMIFS(RawTransportationData!$G:$G,RawTransportationData!$A:$A,Compare!$P$2,RawTransportationData!$B:$B,Compare!$D177:$F177))</f>
        <v>265577.55</v>
      </c>
      <c r="R177" s="32">
        <f t="shared" si="19"/>
        <v>138.48031598706851</v>
      </c>
      <c r="S177" s="32">
        <f>SUMPRODUCT(SUMIFS(RawTransportationData!$H:$H,RawTransportationData!$A:$A,Compare!$P$1,RawTransportationData!$B:$B,Compare!$D177:$F177))</f>
        <v>0</v>
      </c>
      <c r="T177" s="32">
        <f t="shared" si="20"/>
        <v>265577.55</v>
      </c>
      <c r="U177" s="45"/>
      <c r="V177" s="85">
        <f>SUMPRODUCT(SUMIFS(RawTransportationData!$D:$D,RawTransportationData!$A:$A,Compare!$V$2,RawTransportationData!$B:$B,Compare!$D177:$F177))</f>
        <v>1934.2</v>
      </c>
      <c r="W177" s="86">
        <f>SUMPRODUCT(SUMIFS(RawTransportationData!$G:$G,RawTransportationData!$A:$A,Compare!$V$2,RawTransportationData!$B:$B,Compare!$D177:$F177))</f>
        <v>223154.18</v>
      </c>
      <c r="X177" s="32">
        <f t="shared" si="21"/>
        <v>115.3728569951401</v>
      </c>
      <c r="Y177" s="32">
        <f>SUMPRODUCT(SUMIFS(RawTransportationData!$H:$H,RawTransportationData!$A:$A,Compare!$V$1,RawTransportationData!$B:$B,Compare!$D177:$F177))</f>
        <v>0</v>
      </c>
      <c r="Z177" s="32">
        <f t="shared" si="22"/>
        <v>223154.18</v>
      </c>
    </row>
    <row r="178" spans="1:26" x14ac:dyDescent="0.55000000000000004">
      <c r="A178">
        <f>FinalPayment!A176</f>
        <v>2021</v>
      </c>
      <c r="B178" t="str">
        <f>FinalPayment!B176</f>
        <v>07</v>
      </c>
      <c r="C178" t="str">
        <f>FinalPayment!C176</f>
        <v>4104</v>
      </c>
      <c r="D178" t="str">
        <f>FinalPayment!D176</f>
        <v/>
      </c>
      <c r="E178" t="str">
        <f>FinalPayment!E176</f>
        <v/>
      </c>
      <c r="F178" t="str">
        <f>FinalPayment!F176</f>
        <v>4104</v>
      </c>
      <c r="G178" s="28" t="str">
        <f>FinalPayment!G176</f>
        <v>Marshalltown</v>
      </c>
      <c r="H178" s="85">
        <f>SUMPRODUCT(SUMIFS(RawTransportationData!$D:$D,RawTransportationData!$A:$A,Compare!$H$2,RawTransportationData!$B:$B,Compare!$D178:$F178))</f>
        <v>5360.9000000000005</v>
      </c>
      <c r="I178" s="86">
        <f>SUMPRODUCT(SUMIFS(RawTransportationData!$G:$G,RawTransportationData!$A:$A,Compare!$H$2,RawTransportationData!$B:$B,Compare!$D178:$F178))</f>
        <v>1376368.9400000002</v>
      </c>
      <c r="J178" s="32">
        <f t="shared" si="23"/>
        <v>256.74214031226103</v>
      </c>
      <c r="K178" s="32">
        <f>SUMPRODUCT(SUMIFS(RawTransportationData!$H:$H,RawTransportationData!$A:$A,Compare!$E$1,RawTransportationData!$B:$B,Compare!$D178:$F178))</f>
        <v>4388</v>
      </c>
      <c r="L178" s="32">
        <f t="shared" si="16"/>
        <v>1371980.9400000002</v>
      </c>
      <c r="M178" s="70">
        <f t="shared" si="17"/>
        <v>0.44333050402945984</v>
      </c>
      <c r="N178" s="70">
        <f t="shared" si="18"/>
        <v>0.41950536937951749</v>
      </c>
      <c r="O178" s="45"/>
      <c r="P178" s="85">
        <f>SUMPRODUCT(SUMIFS(RawTransportationData!$D:$D,RawTransportationData!$A:$A,Compare!$P$2,RawTransportationData!$B:$B,Compare!$D178:$F178))</f>
        <v>5455.9</v>
      </c>
      <c r="Q178" s="86">
        <f>SUMPRODUCT(SUMIFS(RawTransportationData!$G:$G,RawTransportationData!$A:$A,Compare!$P$2,RawTransportationData!$B:$B,Compare!$D178:$F178))</f>
        <v>1213004.3999999999</v>
      </c>
      <c r="R178" s="32">
        <f t="shared" si="19"/>
        <v>222.32892831613484</v>
      </c>
      <c r="S178" s="32">
        <f>SUMPRODUCT(SUMIFS(RawTransportationData!$H:$H,RawTransportationData!$A:$A,Compare!$P$1,RawTransportationData!$B:$B,Compare!$D178:$F178))</f>
        <v>0</v>
      </c>
      <c r="T178" s="32">
        <f t="shared" si="20"/>
        <v>1213004.3999999999</v>
      </c>
      <c r="U178" s="45"/>
      <c r="V178" s="85">
        <f>SUMPRODUCT(SUMIFS(RawTransportationData!$D:$D,RawTransportationData!$A:$A,Compare!$V$2,RawTransportationData!$B:$B,Compare!$D178:$F178))</f>
        <v>5433.5</v>
      </c>
      <c r="W178" s="86">
        <f>SUMPRODUCT(SUMIFS(RawTransportationData!$G:$G,RawTransportationData!$A:$A,Compare!$V$2,RawTransportationData!$B:$B,Compare!$D178:$F178))</f>
        <v>966520.43</v>
      </c>
      <c r="X178" s="32">
        <f t="shared" si="21"/>
        <v>177.88173921045367</v>
      </c>
      <c r="Y178" s="32">
        <f>SUMPRODUCT(SUMIFS(RawTransportationData!$H:$H,RawTransportationData!$A:$A,Compare!$V$1,RawTransportationData!$B:$B,Compare!$D178:$F178))</f>
        <v>0</v>
      </c>
      <c r="Z178" s="32">
        <f t="shared" si="22"/>
        <v>966520.43</v>
      </c>
    </row>
    <row r="179" spans="1:26" x14ac:dyDescent="0.55000000000000004">
      <c r="A179">
        <f>FinalPayment!A177</f>
        <v>2021</v>
      </c>
      <c r="B179" t="str">
        <f>FinalPayment!B177</f>
        <v>11</v>
      </c>
      <c r="C179" t="str">
        <f>FinalPayment!C177</f>
        <v>4122</v>
      </c>
      <c r="D179" t="str">
        <f>FinalPayment!D177</f>
        <v/>
      </c>
      <c r="E179" t="str">
        <f>FinalPayment!E177</f>
        <v/>
      </c>
      <c r="F179" t="str">
        <f>FinalPayment!F177</f>
        <v>4122</v>
      </c>
      <c r="G179" s="28" t="str">
        <f>FinalPayment!G177</f>
        <v>Martensdale-St Marys</v>
      </c>
      <c r="H179" s="85">
        <f>SUMPRODUCT(SUMIFS(RawTransportationData!$D:$D,RawTransportationData!$A:$A,Compare!$H$2,RawTransportationData!$B:$B,Compare!$D179:$F179))</f>
        <v>516.70000000000005</v>
      </c>
      <c r="I179" s="86">
        <f>SUMPRODUCT(SUMIFS(RawTransportationData!$G:$G,RawTransportationData!$A:$A,Compare!$H$2,RawTransportationData!$B:$B,Compare!$D179:$F179))</f>
        <v>234923.65</v>
      </c>
      <c r="J179" s="32">
        <f t="shared" si="23"/>
        <v>454.66160247725946</v>
      </c>
      <c r="K179" s="32">
        <f>SUMPRODUCT(SUMIFS(RawTransportationData!$H:$H,RawTransportationData!$A:$A,Compare!$E$1,RawTransportationData!$B:$B,Compare!$D179:$F179))</f>
        <v>55715</v>
      </c>
      <c r="L179" s="32">
        <f t="shared" si="16"/>
        <v>179208.65</v>
      </c>
      <c r="M179" s="70">
        <f t="shared" si="17"/>
        <v>9.4466920343096186E-2</v>
      </c>
      <c r="N179" s="70">
        <f t="shared" si="18"/>
        <v>-0.15349162653739912</v>
      </c>
      <c r="O179" s="45"/>
      <c r="P179" s="85">
        <f>SUMPRODUCT(SUMIFS(RawTransportationData!$D:$D,RawTransportationData!$A:$A,Compare!$P$2,RawTransportationData!$B:$B,Compare!$D179:$F179))</f>
        <v>512.20000000000005</v>
      </c>
      <c r="Q179" s="86">
        <f>SUMPRODUCT(SUMIFS(RawTransportationData!$G:$G,RawTransportationData!$A:$A,Compare!$P$2,RawTransportationData!$B:$B,Compare!$D179:$F179))</f>
        <v>214533.31</v>
      </c>
      <c r="R179" s="32">
        <f t="shared" si="19"/>
        <v>418.84675907848492</v>
      </c>
      <c r="S179" s="32">
        <f>SUMPRODUCT(SUMIFS(RawTransportationData!$H:$H,RawTransportationData!$A:$A,Compare!$P$1,RawTransportationData!$B:$B,Compare!$D179:$F179))</f>
        <v>19352</v>
      </c>
      <c r="T179" s="32">
        <f t="shared" si="20"/>
        <v>195181.31</v>
      </c>
      <c r="U179" s="45"/>
      <c r="V179" s="85">
        <f>SUMPRODUCT(SUMIFS(RawTransportationData!$D:$D,RawTransportationData!$A:$A,Compare!$V$2,RawTransportationData!$B:$B,Compare!$D179:$F179))</f>
        <v>510</v>
      </c>
      <c r="W179" s="86">
        <f>SUMPRODUCT(SUMIFS(RawTransportationData!$G:$G,RawTransportationData!$A:$A,Compare!$V$2,RawTransportationData!$B:$B,Compare!$D179:$F179))</f>
        <v>211863.34000000003</v>
      </c>
      <c r="X179" s="32">
        <f t="shared" si="21"/>
        <v>415.41831372549024</v>
      </c>
      <c r="Y179" s="32">
        <f>SUMPRODUCT(SUMIFS(RawTransportationData!$H:$H,RawTransportationData!$A:$A,Compare!$V$1,RawTransportationData!$B:$B,Compare!$D179:$F179))</f>
        <v>160</v>
      </c>
      <c r="Z179" s="32">
        <f t="shared" si="22"/>
        <v>211703.34000000003</v>
      </c>
    </row>
    <row r="180" spans="1:26" x14ac:dyDescent="0.55000000000000004">
      <c r="A180">
        <f>FinalPayment!A178</f>
        <v>2021</v>
      </c>
      <c r="B180" t="str">
        <f>FinalPayment!B178</f>
        <v>07</v>
      </c>
      <c r="C180" t="str">
        <f>FinalPayment!C178</f>
        <v>4131</v>
      </c>
      <c r="D180" t="str">
        <f>FinalPayment!D178</f>
        <v/>
      </c>
      <c r="E180" t="str">
        <f>FinalPayment!E178</f>
        <v/>
      </c>
      <c r="F180" t="str">
        <f>FinalPayment!F178</f>
        <v>4131</v>
      </c>
      <c r="G180" s="28" t="str">
        <f>FinalPayment!G178</f>
        <v>Mason City</v>
      </c>
      <c r="H180" s="85">
        <f>SUMPRODUCT(SUMIFS(RawTransportationData!$D:$D,RawTransportationData!$A:$A,Compare!$H$2,RawTransportationData!$B:$B,Compare!$D180:$F180))</f>
        <v>3587.5</v>
      </c>
      <c r="I180" s="86">
        <f>SUMPRODUCT(SUMIFS(RawTransportationData!$G:$G,RawTransportationData!$A:$A,Compare!$H$2,RawTransportationData!$B:$B,Compare!$D180:$F180))</f>
        <v>1212378.1300000001</v>
      </c>
      <c r="J180" s="32">
        <f t="shared" si="23"/>
        <v>337.94512334494777</v>
      </c>
      <c r="K180" s="32">
        <f>SUMPRODUCT(SUMIFS(RawTransportationData!$H:$H,RawTransportationData!$A:$A,Compare!$E$1,RawTransportationData!$B:$B,Compare!$D180:$F180))</f>
        <v>2937</v>
      </c>
      <c r="L180" s="32">
        <f t="shared" si="16"/>
        <v>1209441.1300000001</v>
      </c>
      <c r="M180" s="70">
        <f t="shared" si="17"/>
        <v>0.28043636399332689</v>
      </c>
      <c r="N180" s="70">
        <f t="shared" si="18"/>
        <v>0.23120919168714288</v>
      </c>
      <c r="O180" s="45"/>
      <c r="P180" s="85">
        <f>SUMPRODUCT(SUMIFS(RawTransportationData!$D:$D,RawTransportationData!$A:$A,Compare!$P$2,RawTransportationData!$B:$B,Compare!$D180:$F180))</f>
        <v>3633.5</v>
      </c>
      <c r="Q180" s="86">
        <f>SUMPRODUCT(SUMIFS(RawTransportationData!$G:$G,RawTransportationData!$A:$A,Compare!$P$2,RawTransportationData!$B:$B,Compare!$D180:$F180))</f>
        <v>1073470.6299999999</v>
      </c>
      <c r="R180" s="32">
        <f t="shared" si="19"/>
        <v>295.43707995046094</v>
      </c>
      <c r="S180" s="32">
        <f>SUMPRODUCT(SUMIFS(RawTransportationData!$H:$H,RawTransportationData!$A:$A,Compare!$P$1,RawTransportationData!$B:$B,Compare!$D180:$F180))</f>
        <v>0</v>
      </c>
      <c r="T180" s="32">
        <f t="shared" si="20"/>
        <v>1073470.6299999999</v>
      </c>
      <c r="U180" s="45"/>
      <c r="V180" s="85">
        <f>SUMPRODUCT(SUMIFS(RawTransportationData!$D:$D,RawTransportationData!$A:$A,Compare!$V$2,RawTransportationData!$B:$B,Compare!$D180:$F180))</f>
        <v>3721.9</v>
      </c>
      <c r="W180" s="86">
        <f>SUMPRODUCT(SUMIFS(RawTransportationData!$G:$G,RawTransportationData!$A:$A,Compare!$V$2,RawTransportationData!$B:$B,Compare!$D180:$F180))</f>
        <v>982319.77</v>
      </c>
      <c r="X180" s="32">
        <f t="shared" si="21"/>
        <v>263.92965152207205</v>
      </c>
      <c r="Y180" s="32">
        <f>SUMPRODUCT(SUMIFS(RawTransportationData!$H:$H,RawTransportationData!$A:$A,Compare!$V$1,RawTransportationData!$B:$B,Compare!$D180:$F180))</f>
        <v>0</v>
      </c>
      <c r="Z180" s="32">
        <f t="shared" si="22"/>
        <v>982319.77</v>
      </c>
    </row>
    <row r="181" spans="1:26" x14ac:dyDescent="0.55000000000000004">
      <c r="A181">
        <f>FinalPayment!A179</f>
        <v>2021</v>
      </c>
      <c r="B181" t="str">
        <f>FinalPayment!B179</f>
        <v>15</v>
      </c>
      <c r="C181" t="str">
        <f>FinalPayment!C179</f>
        <v>4203</v>
      </c>
      <c r="D181" t="str">
        <f>FinalPayment!D179</f>
        <v/>
      </c>
      <c r="E181" t="str">
        <f>FinalPayment!E179</f>
        <v/>
      </c>
      <c r="F181" t="str">
        <f>FinalPayment!F179</f>
        <v>4203</v>
      </c>
      <c r="G181" s="28" t="str">
        <f>FinalPayment!G179</f>
        <v>Mediapolis</v>
      </c>
      <c r="H181" s="85">
        <f>SUMPRODUCT(SUMIFS(RawTransportationData!$D:$D,RawTransportationData!$A:$A,Compare!$H$2,RawTransportationData!$B:$B,Compare!$D181:$F181))</f>
        <v>807.6</v>
      </c>
      <c r="I181" s="86">
        <f>SUMPRODUCT(SUMIFS(RawTransportationData!$G:$G,RawTransportationData!$A:$A,Compare!$H$2,RawTransportationData!$B:$B,Compare!$D181:$F181))</f>
        <v>527671.17999999993</v>
      </c>
      <c r="J181" s="32">
        <f t="shared" si="23"/>
        <v>653.38184744923217</v>
      </c>
      <c r="K181" s="32">
        <f>SUMPRODUCT(SUMIFS(RawTransportationData!$H:$H,RawTransportationData!$A:$A,Compare!$E$1,RawTransportationData!$B:$B,Compare!$D181:$F181))</f>
        <v>247569</v>
      </c>
      <c r="L181" s="32">
        <f t="shared" si="16"/>
        <v>280102.17999999993</v>
      </c>
      <c r="M181" s="70">
        <f t="shared" si="17"/>
        <v>1.2530922197426381E-2</v>
      </c>
      <c r="N181" s="70">
        <f t="shared" si="18"/>
        <v>-0.13589624122726349</v>
      </c>
      <c r="O181" s="45"/>
      <c r="P181" s="85">
        <f>SUMPRODUCT(SUMIFS(RawTransportationData!$D:$D,RawTransportationData!$A:$A,Compare!$P$2,RawTransportationData!$B:$B,Compare!$D181:$F181))</f>
        <v>790.8</v>
      </c>
      <c r="Q181" s="86">
        <f>SUMPRODUCT(SUMIFS(RawTransportationData!$G:$G,RawTransportationData!$A:$A,Compare!$P$2,RawTransportationData!$B:$B,Compare!$D181:$F181))</f>
        <v>490126.94</v>
      </c>
      <c r="R181" s="32">
        <f t="shared" si="19"/>
        <v>619.78621648963076</v>
      </c>
      <c r="S181" s="32">
        <f>SUMPRODUCT(SUMIFS(RawTransportationData!$H:$H,RawTransportationData!$A:$A,Compare!$P$1,RawTransportationData!$B:$B,Compare!$D181:$F181))</f>
        <v>188782</v>
      </c>
      <c r="T181" s="32">
        <f t="shared" si="20"/>
        <v>301344.94</v>
      </c>
      <c r="U181" s="45"/>
      <c r="V181" s="85">
        <f>SUMPRODUCT(SUMIFS(RawTransportationData!$D:$D,RawTransportationData!$A:$A,Compare!$V$2,RawTransportationData!$B:$B,Compare!$D181:$F181))</f>
        <v>780.9</v>
      </c>
      <c r="W181" s="86">
        <f>SUMPRODUCT(SUMIFS(RawTransportationData!$G:$G,RawTransportationData!$A:$A,Compare!$V$2,RawTransportationData!$B:$B,Compare!$D181:$F181))</f>
        <v>503911.41</v>
      </c>
      <c r="X181" s="32">
        <f t="shared" si="21"/>
        <v>645.29569727237799</v>
      </c>
      <c r="Y181" s="32">
        <f>SUMPRODUCT(SUMIFS(RawTransportationData!$H:$H,RawTransportationData!$A:$A,Compare!$V$1,RawTransportationData!$B:$B,Compare!$D181:$F181))</f>
        <v>179758</v>
      </c>
      <c r="Z181" s="32">
        <f t="shared" si="22"/>
        <v>324153.40999999997</v>
      </c>
    </row>
    <row r="182" spans="1:26" x14ac:dyDescent="0.55000000000000004">
      <c r="A182">
        <f>FinalPayment!A180</f>
        <v>2021</v>
      </c>
      <c r="B182" t="str">
        <f>FinalPayment!B180</f>
        <v>11</v>
      </c>
      <c r="C182" t="str">
        <f>FinalPayment!C180</f>
        <v>4212</v>
      </c>
      <c r="D182" t="str">
        <f>FinalPayment!D180</f>
        <v/>
      </c>
      <c r="E182" t="str">
        <f>FinalPayment!E180</f>
        <v/>
      </c>
      <c r="F182" t="str">
        <f>FinalPayment!F180</f>
        <v>4212</v>
      </c>
      <c r="G182" s="28" t="str">
        <f>FinalPayment!G180</f>
        <v>Melcher-Dallas</v>
      </c>
      <c r="H182" s="85">
        <f>SUMPRODUCT(SUMIFS(RawTransportationData!$D:$D,RawTransportationData!$A:$A,Compare!$H$2,RawTransportationData!$B:$B,Compare!$D182:$F182))</f>
        <v>345.1</v>
      </c>
      <c r="I182" s="86">
        <f>SUMPRODUCT(SUMIFS(RawTransportationData!$G:$G,RawTransportationData!$A:$A,Compare!$H$2,RawTransportationData!$B:$B,Compare!$D182:$F182))</f>
        <v>97185.9</v>
      </c>
      <c r="J182" s="32">
        <f t="shared" si="23"/>
        <v>281.61663286004051</v>
      </c>
      <c r="K182" s="32">
        <f>SUMPRODUCT(SUMIFS(RawTransportationData!$H:$H,RawTransportationData!$A:$A,Compare!$E$1,RawTransportationData!$B:$B,Compare!$D182:$F182))</f>
        <v>282</v>
      </c>
      <c r="L182" s="32">
        <f t="shared" si="16"/>
        <v>96903.9</v>
      </c>
      <c r="M182" s="70">
        <f t="shared" si="17"/>
        <v>-0.18278497422841272</v>
      </c>
      <c r="N182" s="70">
        <f t="shared" si="18"/>
        <v>-0.18040635999366686</v>
      </c>
      <c r="O182" s="45"/>
      <c r="P182" s="85">
        <f>SUMPRODUCT(SUMIFS(RawTransportationData!$D:$D,RawTransportationData!$A:$A,Compare!$P$2,RawTransportationData!$B:$B,Compare!$D182:$F182))</f>
        <v>332.1</v>
      </c>
      <c r="Q182" s="86">
        <f>SUMPRODUCT(SUMIFS(RawTransportationData!$G:$G,RawTransportationData!$A:$A,Compare!$P$2,RawTransportationData!$B:$B,Compare!$D182:$F182))</f>
        <v>110833.60000000001</v>
      </c>
      <c r="R182" s="32">
        <f t="shared" si="19"/>
        <v>333.73562180066244</v>
      </c>
      <c r="S182" s="32">
        <f>SUMPRODUCT(SUMIFS(RawTransportationData!$H:$H,RawTransportationData!$A:$A,Compare!$P$1,RawTransportationData!$B:$B,Compare!$D182:$F182))</f>
        <v>0</v>
      </c>
      <c r="T182" s="32">
        <f t="shared" si="20"/>
        <v>110833.60000000001</v>
      </c>
      <c r="U182" s="45"/>
      <c r="V182" s="85">
        <f>SUMPRODUCT(SUMIFS(RawTransportationData!$D:$D,RawTransportationData!$A:$A,Compare!$V$2,RawTransportationData!$B:$B,Compare!$D182:$F182))</f>
        <v>343.1</v>
      </c>
      <c r="W182" s="86">
        <f>SUMPRODUCT(SUMIFS(RawTransportationData!$G:$G,RawTransportationData!$A:$A,Compare!$V$2,RawTransportationData!$B:$B,Compare!$D182:$F182))</f>
        <v>118234.08</v>
      </c>
      <c r="X182" s="32">
        <f t="shared" si="21"/>
        <v>344.60530457592535</v>
      </c>
      <c r="Y182" s="32">
        <f>SUMPRODUCT(SUMIFS(RawTransportationData!$H:$H,RawTransportationData!$A:$A,Compare!$V$1,RawTransportationData!$B:$B,Compare!$D182:$F182))</f>
        <v>0</v>
      </c>
      <c r="Z182" s="32">
        <f t="shared" si="22"/>
        <v>118234.08</v>
      </c>
    </row>
    <row r="183" spans="1:26" x14ac:dyDescent="0.55000000000000004">
      <c r="A183">
        <f>FinalPayment!A181</f>
        <v>2021</v>
      </c>
      <c r="B183" t="str">
        <f>FinalPayment!B181</f>
        <v>01</v>
      </c>
      <c r="C183" t="str">
        <f>FinalPayment!C181</f>
        <v>4419</v>
      </c>
      <c r="D183" t="str">
        <f>FinalPayment!D181</f>
        <v/>
      </c>
      <c r="E183" t="str">
        <f>FinalPayment!E181</f>
        <v/>
      </c>
      <c r="F183" t="str">
        <f>FinalPayment!F181</f>
        <v>4419</v>
      </c>
      <c r="G183" s="28" t="str">
        <f>FinalPayment!G181</f>
        <v>MFL Mar Mac</v>
      </c>
      <c r="H183" s="85">
        <f>SUMPRODUCT(SUMIFS(RawTransportationData!$D:$D,RawTransportationData!$A:$A,Compare!$H$2,RawTransportationData!$B:$B,Compare!$D183:$F183))</f>
        <v>772.1</v>
      </c>
      <c r="I183" s="86">
        <f>SUMPRODUCT(SUMIFS(RawTransportationData!$G:$G,RawTransportationData!$A:$A,Compare!$H$2,RawTransportationData!$B:$B,Compare!$D183:$F183))</f>
        <v>461777.91999999998</v>
      </c>
      <c r="J183" s="32">
        <f t="shared" si="23"/>
        <v>598.08045589949484</v>
      </c>
      <c r="K183" s="32">
        <f>SUMPRODUCT(SUMIFS(RawTransportationData!$H:$H,RawTransportationData!$A:$A,Compare!$E$1,RawTransportationData!$B:$B,Compare!$D183:$F183))</f>
        <v>193989</v>
      </c>
      <c r="L183" s="32">
        <f t="shared" si="16"/>
        <v>267788.92</v>
      </c>
      <c r="M183" s="70">
        <f t="shared" si="17"/>
        <v>0.26535675209356335</v>
      </c>
      <c r="N183" s="70">
        <f t="shared" si="18"/>
        <v>-0.17016653135090584</v>
      </c>
      <c r="O183" s="45"/>
      <c r="P183" s="85">
        <f>SUMPRODUCT(SUMIFS(RawTransportationData!$D:$D,RawTransportationData!$A:$A,Compare!$P$2,RawTransportationData!$B:$B,Compare!$D183:$F183))</f>
        <v>757.5</v>
      </c>
      <c r="Q183" s="86">
        <f>SUMPRODUCT(SUMIFS(RawTransportationData!$G:$G,RawTransportationData!$A:$A,Compare!$P$2,RawTransportationData!$B:$B,Compare!$D183:$F183))</f>
        <v>375706.78</v>
      </c>
      <c r="R183" s="32">
        <f t="shared" si="19"/>
        <v>495.98254785478554</v>
      </c>
      <c r="S183" s="32">
        <f>SUMPRODUCT(SUMIFS(RawTransportationData!$H:$H,RawTransportationData!$A:$A,Compare!$P$1,RawTransportationData!$B:$B,Compare!$D183:$F183))</f>
        <v>87046</v>
      </c>
      <c r="T183" s="32">
        <f t="shared" si="20"/>
        <v>288660.78000000003</v>
      </c>
      <c r="U183" s="45"/>
      <c r="V183" s="85">
        <f>SUMPRODUCT(SUMIFS(RawTransportationData!$D:$D,RawTransportationData!$A:$A,Compare!$V$2,RawTransportationData!$B:$B,Compare!$D183:$F183))</f>
        <v>777.4</v>
      </c>
      <c r="W183" s="86">
        <f>SUMPRODUCT(SUMIFS(RawTransportationData!$G:$G,RawTransportationData!$A:$A,Compare!$V$2,RawTransportationData!$B:$B,Compare!$D183:$F183))</f>
        <v>367444</v>
      </c>
      <c r="X183" s="32">
        <f t="shared" si="21"/>
        <v>472.6575765371752</v>
      </c>
      <c r="Y183" s="32">
        <f>SUMPRODUCT(SUMIFS(RawTransportationData!$H:$H,RawTransportationData!$A:$A,Compare!$V$1,RawTransportationData!$B:$B,Compare!$D183:$F183))</f>
        <v>44742</v>
      </c>
      <c r="Z183" s="32">
        <f t="shared" si="22"/>
        <v>322702</v>
      </c>
    </row>
    <row r="184" spans="1:26" x14ac:dyDescent="0.55000000000000004">
      <c r="A184">
        <f>FinalPayment!A182</f>
        <v>2021</v>
      </c>
      <c r="B184" t="str">
        <f>FinalPayment!B182</f>
        <v>10</v>
      </c>
      <c r="C184" t="str">
        <f>FinalPayment!C182</f>
        <v>4269</v>
      </c>
      <c r="D184" t="str">
        <f>FinalPayment!D182</f>
        <v/>
      </c>
      <c r="E184" t="str">
        <f>FinalPayment!E182</f>
        <v/>
      </c>
      <c r="F184" t="str">
        <f>FinalPayment!F182</f>
        <v>4269</v>
      </c>
      <c r="G184" s="28" t="str">
        <f>FinalPayment!G182</f>
        <v>Midland</v>
      </c>
      <c r="H184" s="85">
        <f>SUMPRODUCT(SUMIFS(RawTransportationData!$D:$D,RawTransportationData!$A:$A,Compare!$H$2,RawTransportationData!$B:$B,Compare!$D184:$F184))</f>
        <v>535.5</v>
      </c>
      <c r="I184" s="86">
        <f>SUMPRODUCT(SUMIFS(RawTransportationData!$G:$G,RawTransportationData!$A:$A,Compare!$H$2,RawTransportationData!$B:$B,Compare!$D184:$F184))</f>
        <v>426212.53</v>
      </c>
      <c r="J184" s="32">
        <f t="shared" si="23"/>
        <v>795.91508870214761</v>
      </c>
      <c r="K184" s="32">
        <f>SUMPRODUCT(SUMIFS(RawTransportationData!$H:$H,RawTransportationData!$A:$A,Compare!$E$1,RawTransportationData!$B:$B,Compare!$D184:$F184))</f>
        <v>240487</v>
      </c>
      <c r="L184" s="32">
        <f t="shared" si="16"/>
        <v>185725.53000000003</v>
      </c>
      <c r="M184" s="70">
        <f t="shared" si="17"/>
        <v>0.26395230758113641</v>
      </c>
      <c r="N184" s="70">
        <f t="shared" si="18"/>
        <v>-0.19078786559531302</v>
      </c>
      <c r="O184" s="45"/>
      <c r="P184" s="85">
        <f>SUMPRODUCT(SUMIFS(RawTransportationData!$D:$D,RawTransportationData!$A:$A,Compare!$P$2,RawTransportationData!$B:$B,Compare!$D184:$F184))</f>
        <v>535.1</v>
      </c>
      <c r="Q184" s="86">
        <f>SUMPRODUCT(SUMIFS(RawTransportationData!$G:$G,RawTransportationData!$A:$A,Compare!$P$2,RawTransportationData!$B:$B,Compare!$D184:$F184))</f>
        <v>380480.63</v>
      </c>
      <c r="R184" s="32">
        <f t="shared" si="19"/>
        <v>711.04584189871048</v>
      </c>
      <c r="S184" s="32">
        <f>SUMPRODUCT(SUMIFS(RawTransportationData!$H:$H,RawTransportationData!$A:$A,Compare!$P$1,RawTransportationData!$B:$B,Compare!$D184:$F184))</f>
        <v>176573</v>
      </c>
      <c r="T184" s="32">
        <f t="shared" si="20"/>
        <v>203907.63</v>
      </c>
      <c r="U184" s="45"/>
      <c r="V184" s="85">
        <f>SUMPRODUCT(SUMIFS(RawTransportationData!$D:$D,RawTransportationData!$A:$A,Compare!$V$2,RawTransportationData!$B:$B,Compare!$D184:$F184))</f>
        <v>552.9</v>
      </c>
      <c r="W184" s="86">
        <f>SUMPRODUCT(SUMIFS(RawTransportationData!$G:$G,RawTransportationData!$A:$A,Compare!$V$2,RawTransportationData!$B:$B,Compare!$D184:$F184))</f>
        <v>348163.02</v>
      </c>
      <c r="X184" s="32">
        <f t="shared" si="21"/>
        <v>629.7034183396637</v>
      </c>
      <c r="Y184" s="32">
        <f>SUMPRODUCT(SUMIFS(RawTransportationData!$H:$H,RawTransportationData!$A:$A,Compare!$V$1,RawTransportationData!$B:$B,Compare!$D184:$F184))</f>
        <v>118649</v>
      </c>
      <c r="Z184" s="32">
        <f t="shared" si="22"/>
        <v>229514.02000000002</v>
      </c>
    </row>
    <row r="185" spans="1:26" x14ac:dyDescent="0.55000000000000004">
      <c r="A185">
        <f>FinalPayment!A183</f>
        <v>2021</v>
      </c>
      <c r="B185" t="str">
        <f>FinalPayment!B183</f>
        <v>10</v>
      </c>
      <c r="C185" t="str">
        <f>FinalPayment!C183</f>
        <v>4271</v>
      </c>
      <c r="D185" t="str">
        <f>FinalPayment!D183</f>
        <v/>
      </c>
      <c r="E185" t="str">
        <f>FinalPayment!E183</f>
        <v/>
      </c>
      <c r="F185" t="str">
        <f>FinalPayment!F183</f>
        <v>4271</v>
      </c>
      <c r="G185" s="28" t="str">
        <f>FinalPayment!G183</f>
        <v>Mid-Prairie</v>
      </c>
      <c r="H185" s="85">
        <f>SUMPRODUCT(SUMIFS(RawTransportationData!$D:$D,RawTransportationData!$A:$A,Compare!$H$2,RawTransportationData!$B:$B,Compare!$D185:$F185))</f>
        <v>1259</v>
      </c>
      <c r="I185" s="86">
        <f>SUMPRODUCT(SUMIFS(RawTransportationData!$G:$G,RawTransportationData!$A:$A,Compare!$H$2,RawTransportationData!$B:$B,Compare!$D185:$F185))</f>
        <v>676832.9</v>
      </c>
      <c r="J185" s="32">
        <f t="shared" si="23"/>
        <v>537.59563145353457</v>
      </c>
      <c r="K185" s="32">
        <f>SUMPRODUCT(SUMIFS(RawTransportationData!$H:$H,RawTransportationData!$A:$A,Compare!$E$1,RawTransportationData!$B:$B,Compare!$D185:$F185))</f>
        <v>240178</v>
      </c>
      <c r="L185" s="32">
        <f t="shared" si="16"/>
        <v>436654.9</v>
      </c>
      <c r="M185" s="70">
        <f t="shared" si="17"/>
        <v>0.1561570396165943</v>
      </c>
      <c r="N185" s="70">
        <f t="shared" si="18"/>
        <v>-0.16409857748652237</v>
      </c>
      <c r="O185" s="45"/>
      <c r="P185" s="85">
        <f>SUMPRODUCT(SUMIFS(RawTransportationData!$D:$D,RawTransportationData!$A:$A,Compare!$P$2,RawTransportationData!$B:$B,Compare!$D185:$F185))</f>
        <v>1248.5</v>
      </c>
      <c r="Q185" s="86">
        <f>SUMPRODUCT(SUMIFS(RawTransportationData!$G:$G,RawTransportationData!$A:$A,Compare!$P$2,RawTransportationData!$B:$B,Compare!$D185:$F185))</f>
        <v>704266.54</v>
      </c>
      <c r="R185" s="32">
        <f t="shared" si="19"/>
        <v>564.09014016820186</v>
      </c>
      <c r="S185" s="32">
        <f>SUMPRODUCT(SUMIFS(RawTransportationData!$H:$H,RawTransportationData!$A:$A,Compare!$P$1,RawTransportationData!$B:$B,Compare!$D185:$F185))</f>
        <v>228503</v>
      </c>
      <c r="T185" s="32">
        <f t="shared" si="20"/>
        <v>475763.54000000004</v>
      </c>
      <c r="U185" s="45"/>
      <c r="V185" s="85">
        <f>SUMPRODUCT(SUMIFS(RawTransportationData!$D:$D,RawTransportationData!$A:$A,Compare!$V$2,RawTransportationData!$B:$B,Compare!$D185:$F185))</f>
        <v>1258.4000000000001</v>
      </c>
      <c r="W185" s="86">
        <f>SUMPRODUCT(SUMIFS(RawTransportationData!$G:$G,RawTransportationData!$A:$A,Compare!$V$2,RawTransportationData!$B:$B,Compare!$D185:$F185))</f>
        <v>585137.07000000007</v>
      </c>
      <c r="X185" s="32">
        <f t="shared" si="21"/>
        <v>464.98495708836617</v>
      </c>
      <c r="Y185" s="32">
        <f>SUMPRODUCT(SUMIFS(RawTransportationData!$H:$H,RawTransportationData!$A:$A,Compare!$V$1,RawTransportationData!$B:$B,Compare!$D185:$F185))</f>
        <v>62761</v>
      </c>
      <c r="Z185" s="32">
        <f t="shared" si="22"/>
        <v>522376.07000000007</v>
      </c>
    </row>
    <row r="186" spans="1:26" x14ac:dyDescent="0.55000000000000004">
      <c r="A186">
        <f>FinalPayment!A184</f>
        <v>2021</v>
      </c>
      <c r="B186" t="str">
        <f>FinalPayment!B184</f>
        <v>13</v>
      </c>
      <c r="C186" t="str">
        <f>FinalPayment!C184</f>
        <v>4356</v>
      </c>
      <c r="D186" t="str">
        <f>FinalPayment!D184</f>
        <v/>
      </c>
      <c r="E186" t="str">
        <f>FinalPayment!E184</f>
        <v/>
      </c>
      <c r="F186" t="str">
        <f>FinalPayment!F184</f>
        <v>4356</v>
      </c>
      <c r="G186" s="28" t="str">
        <f>FinalPayment!G184</f>
        <v>Missouri Valley</v>
      </c>
      <c r="H186" s="85">
        <f>SUMPRODUCT(SUMIFS(RawTransportationData!$D:$D,RawTransportationData!$A:$A,Compare!$H$2,RawTransportationData!$B:$B,Compare!$D186:$F186))</f>
        <v>809.3</v>
      </c>
      <c r="I186" s="86">
        <f>SUMPRODUCT(SUMIFS(RawTransportationData!$G:$G,RawTransportationData!$A:$A,Compare!$H$2,RawTransportationData!$B:$B,Compare!$D186:$F186))</f>
        <v>304741.09000000003</v>
      </c>
      <c r="J186" s="32">
        <f t="shared" si="23"/>
        <v>376.54898060051903</v>
      </c>
      <c r="K186" s="32">
        <f>SUMPRODUCT(SUMIFS(RawTransportationData!$H:$H,RawTransportationData!$A:$A,Compare!$E$1,RawTransportationData!$B:$B,Compare!$D186:$F186))</f>
        <v>24051</v>
      </c>
      <c r="L186" s="32">
        <f t="shared" si="16"/>
        <v>280690.09000000003</v>
      </c>
      <c r="M186" s="70">
        <f t="shared" si="17"/>
        <v>0.38477601216545271</v>
      </c>
      <c r="N186" s="70">
        <f t="shared" si="18"/>
        <v>0.22580522459514149</v>
      </c>
      <c r="O186" s="45"/>
      <c r="P186" s="85">
        <f>SUMPRODUCT(SUMIFS(RawTransportationData!$D:$D,RawTransportationData!$A:$A,Compare!$P$2,RawTransportationData!$B:$B,Compare!$D186:$F186))</f>
        <v>832.4</v>
      </c>
      <c r="Q186" s="86">
        <f>SUMPRODUCT(SUMIFS(RawTransportationData!$G:$G,RawTransportationData!$A:$A,Compare!$P$2,RawTransportationData!$B:$B,Compare!$D186:$F186))</f>
        <v>189723.22</v>
      </c>
      <c r="R186" s="32">
        <f t="shared" si="19"/>
        <v>227.92313791446421</v>
      </c>
      <c r="S186" s="32">
        <f>SUMPRODUCT(SUMIFS(RawTransportationData!$H:$H,RawTransportationData!$A:$A,Compare!$P$1,RawTransportationData!$B:$B,Compare!$D186:$F186))</f>
        <v>0</v>
      </c>
      <c r="T186" s="32">
        <f t="shared" si="20"/>
        <v>189723.22</v>
      </c>
      <c r="U186" s="45"/>
      <c r="V186" s="85">
        <f>SUMPRODUCT(SUMIFS(RawTransportationData!$D:$D,RawTransportationData!$A:$A,Compare!$V$2,RawTransportationData!$B:$B,Compare!$D186:$F186))</f>
        <v>842.1</v>
      </c>
      <c r="W186" s="86">
        <f>SUMPRODUCT(SUMIFS(RawTransportationData!$G:$G,RawTransportationData!$A:$A,Compare!$V$2,RawTransportationData!$B:$B,Compare!$D186:$F186))</f>
        <v>228984.25</v>
      </c>
      <c r="X186" s="32">
        <f t="shared" si="21"/>
        <v>271.92049637810237</v>
      </c>
      <c r="Y186" s="32">
        <f>SUMPRODUCT(SUMIFS(RawTransportationData!$H:$H,RawTransportationData!$A:$A,Compare!$V$1,RawTransportationData!$B:$B,Compare!$D186:$F186))</f>
        <v>0</v>
      </c>
      <c r="Z186" s="32">
        <f t="shared" si="22"/>
        <v>228984.25</v>
      </c>
    </row>
    <row r="187" spans="1:26" x14ac:dyDescent="0.55000000000000004">
      <c r="A187">
        <f>FinalPayment!A185</f>
        <v>2021</v>
      </c>
      <c r="B187" t="str">
        <f>FinalPayment!B185</f>
        <v>12</v>
      </c>
      <c r="C187" t="str">
        <f>FinalPayment!C185</f>
        <v>4149</v>
      </c>
      <c r="D187" t="str">
        <f>FinalPayment!D185</f>
        <v/>
      </c>
      <c r="E187" t="str">
        <f>FinalPayment!E185</f>
        <v/>
      </c>
      <c r="F187" t="str">
        <f>FinalPayment!F185</f>
        <v>4149</v>
      </c>
      <c r="G187" s="28" t="str">
        <f>FinalPayment!G185</f>
        <v>Moc-Floyd Valley</v>
      </c>
      <c r="H187" s="85">
        <f>SUMPRODUCT(SUMIFS(RawTransportationData!$D:$D,RawTransportationData!$A:$A,Compare!$H$2,RawTransportationData!$B:$B,Compare!$D187:$F187))</f>
        <v>1447.1</v>
      </c>
      <c r="I187" s="86">
        <f>SUMPRODUCT(SUMIFS(RawTransportationData!$G:$G,RawTransportationData!$A:$A,Compare!$H$2,RawTransportationData!$B:$B,Compare!$D187:$F187))</f>
        <v>415411.13</v>
      </c>
      <c r="J187" s="32">
        <f t="shared" si="23"/>
        <v>287.06456360997862</v>
      </c>
      <c r="K187" s="32">
        <f>SUMPRODUCT(SUMIFS(RawTransportationData!$H:$H,RawTransportationData!$A:$A,Compare!$E$1,RawTransportationData!$B:$B,Compare!$D187:$F187))</f>
        <v>1185</v>
      </c>
      <c r="L187" s="32">
        <f t="shared" si="16"/>
        <v>414226.13</v>
      </c>
      <c r="M187" s="70">
        <f t="shared" si="17"/>
        <v>0.65897454534617317</v>
      </c>
      <c r="N187" s="70">
        <f t="shared" si="18"/>
        <v>0.70904107389333382</v>
      </c>
      <c r="O187" s="45"/>
      <c r="P187" s="85">
        <f>SUMPRODUCT(SUMIFS(RawTransportationData!$D:$D,RawTransportationData!$A:$A,Compare!$P$2,RawTransportationData!$B:$B,Compare!$D187:$F187))</f>
        <v>1427.7</v>
      </c>
      <c r="Q187" s="86">
        <f>SUMPRODUCT(SUMIFS(RawTransportationData!$G:$G,RawTransportationData!$A:$A,Compare!$P$2,RawTransportationData!$B:$B,Compare!$D187:$F187))</f>
        <v>401744.38</v>
      </c>
      <c r="R187" s="32">
        <f t="shared" si="19"/>
        <v>281.39271555648946</v>
      </c>
      <c r="S187" s="32">
        <f>SUMPRODUCT(SUMIFS(RawTransportationData!$H:$H,RawTransportationData!$A:$A,Compare!$P$1,RawTransportationData!$B:$B,Compare!$D187:$F187))</f>
        <v>0</v>
      </c>
      <c r="T187" s="32">
        <f t="shared" si="20"/>
        <v>401744.38</v>
      </c>
      <c r="U187" s="45"/>
      <c r="V187" s="85">
        <f>SUMPRODUCT(SUMIFS(RawTransportationData!$D:$D,RawTransportationData!$A:$A,Compare!$V$2,RawTransportationData!$B:$B,Compare!$D187:$F187))</f>
        <v>1400.7</v>
      </c>
      <c r="W187" s="86">
        <f>SUMPRODUCT(SUMIFS(RawTransportationData!$G:$G,RawTransportationData!$A:$A,Compare!$V$2,RawTransportationData!$B:$B,Compare!$D187:$F187))</f>
        <v>242373.41999999998</v>
      </c>
      <c r="X187" s="32">
        <f t="shared" si="21"/>
        <v>173.03735275219532</v>
      </c>
      <c r="Y187" s="32">
        <f>SUMPRODUCT(SUMIFS(RawTransportationData!$H:$H,RawTransportationData!$A:$A,Compare!$V$1,RawTransportationData!$B:$B,Compare!$D187:$F187))</f>
        <v>0</v>
      </c>
      <c r="Z187" s="32">
        <f t="shared" si="22"/>
        <v>242373.41999999998</v>
      </c>
    </row>
    <row r="188" spans="1:26" x14ac:dyDescent="0.55000000000000004">
      <c r="A188">
        <f>FinalPayment!A186</f>
        <v>2021</v>
      </c>
      <c r="B188" t="str">
        <f>FinalPayment!B186</f>
        <v>07</v>
      </c>
      <c r="C188" t="str">
        <f>FinalPayment!C186</f>
        <v>4437</v>
      </c>
      <c r="D188" t="str">
        <f>FinalPayment!D186</f>
        <v/>
      </c>
      <c r="E188" t="str">
        <f>FinalPayment!E186</f>
        <v/>
      </c>
      <c r="F188" t="str">
        <f>FinalPayment!F186</f>
        <v>4437</v>
      </c>
      <c r="G188" s="28" t="str">
        <f>FinalPayment!G186</f>
        <v>Montezuma</v>
      </c>
      <c r="H188" s="85">
        <f>SUMPRODUCT(SUMIFS(RawTransportationData!$D:$D,RawTransportationData!$A:$A,Compare!$H$2,RawTransportationData!$B:$B,Compare!$D188:$F188))</f>
        <v>487.4</v>
      </c>
      <c r="I188" s="86">
        <f>SUMPRODUCT(SUMIFS(RawTransportationData!$G:$G,RawTransportationData!$A:$A,Compare!$H$2,RawTransportationData!$B:$B,Compare!$D188:$F188))</f>
        <v>159070.30000000002</v>
      </c>
      <c r="J188" s="32">
        <f t="shared" si="23"/>
        <v>326.36499794829712</v>
      </c>
      <c r="K188" s="32">
        <f>SUMPRODUCT(SUMIFS(RawTransportationData!$H:$H,RawTransportationData!$A:$A,Compare!$E$1,RawTransportationData!$B:$B,Compare!$D188:$F188))</f>
        <v>399</v>
      </c>
      <c r="L188" s="32">
        <f t="shared" si="16"/>
        <v>158671.30000000002</v>
      </c>
      <c r="M188" s="70">
        <f t="shared" si="17"/>
        <v>3.3841934334277832E-2</v>
      </c>
      <c r="N188" s="70">
        <f t="shared" si="18"/>
        <v>-4.4791661900797752E-2</v>
      </c>
      <c r="O188" s="45"/>
      <c r="P188" s="85">
        <f>SUMPRODUCT(SUMIFS(RawTransportationData!$D:$D,RawTransportationData!$A:$A,Compare!$P$2,RawTransportationData!$B:$B,Compare!$D188:$F188))</f>
        <v>497.1</v>
      </c>
      <c r="Q188" s="86">
        <f>SUMPRODUCT(SUMIFS(RawTransportationData!$G:$G,RawTransportationData!$A:$A,Compare!$P$2,RawTransportationData!$B:$B,Compare!$D188:$F188))</f>
        <v>96928.95</v>
      </c>
      <c r="R188" s="32">
        <f t="shared" si="19"/>
        <v>194.9888352444176</v>
      </c>
      <c r="S188" s="32">
        <f>SUMPRODUCT(SUMIFS(RawTransportationData!$H:$H,RawTransportationData!$A:$A,Compare!$P$1,RawTransportationData!$B:$B,Compare!$D188:$F188))</f>
        <v>0</v>
      </c>
      <c r="T188" s="32">
        <f t="shared" si="20"/>
        <v>96928.95</v>
      </c>
      <c r="U188" s="45"/>
      <c r="V188" s="85">
        <f>SUMPRODUCT(SUMIFS(RawTransportationData!$D:$D,RawTransportationData!$A:$A,Compare!$V$2,RawTransportationData!$B:$B,Compare!$D188:$F188))</f>
        <v>526.20000000000005</v>
      </c>
      <c r="W188" s="86">
        <f>SUMPRODUCT(SUMIFS(RawTransportationData!$G:$G,RawTransportationData!$A:$A,Compare!$V$2,RawTransportationData!$B:$B,Compare!$D188:$F188))</f>
        <v>166111.72</v>
      </c>
      <c r="X188" s="32">
        <f t="shared" si="21"/>
        <v>315.68171797795515</v>
      </c>
      <c r="Y188" s="32">
        <f>SUMPRODUCT(SUMIFS(RawTransportationData!$H:$H,RawTransportationData!$A:$A,Compare!$V$1,RawTransportationData!$B:$B,Compare!$D188:$F188))</f>
        <v>0</v>
      </c>
      <c r="Z188" s="32">
        <f t="shared" si="22"/>
        <v>166111.72</v>
      </c>
    </row>
    <row r="189" spans="1:26" x14ac:dyDescent="0.55000000000000004">
      <c r="A189">
        <f>FinalPayment!A187</f>
        <v>2021</v>
      </c>
      <c r="B189" t="str">
        <f>FinalPayment!B187</f>
        <v>10</v>
      </c>
      <c r="C189" t="str">
        <f>FinalPayment!C187</f>
        <v>4446</v>
      </c>
      <c r="D189" t="str">
        <f>FinalPayment!D187</f>
        <v/>
      </c>
      <c r="E189" t="str">
        <f>FinalPayment!E187</f>
        <v/>
      </c>
      <c r="F189" t="str">
        <f>FinalPayment!F187</f>
        <v>4446</v>
      </c>
      <c r="G189" s="28" t="str">
        <f>FinalPayment!G187</f>
        <v>Monticello</v>
      </c>
      <c r="H189" s="85">
        <f>SUMPRODUCT(SUMIFS(RawTransportationData!$D:$D,RawTransportationData!$A:$A,Compare!$H$2,RawTransportationData!$B:$B,Compare!$D189:$F189))</f>
        <v>959</v>
      </c>
      <c r="I189" s="86">
        <f>SUMPRODUCT(SUMIFS(RawTransportationData!$G:$G,RawTransportationData!$A:$A,Compare!$H$2,RawTransportationData!$B:$B,Compare!$D189:$F189))</f>
        <v>357579.77</v>
      </c>
      <c r="J189" s="32">
        <f t="shared" si="23"/>
        <v>372.86733055265904</v>
      </c>
      <c r="K189" s="32">
        <f>SUMPRODUCT(SUMIFS(RawTransportationData!$H:$H,RawTransportationData!$A:$A,Compare!$E$1,RawTransportationData!$B:$B,Compare!$D189:$F189))</f>
        <v>24971</v>
      </c>
      <c r="L189" s="32">
        <f t="shared" si="16"/>
        <v>332608.77</v>
      </c>
      <c r="M189" s="70">
        <f t="shared" si="17"/>
        <v>0.32165416087604221</v>
      </c>
      <c r="N189" s="70">
        <f t="shared" si="18"/>
        <v>0.15132314036533254</v>
      </c>
      <c r="O189" s="45"/>
      <c r="P189" s="85">
        <f>SUMPRODUCT(SUMIFS(RawTransportationData!$D:$D,RawTransportationData!$A:$A,Compare!$P$2,RawTransportationData!$B:$B,Compare!$D189:$F189))</f>
        <v>990.6</v>
      </c>
      <c r="Q189" s="86">
        <f>SUMPRODUCT(SUMIFS(RawTransportationData!$G:$G,RawTransportationData!$A:$A,Compare!$P$2,RawTransportationData!$B:$B,Compare!$D189:$F189))</f>
        <v>311571.40999999997</v>
      </c>
      <c r="R189" s="32">
        <f t="shared" si="19"/>
        <v>314.52797294568944</v>
      </c>
      <c r="S189" s="32">
        <f>SUMPRODUCT(SUMIFS(RawTransportationData!$H:$H,RawTransportationData!$A:$A,Compare!$P$1,RawTransportationData!$B:$B,Compare!$D189:$F189))</f>
        <v>0</v>
      </c>
      <c r="T189" s="32">
        <f t="shared" si="20"/>
        <v>311571.40999999997</v>
      </c>
      <c r="U189" s="45"/>
      <c r="V189" s="85">
        <f>SUMPRODUCT(SUMIFS(RawTransportationData!$D:$D,RawTransportationData!$A:$A,Compare!$V$2,RawTransportationData!$B:$B,Compare!$D189:$F189))</f>
        <v>1024</v>
      </c>
      <c r="W189" s="86">
        <f>SUMPRODUCT(SUMIFS(RawTransportationData!$G:$G,RawTransportationData!$A:$A,Compare!$V$2,RawTransportationData!$B:$B,Compare!$D189:$F189))</f>
        <v>288892.62999999995</v>
      </c>
      <c r="X189" s="32">
        <f t="shared" si="21"/>
        <v>282.12170898437495</v>
      </c>
      <c r="Y189" s="32">
        <f>SUMPRODUCT(SUMIFS(RawTransportationData!$H:$H,RawTransportationData!$A:$A,Compare!$V$1,RawTransportationData!$B:$B,Compare!$D189:$F189))</f>
        <v>0</v>
      </c>
      <c r="Z189" s="32">
        <f t="shared" si="22"/>
        <v>288892.62999999995</v>
      </c>
    </row>
    <row r="190" spans="1:26" x14ac:dyDescent="0.55000000000000004">
      <c r="A190">
        <f>FinalPayment!A188</f>
        <v>2021</v>
      </c>
      <c r="B190" t="str">
        <f>FinalPayment!B188</f>
        <v>15</v>
      </c>
      <c r="C190" t="str">
        <f>FinalPayment!C188</f>
        <v>4491</v>
      </c>
      <c r="D190" t="str">
        <f>FinalPayment!D188</f>
        <v/>
      </c>
      <c r="E190" t="str">
        <f>FinalPayment!E188</f>
        <v/>
      </c>
      <c r="F190" t="str">
        <f>FinalPayment!F188</f>
        <v>4491</v>
      </c>
      <c r="G190" s="28" t="str">
        <f>FinalPayment!G188</f>
        <v>Moravia</v>
      </c>
      <c r="H190" s="85">
        <f>SUMPRODUCT(SUMIFS(RawTransportationData!$D:$D,RawTransportationData!$A:$A,Compare!$H$2,RawTransportationData!$B:$B,Compare!$D190:$F190))</f>
        <v>351</v>
      </c>
      <c r="I190" s="86">
        <f>SUMPRODUCT(SUMIFS(RawTransportationData!$G:$G,RawTransportationData!$A:$A,Compare!$H$2,RawTransportationData!$B:$B,Compare!$D190:$F190))</f>
        <v>148117.85</v>
      </c>
      <c r="J190" s="32">
        <f t="shared" si="23"/>
        <v>421.98817663817664</v>
      </c>
      <c r="K190" s="32">
        <f>SUMPRODUCT(SUMIFS(RawTransportationData!$H:$H,RawTransportationData!$A:$A,Compare!$E$1,RawTransportationData!$B:$B,Compare!$D190:$F190))</f>
        <v>26380</v>
      </c>
      <c r="L190" s="32">
        <f t="shared" si="16"/>
        <v>121737.85</v>
      </c>
      <c r="M190" s="70">
        <f t="shared" si="17"/>
        <v>-4.3810529145722907E-2</v>
      </c>
      <c r="N190" s="70">
        <f t="shared" si="18"/>
        <v>-0.11238761012960508</v>
      </c>
      <c r="O190" s="45"/>
      <c r="P190" s="85">
        <f>SUMPRODUCT(SUMIFS(RawTransportationData!$D:$D,RawTransportationData!$A:$A,Compare!$P$2,RawTransportationData!$B:$B,Compare!$D190:$F190))</f>
        <v>344.4</v>
      </c>
      <c r="Q190" s="86">
        <f>SUMPRODUCT(SUMIFS(RawTransportationData!$G:$G,RawTransportationData!$A:$A,Compare!$P$2,RawTransportationData!$B:$B,Compare!$D190:$F190))</f>
        <v>139053.47</v>
      </c>
      <c r="R190" s="32">
        <f t="shared" si="19"/>
        <v>403.75572009291523</v>
      </c>
      <c r="S190" s="32">
        <f>SUMPRODUCT(SUMIFS(RawTransportationData!$H:$H,RawTransportationData!$A:$A,Compare!$P$1,RawTransportationData!$B:$B,Compare!$D190:$F190))</f>
        <v>7815</v>
      </c>
      <c r="T190" s="32">
        <f t="shared" si="20"/>
        <v>131238.47</v>
      </c>
      <c r="U190" s="45"/>
      <c r="V190" s="85">
        <f>SUMPRODUCT(SUMIFS(RawTransportationData!$D:$D,RawTransportationData!$A:$A,Compare!$V$2,RawTransportationData!$B:$B,Compare!$D190:$F190))</f>
        <v>330.4</v>
      </c>
      <c r="W190" s="86">
        <f>SUMPRODUCT(SUMIFS(RawTransportationData!$G:$G,RawTransportationData!$A:$A,Compare!$V$2,RawTransportationData!$B:$B,Compare!$D190:$F190))</f>
        <v>145813.04</v>
      </c>
      <c r="X190" s="32">
        <f t="shared" si="21"/>
        <v>441.32276029055697</v>
      </c>
      <c r="Y190" s="32">
        <f>SUMPRODUCT(SUMIFS(RawTransportationData!$H:$H,RawTransportationData!$A:$A,Compare!$V$1,RawTransportationData!$B:$B,Compare!$D190:$F190))</f>
        <v>8661</v>
      </c>
      <c r="Z190" s="32">
        <f t="shared" si="22"/>
        <v>137152.04</v>
      </c>
    </row>
    <row r="191" spans="1:26" x14ac:dyDescent="0.55000000000000004">
      <c r="A191">
        <f>FinalPayment!A189</f>
        <v>2021</v>
      </c>
      <c r="B191" t="str">
        <f>FinalPayment!B189</f>
        <v>13</v>
      </c>
      <c r="C191" t="str">
        <f>FinalPayment!C189</f>
        <v>4505</v>
      </c>
      <c r="D191" t="str">
        <f>FinalPayment!D189</f>
        <v/>
      </c>
      <c r="E191" t="str">
        <f>FinalPayment!E189</f>
        <v/>
      </c>
      <c r="F191" t="str">
        <f>FinalPayment!F189</f>
        <v>4505</v>
      </c>
      <c r="G191" s="28" t="str">
        <f>FinalPayment!G189</f>
        <v>Mormon Trail</v>
      </c>
      <c r="H191" s="85">
        <f>SUMPRODUCT(SUMIFS(RawTransportationData!$D:$D,RawTransportationData!$A:$A,Compare!$H$2,RawTransportationData!$B:$B,Compare!$D191:$F191))</f>
        <v>249.1</v>
      </c>
      <c r="I191" s="86">
        <f>SUMPRODUCT(SUMIFS(RawTransportationData!$G:$G,RawTransportationData!$A:$A,Compare!$H$2,RawTransportationData!$B:$B,Compare!$D191:$F191))</f>
        <v>127495.72</v>
      </c>
      <c r="J191" s="32">
        <f t="shared" si="23"/>
        <v>511.82545162585308</v>
      </c>
      <c r="K191" s="32">
        <f>SUMPRODUCT(SUMIFS(RawTransportationData!$H:$H,RawTransportationData!$A:$A,Compare!$E$1,RawTransportationData!$B:$B,Compare!$D191:$F191))</f>
        <v>41101</v>
      </c>
      <c r="L191" s="32">
        <f t="shared" si="16"/>
        <v>86394.72</v>
      </c>
      <c r="M191" s="70">
        <f t="shared" si="17"/>
        <v>-0.11131911464487462</v>
      </c>
      <c r="N191" s="70">
        <f t="shared" si="18"/>
        <v>-0.1942436381227752</v>
      </c>
      <c r="O191" s="45"/>
      <c r="P191" s="85">
        <f>SUMPRODUCT(SUMIFS(RawTransportationData!$D:$D,RawTransportationData!$A:$A,Compare!$P$2,RawTransportationData!$B:$B,Compare!$D191:$F191))</f>
        <v>267.10000000000002</v>
      </c>
      <c r="Q191" s="86">
        <f>SUMPRODUCT(SUMIFS(RawTransportationData!$G:$G,RawTransportationData!$A:$A,Compare!$P$2,RawTransportationData!$B:$B,Compare!$D191:$F191))</f>
        <v>134275.04999999999</v>
      </c>
      <c r="R191" s="32">
        <f t="shared" si="19"/>
        <v>502.7145263946087</v>
      </c>
      <c r="S191" s="32">
        <f>SUMPRODUCT(SUMIFS(RawTransportationData!$H:$H,RawTransportationData!$A:$A,Compare!$P$1,RawTransportationData!$B:$B,Compare!$D191:$F191))</f>
        <v>32491</v>
      </c>
      <c r="T191" s="32">
        <f t="shared" si="20"/>
        <v>101784.04999999999</v>
      </c>
      <c r="U191" s="45"/>
      <c r="V191" s="85">
        <f>SUMPRODUCT(SUMIFS(RawTransportationData!$D:$D,RawTransportationData!$A:$A,Compare!$V$2,RawTransportationData!$B:$B,Compare!$D191:$F191))</f>
        <v>258.3</v>
      </c>
      <c r="W191" s="86">
        <f>SUMPRODUCT(SUMIFS(RawTransportationData!$G:$G,RawTransportationData!$A:$A,Compare!$V$2,RawTransportationData!$B:$B,Compare!$D191:$F191))</f>
        <v>148764.89000000001</v>
      </c>
      <c r="X191" s="32">
        <f t="shared" si="21"/>
        <v>575.93840495547818</v>
      </c>
      <c r="Y191" s="32">
        <f>SUMPRODUCT(SUMIFS(RawTransportationData!$H:$H,RawTransportationData!$A:$A,Compare!$V$1,RawTransportationData!$B:$B,Compare!$D191:$F191))</f>
        <v>41543</v>
      </c>
      <c r="Z191" s="32">
        <f t="shared" si="22"/>
        <v>107221.89000000001</v>
      </c>
    </row>
    <row r="192" spans="1:26" x14ac:dyDescent="0.55000000000000004">
      <c r="A192">
        <f>FinalPayment!A190</f>
        <v>2021</v>
      </c>
      <c r="B192" t="str">
        <f>FinalPayment!B190</f>
        <v>15</v>
      </c>
      <c r="C192" t="str">
        <f>FinalPayment!C190</f>
        <v>4509</v>
      </c>
      <c r="D192" t="str">
        <f>FinalPayment!D190</f>
        <v/>
      </c>
      <c r="E192" t="str">
        <f>FinalPayment!E190</f>
        <v/>
      </c>
      <c r="F192" t="str">
        <f>FinalPayment!F190</f>
        <v>4509</v>
      </c>
      <c r="G192" s="28" t="str">
        <f>FinalPayment!G190</f>
        <v>Morning Sun</v>
      </c>
      <c r="H192" s="85">
        <f>SUMPRODUCT(SUMIFS(RawTransportationData!$D:$D,RawTransportationData!$A:$A,Compare!$H$2,RawTransportationData!$B:$B,Compare!$D192:$F192))</f>
        <v>205.6</v>
      </c>
      <c r="I192" s="86">
        <f>SUMPRODUCT(SUMIFS(RawTransportationData!$G:$G,RawTransportationData!$A:$A,Compare!$H$2,RawTransportationData!$B:$B,Compare!$D192:$F192))</f>
        <v>46058.18</v>
      </c>
      <c r="J192" s="32">
        <f t="shared" si="23"/>
        <v>224.01838521400779</v>
      </c>
      <c r="K192" s="32">
        <f>SUMPRODUCT(SUMIFS(RawTransportationData!$H:$H,RawTransportationData!$A:$A,Compare!$E$1,RawTransportationData!$B:$B,Compare!$D192:$F192))</f>
        <v>168</v>
      </c>
      <c r="L192" s="32">
        <f t="shared" si="16"/>
        <v>45890.18</v>
      </c>
      <c r="M192" s="70">
        <f t="shared" si="17"/>
        <v>-0.17187005813096268</v>
      </c>
      <c r="N192" s="70">
        <f t="shared" si="18"/>
        <v>-0.20504934599151733</v>
      </c>
      <c r="O192" s="45"/>
      <c r="P192" s="85">
        <f>SUMPRODUCT(SUMIFS(RawTransportationData!$D:$D,RawTransportationData!$A:$A,Compare!$P$2,RawTransportationData!$B:$B,Compare!$D192:$F192))</f>
        <v>209.2</v>
      </c>
      <c r="Q192" s="86">
        <f>SUMPRODUCT(SUMIFS(RawTransportationData!$G:$G,RawTransportationData!$A:$A,Compare!$P$2,RawTransportationData!$B:$B,Compare!$D192:$F192))</f>
        <v>42812.76</v>
      </c>
      <c r="R192" s="32">
        <f t="shared" si="19"/>
        <v>204.64990439770557</v>
      </c>
      <c r="S192" s="32">
        <f>SUMPRODUCT(SUMIFS(RawTransportationData!$H:$H,RawTransportationData!$A:$A,Compare!$P$1,RawTransportationData!$B:$B,Compare!$D192:$F192))</f>
        <v>0</v>
      </c>
      <c r="T192" s="32">
        <f t="shared" si="20"/>
        <v>42812.76</v>
      </c>
      <c r="U192" s="45"/>
      <c r="V192" s="85">
        <f>SUMPRODUCT(SUMIFS(RawTransportationData!$D:$D,RawTransportationData!$A:$A,Compare!$V$2,RawTransportationData!$B:$B,Compare!$D192:$F192))</f>
        <v>213.4</v>
      </c>
      <c r="W192" s="86">
        <f>SUMPRODUCT(SUMIFS(RawTransportationData!$G:$G,RawTransportationData!$A:$A,Compare!$V$2,RawTransportationData!$B:$B,Compare!$D192:$F192))</f>
        <v>57727.08</v>
      </c>
      <c r="X192" s="32">
        <f t="shared" si="21"/>
        <v>270.51115276476099</v>
      </c>
      <c r="Y192" s="32">
        <f>SUMPRODUCT(SUMIFS(RawTransportationData!$H:$H,RawTransportationData!$A:$A,Compare!$V$1,RawTransportationData!$B:$B,Compare!$D192:$F192))</f>
        <v>0</v>
      </c>
      <c r="Z192" s="32">
        <f t="shared" si="22"/>
        <v>57727.08</v>
      </c>
    </row>
    <row r="193" spans="1:26" x14ac:dyDescent="0.55000000000000004">
      <c r="A193">
        <f>FinalPayment!A191</f>
        <v>2021</v>
      </c>
      <c r="B193" t="str">
        <f>FinalPayment!B191</f>
        <v>15</v>
      </c>
      <c r="C193" t="str">
        <f>FinalPayment!C191</f>
        <v>4518</v>
      </c>
      <c r="D193" t="str">
        <f>FinalPayment!D191</f>
        <v/>
      </c>
      <c r="E193" t="str">
        <f>FinalPayment!E191</f>
        <v/>
      </c>
      <c r="F193" t="str">
        <f>FinalPayment!F191</f>
        <v>4518</v>
      </c>
      <c r="G193" s="28" t="str">
        <f>FinalPayment!G191</f>
        <v>Moulton-Udell</v>
      </c>
      <c r="H193" s="85">
        <f>SUMPRODUCT(SUMIFS(RawTransportationData!$D:$D,RawTransportationData!$A:$A,Compare!$H$2,RawTransportationData!$B:$B,Compare!$D193:$F193))</f>
        <v>219.3</v>
      </c>
      <c r="I193" s="86">
        <f>SUMPRODUCT(SUMIFS(RawTransportationData!$G:$G,RawTransportationData!$A:$A,Compare!$H$2,RawTransportationData!$B:$B,Compare!$D193:$F193))</f>
        <v>111863.97</v>
      </c>
      <c r="J193" s="32">
        <f t="shared" si="23"/>
        <v>510.09562243502052</v>
      </c>
      <c r="K193" s="32">
        <f>SUMPRODUCT(SUMIFS(RawTransportationData!$H:$H,RawTransportationData!$A:$A,Compare!$E$1,RawTransportationData!$B:$B,Compare!$D193:$F193))</f>
        <v>35805</v>
      </c>
      <c r="L193" s="32">
        <f t="shared" si="16"/>
        <v>76058.97</v>
      </c>
      <c r="M193" s="70">
        <f t="shared" si="17"/>
        <v>3.394329479248142E-2</v>
      </c>
      <c r="N193" s="70">
        <f t="shared" si="18"/>
        <v>-0.17650615826042307</v>
      </c>
      <c r="O193" s="45"/>
      <c r="P193" s="85">
        <f>SUMPRODUCT(SUMIFS(RawTransportationData!$D:$D,RawTransportationData!$A:$A,Compare!$P$2,RawTransportationData!$B:$B,Compare!$D193:$F193))</f>
        <v>209.9</v>
      </c>
      <c r="Q193" s="86">
        <f>SUMPRODUCT(SUMIFS(RawTransportationData!$G:$G,RawTransportationData!$A:$A,Compare!$P$2,RawTransportationData!$B:$B,Compare!$D193:$F193))</f>
        <v>122171.46</v>
      </c>
      <c r="R193" s="32">
        <f t="shared" si="19"/>
        <v>582.04602191519768</v>
      </c>
      <c r="S193" s="32">
        <f>SUMPRODUCT(SUMIFS(RawTransportationData!$H:$H,RawTransportationData!$A:$A,Compare!$P$1,RawTransportationData!$B:$B,Compare!$D193:$F193))</f>
        <v>42186</v>
      </c>
      <c r="T193" s="32">
        <f t="shared" si="20"/>
        <v>79985.460000000006</v>
      </c>
      <c r="U193" s="45"/>
      <c r="V193" s="85">
        <f>SUMPRODUCT(SUMIFS(RawTransportationData!$D:$D,RawTransportationData!$A:$A,Compare!$V$2,RawTransportationData!$B:$B,Compare!$D193:$F193))</f>
        <v>222.5</v>
      </c>
      <c r="W193" s="86">
        <f>SUMPRODUCT(SUMIFS(RawTransportationData!$G:$G,RawTransportationData!$A:$A,Compare!$V$2,RawTransportationData!$B:$B,Compare!$D193:$F193))</f>
        <v>109770.31</v>
      </c>
      <c r="X193" s="32">
        <f t="shared" si="21"/>
        <v>493.34970786516851</v>
      </c>
      <c r="Y193" s="32">
        <f>SUMPRODUCT(SUMIFS(RawTransportationData!$H:$H,RawTransportationData!$A:$A,Compare!$V$1,RawTransportationData!$B:$B,Compare!$D193:$F193))</f>
        <v>17409</v>
      </c>
      <c r="Z193" s="32">
        <f t="shared" si="22"/>
        <v>92361.31</v>
      </c>
    </row>
    <row r="194" spans="1:26" x14ac:dyDescent="0.55000000000000004">
      <c r="A194">
        <f>FinalPayment!A192</f>
        <v>2021</v>
      </c>
      <c r="B194" t="str">
        <f>FinalPayment!B192</f>
        <v>13</v>
      </c>
      <c r="C194" t="str">
        <f>FinalPayment!C192</f>
        <v>4527</v>
      </c>
      <c r="D194" t="str">
        <f>FinalPayment!D192</f>
        <v/>
      </c>
      <c r="E194" t="str">
        <f>FinalPayment!E192</f>
        <v/>
      </c>
      <c r="F194" t="str">
        <f>FinalPayment!F192</f>
        <v>4527</v>
      </c>
      <c r="G194" s="28" t="str">
        <f>FinalPayment!G192</f>
        <v>Mount Ayr</v>
      </c>
      <c r="H194" s="85">
        <f>SUMPRODUCT(SUMIFS(RawTransportationData!$D:$D,RawTransportationData!$A:$A,Compare!$H$2,RawTransportationData!$B:$B,Compare!$D194:$F194))</f>
        <v>607.4</v>
      </c>
      <c r="I194" s="86">
        <f>SUMPRODUCT(SUMIFS(RawTransportationData!$G:$G,RawTransportationData!$A:$A,Compare!$H$2,RawTransportationData!$B:$B,Compare!$D194:$F194))</f>
        <v>363572.97</v>
      </c>
      <c r="J194" s="32">
        <f t="shared" si="23"/>
        <v>598.57255515311158</v>
      </c>
      <c r="K194" s="32">
        <f>SUMPRODUCT(SUMIFS(RawTransportationData!$H:$H,RawTransportationData!$A:$A,Compare!$E$1,RawTransportationData!$B:$B,Compare!$D194:$F194))</f>
        <v>152906</v>
      </c>
      <c r="L194" s="32">
        <f t="shared" si="16"/>
        <v>210666.96999999997</v>
      </c>
      <c r="M194" s="70">
        <f t="shared" si="17"/>
        <v>0.18944973890911723</v>
      </c>
      <c r="N194" s="70">
        <f t="shared" si="18"/>
        <v>-0.19801828827833209</v>
      </c>
      <c r="O194" s="45"/>
      <c r="P194" s="85">
        <f>SUMPRODUCT(SUMIFS(RawTransportationData!$D:$D,RawTransportationData!$A:$A,Compare!$P$2,RawTransportationData!$B:$B,Compare!$D194:$F194))</f>
        <v>631.1</v>
      </c>
      <c r="Q194" s="86">
        <f>SUMPRODUCT(SUMIFS(RawTransportationData!$G:$G,RawTransportationData!$A:$A,Compare!$P$2,RawTransportationData!$B:$B,Compare!$D194:$F194))</f>
        <v>362930.32</v>
      </c>
      <c r="R194" s="32">
        <f t="shared" si="19"/>
        <v>575.07577246078279</v>
      </c>
      <c r="S194" s="32">
        <f>SUMPRODUCT(SUMIFS(RawTransportationData!$H:$H,RawTransportationData!$A:$A,Compare!$P$1,RawTransportationData!$B:$B,Compare!$D194:$F194))</f>
        <v>122441</v>
      </c>
      <c r="T194" s="32">
        <f t="shared" si="20"/>
        <v>240489.32</v>
      </c>
      <c r="U194" s="45"/>
      <c r="V194" s="85">
        <f>SUMPRODUCT(SUMIFS(RawTransportationData!$D:$D,RawTransportationData!$A:$A,Compare!$V$2,RawTransportationData!$B:$B,Compare!$D194:$F194))</f>
        <v>632.79999999999995</v>
      </c>
      <c r="W194" s="86">
        <f>SUMPRODUCT(SUMIFS(RawTransportationData!$G:$G,RawTransportationData!$A:$A,Compare!$V$2,RawTransportationData!$B:$B,Compare!$D194:$F194))</f>
        <v>318447.00999999995</v>
      </c>
      <c r="X194" s="32">
        <f t="shared" si="21"/>
        <v>503.23484513274332</v>
      </c>
      <c r="Y194" s="32">
        <f>SUMPRODUCT(SUMIFS(RawTransportationData!$H:$H,RawTransportationData!$A:$A,Compare!$V$1,RawTransportationData!$B:$B,Compare!$D194:$F194))</f>
        <v>55764</v>
      </c>
      <c r="Z194" s="32">
        <f t="shared" si="22"/>
        <v>262683.00999999995</v>
      </c>
    </row>
    <row r="195" spans="1:26" x14ac:dyDescent="0.55000000000000004">
      <c r="A195">
        <f>FinalPayment!A193</f>
        <v>2021</v>
      </c>
      <c r="B195" t="str">
        <f>FinalPayment!B193</f>
        <v>15</v>
      </c>
      <c r="C195" t="str">
        <f>FinalPayment!C193</f>
        <v>4536</v>
      </c>
      <c r="D195" t="str">
        <f>FinalPayment!D193</f>
        <v/>
      </c>
      <c r="E195" t="str">
        <f>FinalPayment!E193</f>
        <v/>
      </c>
      <c r="F195" t="str">
        <f>FinalPayment!F193</f>
        <v>4536</v>
      </c>
      <c r="G195" s="28" t="str">
        <f>FinalPayment!G193</f>
        <v>Mount Pleasant</v>
      </c>
      <c r="H195" s="85">
        <f>SUMPRODUCT(SUMIFS(RawTransportationData!$D:$D,RawTransportationData!$A:$A,Compare!$H$2,RawTransportationData!$B:$B,Compare!$D195:$F195))</f>
        <v>1922</v>
      </c>
      <c r="I195" s="86">
        <f>SUMPRODUCT(SUMIFS(RawTransportationData!$G:$G,RawTransportationData!$A:$A,Compare!$H$2,RawTransportationData!$B:$B,Compare!$D195:$F195))</f>
        <v>641373.74</v>
      </c>
      <c r="J195" s="32">
        <f t="shared" si="23"/>
        <v>333.7012174817898</v>
      </c>
      <c r="K195" s="32">
        <f>SUMPRODUCT(SUMIFS(RawTransportationData!$H:$H,RawTransportationData!$A:$A,Compare!$E$1,RawTransportationData!$B:$B,Compare!$D195:$F195))</f>
        <v>1573</v>
      </c>
      <c r="L195" s="32">
        <f t="shared" si="16"/>
        <v>639800.74</v>
      </c>
      <c r="M195" s="70">
        <f t="shared" si="17"/>
        <v>8.3224661296708372E-2</v>
      </c>
      <c r="N195" s="70">
        <f t="shared" si="18"/>
        <v>5.4132421681742343E-2</v>
      </c>
      <c r="O195" s="45"/>
      <c r="P195" s="85">
        <f>SUMPRODUCT(SUMIFS(RawTransportationData!$D:$D,RawTransportationData!$A:$A,Compare!$P$2,RawTransportationData!$B:$B,Compare!$D195:$F195))</f>
        <v>1933.3</v>
      </c>
      <c r="Q195" s="86">
        <f>SUMPRODUCT(SUMIFS(RawTransportationData!$G:$G,RawTransportationData!$A:$A,Compare!$P$2,RawTransportationData!$B:$B,Compare!$D195:$F195))</f>
        <v>609145.38</v>
      </c>
      <c r="R195" s="32">
        <f t="shared" si="19"/>
        <v>315.08062897636165</v>
      </c>
      <c r="S195" s="32">
        <f>SUMPRODUCT(SUMIFS(RawTransportationData!$H:$H,RawTransportationData!$A:$A,Compare!$P$1,RawTransportationData!$B:$B,Compare!$D195:$F195))</f>
        <v>0</v>
      </c>
      <c r="T195" s="32">
        <f t="shared" si="20"/>
        <v>609145.38</v>
      </c>
      <c r="U195" s="45"/>
      <c r="V195" s="85">
        <f>SUMPRODUCT(SUMIFS(RawTransportationData!$D:$D,RawTransportationData!$A:$A,Compare!$V$2,RawTransportationData!$B:$B,Compare!$D195:$F195))</f>
        <v>1970.2</v>
      </c>
      <c r="W195" s="86">
        <f>SUMPRODUCT(SUMIFS(RawTransportationData!$G:$G,RawTransportationData!$A:$A,Compare!$V$2,RawTransportationData!$B:$B,Compare!$D195:$F195))</f>
        <v>606945.31999999995</v>
      </c>
      <c r="X195" s="32">
        <f t="shared" si="21"/>
        <v>308.06279565526341</v>
      </c>
      <c r="Y195" s="32">
        <f>SUMPRODUCT(SUMIFS(RawTransportationData!$H:$H,RawTransportationData!$A:$A,Compare!$V$1,RawTransportationData!$B:$B,Compare!$D195:$F195))</f>
        <v>0</v>
      </c>
      <c r="Z195" s="32">
        <f t="shared" si="22"/>
        <v>606945.31999999995</v>
      </c>
    </row>
    <row r="196" spans="1:26" x14ac:dyDescent="0.55000000000000004">
      <c r="A196">
        <f>FinalPayment!A194</f>
        <v>2021</v>
      </c>
      <c r="B196" t="str">
        <f>FinalPayment!B194</f>
        <v>10</v>
      </c>
      <c r="C196" t="str">
        <f>FinalPayment!C194</f>
        <v>4554</v>
      </c>
      <c r="D196" t="str">
        <f>FinalPayment!D194</f>
        <v/>
      </c>
      <c r="E196" t="str">
        <f>FinalPayment!E194</f>
        <v/>
      </c>
      <c r="F196" t="str">
        <f>FinalPayment!F194</f>
        <v>4554</v>
      </c>
      <c r="G196" s="28" t="str">
        <f>FinalPayment!G194</f>
        <v>Mount Vernon</v>
      </c>
      <c r="H196" s="85">
        <f>SUMPRODUCT(SUMIFS(RawTransportationData!$D:$D,RawTransportationData!$A:$A,Compare!$H$2,RawTransportationData!$B:$B,Compare!$D196:$F196))</f>
        <v>1121.8</v>
      </c>
      <c r="I196" s="86">
        <f>SUMPRODUCT(SUMIFS(RawTransportationData!$G:$G,RawTransportationData!$A:$A,Compare!$H$2,RawTransportationData!$B:$B,Compare!$D196:$F196))</f>
        <v>191108.17</v>
      </c>
      <c r="J196" s="32">
        <f t="shared" si="23"/>
        <v>170.35850418969514</v>
      </c>
      <c r="K196" s="32">
        <f>SUMPRODUCT(SUMIFS(RawTransportationData!$H:$H,RawTransportationData!$A:$A,Compare!$E$1,RawTransportationData!$B:$B,Compare!$D196:$F196))</f>
        <v>918</v>
      </c>
      <c r="L196" s="32">
        <f t="shared" si="16"/>
        <v>190190.17</v>
      </c>
      <c r="M196" s="70">
        <f t="shared" si="17"/>
        <v>4.4142019528328025E-2</v>
      </c>
      <c r="N196" s="70">
        <f t="shared" si="18"/>
        <v>3.6908037750201246E-2</v>
      </c>
      <c r="O196" s="45"/>
      <c r="P196" s="85">
        <f>SUMPRODUCT(SUMIFS(RawTransportationData!$D:$D,RawTransportationData!$A:$A,Compare!$P$2,RawTransportationData!$B:$B,Compare!$D196:$F196))</f>
        <v>1124</v>
      </c>
      <c r="Q196" s="86">
        <f>SUMPRODUCT(SUMIFS(RawTransportationData!$G:$G,RawTransportationData!$A:$A,Compare!$P$2,RawTransportationData!$B:$B,Compare!$D196:$F196))</f>
        <v>186706.84</v>
      </c>
      <c r="R196" s="32">
        <f t="shared" si="19"/>
        <v>166.10928825622776</v>
      </c>
      <c r="S196" s="32">
        <f>SUMPRODUCT(SUMIFS(RawTransportationData!$H:$H,RawTransportationData!$A:$A,Compare!$P$1,RawTransportationData!$B:$B,Compare!$D196:$F196))</f>
        <v>0</v>
      </c>
      <c r="T196" s="32">
        <f t="shared" si="20"/>
        <v>186706.84</v>
      </c>
      <c r="U196" s="45"/>
      <c r="V196" s="85">
        <f>SUMPRODUCT(SUMIFS(RawTransportationData!$D:$D,RawTransportationData!$A:$A,Compare!$V$2,RawTransportationData!$B:$B,Compare!$D196:$F196))</f>
        <v>1124.2</v>
      </c>
      <c r="W196" s="86">
        <f>SUMPRODUCT(SUMIFS(RawTransportationData!$G:$G,RawTransportationData!$A:$A,Compare!$V$2,RawTransportationData!$B:$B,Compare!$D196:$F196))</f>
        <v>183420.47999999998</v>
      </c>
      <c r="X196" s="32">
        <f t="shared" si="21"/>
        <v>163.15644903042161</v>
      </c>
      <c r="Y196" s="32">
        <f>SUMPRODUCT(SUMIFS(RawTransportationData!$H:$H,RawTransportationData!$A:$A,Compare!$V$1,RawTransportationData!$B:$B,Compare!$D196:$F196))</f>
        <v>0</v>
      </c>
      <c r="Z196" s="32">
        <f t="shared" si="22"/>
        <v>183420.47999999998</v>
      </c>
    </row>
    <row r="197" spans="1:26" x14ac:dyDescent="0.55000000000000004">
      <c r="A197">
        <f>FinalPayment!A195</f>
        <v>2021</v>
      </c>
      <c r="B197" t="str">
        <f>FinalPayment!B195</f>
        <v>13</v>
      </c>
      <c r="C197" t="str">
        <f>FinalPayment!C195</f>
        <v>4572</v>
      </c>
      <c r="D197" t="str">
        <f>FinalPayment!D195</f>
        <v/>
      </c>
      <c r="E197" t="str">
        <f>FinalPayment!E195</f>
        <v/>
      </c>
      <c r="F197" t="str">
        <f>FinalPayment!F195</f>
        <v>4572</v>
      </c>
      <c r="G197" s="28" t="str">
        <f>FinalPayment!G195</f>
        <v>Murray</v>
      </c>
      <c r="H197" s="85">
        <f>SUMPRODUCT(SUMIFS(RawTransportationData!$D:$D,RawTransportationData!$A:$A,Compare!$H$2,RawTransportationData!$B:$B,Compare!$D197:$F197))</f>
        <v>243.2</v>
      </c>
      <c r="I197" s="86">
        <f>SUMPRODUCT(SUMIFS(RawTransportationData!$G:$G,RawTransportationData!$A:$A,Compare!$H$2,RawTransportationData!$B:$B,Compare!$D197:$F197))</f>
        <v>131467.41</v>
      </c>
      <c r="J197" s="32">
        <f t="shared" si="23"/>
        <v>540.57323190789475</v>
      </c>
      <c r="K197" s="32">
        <f>SUMPRODUCT(SUMIFS(RawTransportationData!$H:$H,RawTransportationData!$A:$A,Compare!$E$1,RawTransportationData!$B:$B,Compare!$D197:$F197))</f>
        <v>47117</v>
      </c>
      <c r="L197" s="32">
        <f t="shared" ref="L197:L260" si="24">I197-K197</f>
        <v>84350.41</v>
      </c>
      <c r="M197" s="70">
        <f t="shared" ref="M197:M260" si="25">(J197-X197)/X197</f>
        <v>0.48258370124311112</v>
      </c>
      <c r="N197" s="70">
        <f t="shared" ref="N197:N260" si="26">(L197-Z197)/Z197</f>
        <v>-0.12503550149899828</v>
      </c>
      <c r="O197" s="45"/>
      <c r="P197" s="85">
        <f>SUMPRODUCT(SUMIFS(RawTransportationData!$D:$D,RawTransportationData!$A:$A,Compare!$P$2,RawTransportationData!$B:$B,Compare!$D197:$F197))</f>
        <v>252.2</v>
      </c>
      <c r="Q197" s="86">
        <f>SUMPRODUCT(SUMIFS(RawTransportationData!$G:$G,RawTransportationData!$A:$A,Compare!$P$2,RawTransportationData!$B:$B,Compare!$D197:$F197))</f>
        <v>121997.21</v>
      </c>
      <c r="R197" s="32">
        <f t="shared" ref="R197:R260" si="27">Q197/P197</f>
        <v>483.73199841395723</v>
      </c>
      <c r="S197" s="32">
        <f>SUMPRODUCT(SUMIFS(RawTransportationData!$H:$H,RawTransportationData!$A:$A,Compare!$P$1,RawTransportationData!$B:$B,Compare!$D197:$F197))</f>
        <v>25891</v>
      </c>
      <c r="T197" s="32">
        <f t="shared" ref="T197:T260" si="28">Q197-S197</f>
        <v>96106.21</v>
      </c>
      <c r="U197" s="45"/>
      <c r="V197" s="85">
        <f>SUMPRODUCT(SUMIFS(RawTransportationData!$D:$D,RawTransportationData!$A:$A,Compare!$V$2,RawTransportationData!$B:$B,Compare!$D197:$F197))</f>
        <v>264.39999999999998</v>
      </c>
      <c r="W197" s="86">
        <f>SUMPRODUCT(SUMIFS(RawTransportationData!$G:$G,RawTransportationData!$A:$A,Compare!$V$2,RawTransportationData!$B:$B,Compare!$D197:$F197))</f>
        <v>96404.38</v>
      </c>
      <c r="X197" s="32">
        <f t="shared" ref="X197:X260" si="29">W197/V197</f>
        <v>364.61565809379732</v>
      </c>
      <c r="Y197" s="32">
        <f>SUMPRODUCT(SUMIFS(RawTransportationData!$H:$H,RawTransportationData!$A:$A,Compare!$V$1,RawTransportationData!$B:$B,Compare!$D197:$F197))</f>
        <v>0</v>
      </c>
      <c r="Z197" s="32">
        <f t="shared" ref="Z197:Z260" si="30">W197-Y197</f>
        <v>96404.38</v>
      </c>
    </row>
    <row r="198" spans="1:26" x14ac:dyDescent="0.55000000000000004">
      <c r="A198">
        <f>FinalPayment!A196</f>
        <v>2021</v>
      </c>
      <c r="B198" t="str">
        <f>FinalPayment!B196</f>
        <v>09</v>
      </c>
      <c r="C198" t="str">
        <f>FinalPayment!C196</f>
        <v>4581</v>
      </c>
      <c r="D198" t="str">
        <f>FinalPayment!D196</f>
        <v/>
      </c>
      <c r="E198" t="str">
        <f>FinalPayment!E196</f>
        <v/>
      </c>
      <c r="F198" t="str">
        <f>FinalPayment!F196</f>
        <v>4581</v>
      </c>
      <c r="G198" s="28" t="str">
        <f>FinalPayment!G196</f>
        <v>Muscatine</v>
      </c>
      <c r="H198" s="85">
        <f>SUMPRODUCT(SUMIFS(RawTransportationData!$D:$D,RawTransportationData!$A:$A,Compare!$H$2,RawTransportationData!$B:$B,Compare!$D198:$F198))</f>
        <v>4894</v>
      </c>
      <c r="I198" s="86">
        <f>SUMPRODUCT(SUMIFS(RawTransportationData!$G:$G,RawTransportationData!$A:$A,Compare!$H$2,RawTransportationData!$B:$B,Compare!$D198:$F198))</f>
        <v>918299.53</v>
      </c>
      <c r="J198" s="32">
        <f t="shared" ref="J198:J261" si="31">I198/H198</f>
        <v>187.63782795259502</v>
      </c>
      <c r="K198" s="32">
        <f>SUMPRODUCT(SUMIFS(RawTransportationData!$H:$H,RawTransportationData!$A:$A,Compare!$E$1,RawTransportationData!$B:$B,Compare!$D198:$F198))</f>
        <v>4006</v>
      </c>
      <c r="L198" s="32">
        <f t="shared" si="24"/>
        <v>914293.53</v>
      </c>
      <c r="M198" s="70">
        <f t="shared" si="25"/>
        <v>-5.6875455847581087E-2</v>
      </c>
      <c r="N198" s="70">
        <f t="shared" si="26"/>
        <v>-9.6118140518272444E-2</v>
      </c>
      <c r="O198" s="45"/>
      <c r="P198" s="85">
        <f>SUMPRODUCT(SUMIFS(RawTransportationData!$D:$D,RawTransportationData!$A:$A,Compare!$P$2,RawTransportationData!$B:$B,Compare!$D198:$F198))</f>
        <v>4935.8</v>
      </c>
      <c r="Q198" s="86">
        <f>SUMPRODUCT(SUMIFS(RawTransportationData!$G:$G,RawTransportationData!$A:$A,Compare!$P$2,RawTransportationData!$B:$B,Compare!$D198:$F198))</f>
        <v>959695.4</v>
      </c>
      <c r="R198" s="32">
        <f t="shared" si="27"/>
        <v>194.43563353458407</v>
      </c>
      <c r="S198" s="32">
        <f>SUMPRODUCT(SUMIFS(RawTransportationData!$H:$H,RawTransportationData!$A:$A,Compare!$P$1,RawTransportationData!$B:$B,Compare!$D198:$F198))</f>
        <v>0</v>
      </c>
      <c r="T198" s="32">
        <f t="shared" si="28"/>
        <v>959695.4</v>
      </c>
      <c r="U198" s="45"/>
      <c r="V198" s="85">
        <f>SUMPRODUCT(SUMIFS(RawTransportationData!$D:$D,RawTransportationData!$A:$A,Compare!$V$2,RawTransportationData!$B:$B,Compare!$D198:$F198))</f>
        <v>5084.2</v>
      </c>
      <c r="W198" s="86">
        <f>SUMPRODUCT(SUMIFS(RawTransportationData!$G:$G,RawTransportationData!$A:$A,Compare!$V$2,RawTransportationData!$B:$B,Compare!$D198:$F198))</f>
        <v>1011518.84</v>
      </c>
      <c r="X198" s="32">
        <f t="shared" si="29"/>
        <v>198.95339286416743</v>
      </c>
      <c r="Y198" s="32">
        <f>SUMPRODUCT(SUMIFS(RawTransportationData!$H:$H,RawTransportationData!$A:$A,Compare!$V$1,RawTransportationData!$B:$B,Compare!$D198:$F198))</f>
        <v>0</v>
      </c>
      <c r="Z198" s="32">
        <f t="shared" si="30"/>
        <v>1011518.84</v>
      </c>
    </row>
    <row r="199" spans="1:26" x14ac:dyDescent="0.55000000000000004">
      <c r="A199">
        <f>FinalPayment!A197</f>
        <v>2021</v>
      </c>
      <c r="B199" t="str">
        <f>FinalPayment!B197</f>
        <v>07</v>
      </c>
      <c r="C199" t="str">
        <f>FinalPayment!C197</f>
        <v>4599</v>
      </c>
      <c r="D199" t="str">
        <f>FinalPayment!D197</f>
        <v/>
      </c>
      <c r="E199" t="str">
        <f>FinalPayment!E197</f>
        <v/>
      </c>
      <c r="F199" t="str">
        <f>FinalPayment!F197</f>
        <v>4599</v>
      </c>
      <c r="G199" s="28" t="str">
        <f>FinalPayment!G197</f>
        <v>Nashua-Plainfield</v>
      </c>
      <c r="H199" s="85">
        <f>SUMPRODUCT(SUMIFS(RawTransportationData!$D:$D,RawTransportationData!$A:$A,Compare!$H$2,RawTransportationData!$B:$B,Compare!$D199:$F199))</f>
        <v>599.79999999999995</v>
      </c>
      <c r="I199" s="86">
        <f>SUMPRODUCT(SUMIFS(RawTransportationData!$G:$G,RawTransportationData!$A:$A,Compare!$H$2,RawTransportationData!$B:$B,Compare!$D199:$F199))</f>
        <v>283975.7</v>
      </c>
      <c r="J199" s="32">
        <f t="shared" si="31"/>
        <v>473.45065021673895</v>
      </c>
      <c r="K199" s="32">
        <f>SUMPRODUCT(SUMIFS(RawTransportationData!$H:$H,RawTransportationData!$A:$A,Compare!$E$1,RawTransportationData!$B:$B,Compare!$D199:$F199))</f>
        <v>75946</v>
      </c>
      <c r="L199" s="32">
        <f t="shared" si="24"/>
        <v>208029.7</v>
      </c>
      <c r="M199" s="70">
        <f t="shared" si="25"/>
        <v>0.18412693009349188</v>
      </c>
      <c r="N199" s="70">
        <f t="shared" si="26"/>
        <v>-0.16525897794295083</v>
      </c>
      <c r="O199" s="45"/>
      <c r="P199" s="85">
        <f>SUMPRODUCT(SUMIFS(RawTransportationData!$D:$D,RawTransportationData!$A:$A,Compare!$P$2,RawTransportationData!$B:$B,Compare!$D199:$F199))</f>
        <v>612.79999999999995</v>
      </c>
      <c r="Q199" s="86">
        <f>SUMPRODUCT(SUMIFS(RawTransportationData!$G:$G,RawTransportationData!$A:$A,Compare!$P$2,RawTransportationData!$B:$B,Compare!$D199:$F199))</f>
        <v>248017.83</v>
      </c>
      <c r="R199" s="32">
        <f t="shared" si="27"/>
        <v>404.72883485639687</v>
      </c>
      <c r="S199" s="32">
        <f>SUMPRODUCT(SUMIFS(RawTransportationData!$H:$H,RawTransportationData!$A:$A,Compare!$P$1,RawTransportationData!$B:$B,Compare!$D199:$F199))</f>
        <v>14500</v>
      </c>
      <c r="T199" s="32">
        <f t="shared" si="28"/>
        <v>233517.83</v>
      </c>
      <c r="U199" s="45"/>
      <c r="V199" s="85">
        <f>SUMPRODUCT(SUMIFS(RawTransportationData!$D:$D,RawTransportationData!$A:$A,Compare!$V$2,RawTransportationData!$B:$B,Compare!$D199:$F199))</f>
        <v>623.29999999999995</v>
      </c>
      <c r="W199" s="86">
        <f>SUMPRODUCT(SUMIFS(RawTransportationData!$G:$G,RawTransportationData!$A:$A,Compare!$V$2,RawTransportationData!$B:$B,Compare!$D199:$F199))</f>
        <v>249214.66</v>
      </c>
      <c r="X199" s="32">
        <f t="shared" si="29"/>
        <v>399.83099630996315</v>
      </c>
      <c r="Y199" s="32">
        <f>SUMPRODUCT(SUMIFS(RawTransportationData!$H:$H,RawTransportationData!$A:$A,Compare!$V$1,RawTransportationData!$B:$B,Compare!$D199:$F199))</f>
        <v>0</v>
      </c>
      <c r="Z199" s="32">
        <f t="shared" si="30"/>
        <v>249214.66</v>
      </c>
    </row>
    <row r="200" spans="1:26" x14ac:dyDescent="0.55000000000000004">
      <c r="A200">
        <f>FinalPayment!A198</f>
        <v>2021</v>
      </c>
      <c r="B200" t="str">
        <f>FinalPayment!B198</f>
        <v>11</v>
      </c>
      <c r="C200" t="str">
        <f>FinalPayment!C198</f>
        <v>4617</v>
      </c>
      <c r="D200" t="str">
        <f>FinalPayment!D198</f>
        <v/>
      </c>
      <c r="E200" t="str">
        <f>FinalPayment!E198</f>
        <v/>
      </c>
      <c r="F200" t="str">
        <f>FinalPayment!F198</f>
        <v>4617</v>
      </c>
      <c r="G200" s="28" t="str">
        <f>FinalPayment!G198</f>
        <v>Nevada</v>
      </c>
      <c r="H200" s="85">
        <f>SUMPRODUCT(SUMIFS(RawTransportationData!$D:$D,RawTransportationData!$A:$A,Compare!$H$2,RawTransportationData!$B:$B,Compare!$D200:$F200))</f>
        <v>1482.3</v>
      </c>
      <c r="I200" s="86">
        <f>SUMPRODUCT(SUMIFS(RawTransportationData!$G:$G,RawTransportationData!$A:$A,Compare!$H$2,RawTransportationData!$B:$B,Compare!$D200:$F200))</f>
        <v>328093.81</v>
      </c>
      <c r="J200" s="32">
        <f t="shared" si="31"/>
        <v>221.34103083046617</v>
      </c>
      <c r="K200" s="32">
        <f>SUMPRODUCT(SUMIFS(RawTransportationData!$H:$H,RawTransportationData!$A:$A,Compare!$E$1,RawTransportationData!$B:$B,Compare!$D200:$F200))</f>
        <v>1213</v>
      </c>
      <c r="L200" s="32">
        <f t="shared" si="24"/>
        <v>326880.81</v>
      </c>
      <c r="M200" s="70">
        <f t="shared" si="25"/>
        <v>0.17195975362316415</v>
      </c>
      <c r="N200" s="70">
        <f t="shared" si="26"/>
        <v>0.11799840611745535</v>
      </c>
      <c r="O200" s="45"/>
      <c r="P200" s="85">
        <f>SUMPRODUCT(SUMIFS(RawTransportationData!$D:$D,RawTransportationData!$A:$A,Compare!$P$2,RawTransportationData!$B:$B,Compare!$D200:$F200))</f>
        <v>1491</v>
      </c>
      <c r="Q200" s="86">
        <f>SUMPRODUCT(SUMIFS(RawTransportationData!$G:$G,RawTransportationData!$A:$A,Compare!$P$2,RawTransportationData!$B:$B,Compare!$D200:$F200))</f>
        <v>289779.26</v>
      </c>
      <c r="R200" s="32">
        <f t="shared" si="27"/>
        <v>194.35228705566735</v>
      </c>
      <c r="S200" s="32">
        <f>SUMPRODUCT(SUMIFS(RawTransportationData!$H:$H,RawTransportationData!$A:$A,Compare!$P$1,RawTransportationData!$B:$B,Compare!$D200:$F200))</f>
        <v>0</v>
      </c>
      <c r="T200" s="32">
        <f t="shared" si="28"/>
        <v>289779.26</v>
      </c>
      <c r="U200" s="45"/>
      <c r="V200" s="85">
        <f>SUMPRODUCT(SUMIFS(RawTransportationData!$D:$D,RawTransportationData!$A:$A,Compare!$V$2,RawTransportationData!$B:$B,Compare!$D200:$F200))</f>
        <v>1548.1</v>
      </c>
      <c r="W200" s="86">
        <f>SUMPRODUCT(SUMIFS(RawTransportationData!$G:$G,RawTransportationData!$A:$A,Compare!$V$2,RawTransportationData!$B:$B,Compare!$D200:$F200))</f>
        <v>292380.39</v>
      </c>
      <c r="X200" s="32">
        <f t="shared" si="29"/>
        <v>188.86402041211809</v>
      </c>
      <c r="Y200" s="32">
        <f>SUMPRODUCT(SUMIFS(RawTransportationData!$H:$H,RawTransportationData!$A:$A,Compare!$V$1,RawTransportationData!$B:$B,Compare!$D200:$F200))</f>
        <v>0</v>
      </c>
      <c r="Z200" s="32">
        <f t="shared" si="30"/>
        <v>292380.39</v>
      </c>
    </row>
    <row r="201" spans="1:26" x14ac:dyDescent="0.55000000000000004">
      <c r="A201">
        <f>FinalPayment!A199</f>
        <v>2021</v>
      </c>
      <c r="B201" t="str">
        <f>FinalPayment!B199</f>
        <v>01</v>
      </c>
      <c r="C201" t="str">
        <f>FinalPayment!C199</f>
        <v>4662</v>
      </c>
      <c r="D201" t="str">
        <f>FinalPayment!D199</f>
        <v/>
      </c>
      <c r="E201" t="str">
        <f>FinalPayment!E199</f>
        <v/>
      </c>
      <c r="F201" t="str">
        <f>FinalPayment!F199</f>
        <v>4662</v>
      </c>
      <c r="G201" s="28" t="str">
        <f>FinalPayment!G199</f>
        <v>New Hampton</v>
      </c>
      <c r="H201" s="85">
        <f>SUMPRODUCT(SUMIFS(RawTransportationData!$D:$D,RawTransportationData!$A:$A,Compare!$H$2,RawTransportationData!$B:$B,Compare!$D201:$F201))</f>
        <v>938</v>
      </c>
      <c r="I201" s="86">
        <f>SUMPRODUCT(SUMIFS(RawTransportationData!$G:$G,RawTransportationData!$A:$A,Compare!$H$2,RawTransportationData!$B:$B,Compare!$D201:$F201))</f>
        <v>421345.46</v>
      </c>
      <c r="J201" s="32">
        <f t="shared" si="31"/>
        <v>449.19558635394458</v>
      </c>
      <c r="K201" s="32">
        <f>SUMPRODUCT(SUMIFS(RawTransportationData!$H:$H,RawTransportationData!$A:$A,Compare!$E$1,RawTransportationData!$B:$B,Compare!$D201:$F201))</f>
        <v>96022</v>
      </c>
      <c r="L201" s="32">
        <f t="shared" si="24"/>
        <v>325323.46000000002</v>
      </c>
      <c r="M201" s="70">
        <f t="shared" si="25"/>
        <v>0.10225308800729188</v>
      </c>
      <c r="N201" s="70">
        <f t="shared" si="26"/>
        <v>-0.16844688761481874</v>
      </c>
      <c r="O201" s="45"/>
      <c r="P201" s="85">
        <f>SUMPRODUCT(SUMIFS(RawTransportationData!$D:$D,RawTransportationData!$A:$A,Compare!$P$2,RawTransportationData!$B:$B,Compare!$D201:$F201))</f>
        <v>958</v>
      </c>
      <c r="Q201" s="86">
        <f>SUMPRODUCT(SUMIFS(RawTransportationData!$G:$G,RawTransportationData!$A:$A,Compare!$P$2,RawTransportationData!$B:$B,Compare!$D201:$F201))</f>
        <v>396211.03</v>
      </c>
      <c r="R201" s="32">
        <f t="shared" si="27"/>
        <v>413.58145093945723</v>
      </c>
      <c r="S201" s="32">
        <f>SUMPRODUCT(SUMIFS(RawTransportationData!$H:$H,RawTransportationData!$A:$A,Compare!$P$1,RawTransportationData!$B:$B,Compare!$D201:$F201))</f>
        <v>31147</v>
      </c>
      <c r="T201" s="32">
        <f t="shared" si="28"/>
        <v>365064.03</v>
      </c>
      <c r="U201" s="45"/>
      <c r="V201" s="85">
        <f>SUMPRODUCT(SUMIFS(RawTransportationData!$D:$D,RawTransportationData!$A:$A,Compare!$V$2,RawTransportationData!$B:$B,Compare!$D201:$F201))</f>
        <v>960</v>
      </c>
      <c r="W201" s="86">
        <f>SUMPRODUCT(SUMIFS(RawTransportationData!$G:$G,RawTransportationData!$A:$A,Compare!$V$2,RawTransportationData!$B:$B,Compare!$D201:$F201))</f>
        <v>391223.91</v>
      </c>
      <c r="X201" s="32">
        <f t="shared" si="29"/>
        <v>407.52490624999996</v>
      </c>
      <c r="Y201" s="32">
        <f>SUMPRODUCT(SUMIFS(RawTransportationData!$H:$H,RawTransportationData!$A:$A,Compare!$V$1,RawTransportationData!$B:$B,Compare!$D201:$F201))</f>
        <v>0</v>
      </c>
      <c r="Z201" s="32">
        <f t="shared" si="30"/>
        <v>391223.91</v>
      </c>
    </row>
    <row r="202" spans="1:26" x14ac:dyDescent="0.55000000000000004">
      <c r="A202">
        <f>FinalPayment!A200</f>
        <v>2021</v>
      </c>
      <c r="B202" t="str">
        <f>FinalPayment!B200</f>
        <v>15</v>
      </c>
      <c r="C202" t="str">
        <f>FinalPayment!C200</f>
        <v>4689</v>
      </c>
      <c r="D202" t="str">
        <f>FinalPayment!D200</f>
        <v/>
      </c>
      <c r="E202" t="str">
        <f>FinalPayment!E200</f>
        <v/>
      </c>
      <c r="F202" t="str">
        <f>FinalPayment!F200</f>
        <v>4689</v>
      </c>
      <c r="G202" s="28" t="str">
        <f>FinalPayment!G200</f>
        <v>New London</v>
      </c>
      <c r="H202" s="85">
        <f>SUMPRODUCT(SUMIFS(RawTransportationData!$D:$D,RawTransportationData!$A:$A,Compare!$H$2,RawTransportationData!$B:$B,Compare!$D202:$F202))</f>
        <v>495.2</v>
      </c>
      <c r="I202" s="86">
        <f>SUMPRODUCT(SUMIFS(RawTransportationData!$G:$G,RawTransportationData!$A:$A,Compare!$H$2,RawTransportationData!$B:$B,Compare!$D202:$F202))</f>
        <v>150321.88</v>
      </c>
      <c r="J202" s="32">
        <f t="shared" si="31"/>
        <v>303.55791599353796</v>
      </c>
      <c r="K202" s="32">
        <f>SUMPRODUCT(SUMIFS(RawTransportationData!$H:$H,RawTransportationData!$A:$A,Compare!$E$1,RawTransportationData!$B:$B,Compare!$D202:$F202))</f>
        <v>405</v>
      </c>
      <c r="L202" s="32">
        <f t="shared" si="24"/>
        <v>149916.88</v>
      </c>
      <c r="M202" s="70">
        <f t="shared" si="25"/>
        <v>-0.13124109003211448</v>
      </c>
      <c r="N202" s="70">
        <f t="shared" si="26"/>
        <v>-0.12847789146789296</v>
      </c>
      <c r="O202" s="45"/>
      <c r="P202" s="85">
        <f>SUMPRODUCT(SUMIFS(RawTransportationData!$D:$D,RawTransportationData!$A:$A,Compare!$P$2,RawTransportationData!$B:$B,Compare!$D202:$F202))</f>
        <v>501.6</v>
      </c>
      <c r="Q202" s="86">
        <f>SUMPRODUCT(SUMIFS(RawTransportationData!$G:$G,RawTransportationData!$A:$A,Compare!$P$2,RawTransportationData!$B:$B,Compare!$D202:$F202))</f>
        <v>136788.54999999999</v>
      </c>
      <c r="R202" s="32">
        <f t="shared" si="27"/>
        <v>272.7044457735247</v>
      </c>
      <c r="S202" s="32">
        <f>SUMPRODUCT(SUMIFS(RawTransportationData!$H:$H,RawTransportationData!$A:$A,Compare!$P$1,RawTransportationData!$B:$B,Compare!$D202:$F202))</f>
        <v>0</v>
      </c>
      <c r="T202" s="32">
        <f t="shared" si="28"/>
        <v>136788.54999999999</v>
      </c>
      <c r="U202" s="45"/>
      <c r="V202" s="85">
        <f>SUMPRODUCT(SUMIFS(RawTransportationData!$D:$D,RawTransportationData!$A:$A,Compare!$V$2,RawTransportationData!$B:$B,Compare!$D202:$F202))</f>
        <v>492.3</v>
      </c>
      <c r="W202" s="86">
        <f>SUMPRODUCT(SUMIFS(RawTransportationData!$G:$G,RawTransportationData!$A:$A,Compare!$V$2,RawTransportationData!$B:$B,Compare!$D202:$F202))</f>
        <v>172017.3</v>
      </c>
      <c r="X202" s="32">
        <f t="shared" si="29"/>
        <v>349.41560024375377</v>
      </c>
      <c r="Y202" s="32">
        <f>SUMPRODUCT(SUMIFS(RawTransportationData!$H:$H,RawTransportationData!$A:$A,Compare!$V$1,RawTransportationData!$B:$B,Compare!$D202:$F202))</f>
        <v>0</v>
      </c>
      <c r="Z202" s="32">
        <f t="shared" si="30"/>
        <v>172017.3</v>
      </c>
    </row>
    <row r="203" spans="1:26" x14ac:dyDescent="0.55000000000000004">
      <c r="A203">
        <f>FinalPayment!A201</f>
        <v>2021</v>
      </c>
      <c r="B203" t="str">
        <f>FinalPayment!B201</f>
        <v>05</v>
      </c>
      <c r="C203" t="str">
        <f>FinalPayment!C201</f>
        <v>4644</v>
      </c>
      <c r="D203" t="str">
        <f>FinalPayment!D201</f>
        <v/>
      </c>
      <c r="E203" t="str">
        <f>FinalPayment!E201</f>
        <v/>
      </c>
      <c r="F203" t="str">
        <f>FinalPayment!F201</f>
        <v>4644</v>
      </c>
      <c r="G203" s="28" t="str">
        <f>FinalPayment!G201</f>
        <v>Newell-Fonda</v>
      </c>
      <c r="H203" s="85">
        <f>SUMPRODUCT(SUMIFS(RawTransportationData!$D:$D,RawTransportationData!$A:$A,Compare!$H$2,RawTransportationData!$B:$B,Compare!$D203:$F203))</f>
        <v>432.4</v>
      </c>
      <c r="I203" s="86">
        <f>SUMPRODUCT(SUMIFS(RawTransportationData!$G:$G,RawTransportationData!$A:$A,Compare!$H$2,RawTransportationData!$B:$B,Compare!$D203:$F203))</f>
        <v>217212.93000000002</v>
      </c>
      <c r="J203" s="32">
        <f t="shared" si="31"/>
        <v>502.34257631822396</v>
      </c>
      <c r="K203" s="32">
        <f>SUMPRODUCT(SUMIFS(RawTransportationData!$H:$H,RawTransportationData!$A:$A,Compare!$E$1,RawTransportationData!$B:$B,Compare!$D203:$F203))</f>
        <v>67242</v>
      </c>
      <c r="L203" s="32">
        <f t="shared" si="24"/>
        <v>149970.93000000002</v>
      </c>
      <c r="M203" s="70">
        <f t="shared" si="25"/>
        <v>-3.4743771501364704E-3</v>
      </c>
      <c r="N203" s="70">
        <f t="shared" si="26"/>
        <v>-0.23262797321557169</v>
      </c>
      <c r="O203" s="45"/>
      <c r="P203" s="85">
        <f>SUMPRODUCT(SUMIFS(RawTransportationData!$D:$D,RawTransportationData!$A:$A,Compare!$P$2,RawTransportationData!$B:$B,Compare!$D203:$F203))</f>
        <v>442.4</v>
      </c>
      <c r="Q203" s="86">
        <f>SUMPRODUCT(SUMIFS(RawTransportationData!$G:$G,RawTransportationData!$A:$A,Compare!$P$2,RawTransportationData!$B:$B,Compare!$D203:$F203))</f>
        <v>192131.63</v>
      </c>
      <c r="R203" s="32">
        <f t="shared" si="27"/>
        <v>434.2939195298373</v>
      </c>
      <c r="S203" s="32">
        <f>SUMPRODUCT(SUMIFS(RawTransportationData!$H:$H,RawTransportationData!$A:$A,Compare!$P$1,RawTransportationData!$B:$B,Compare!$D203:$F203))</f>
        <v>23545</v>
      </c>
      <c r="T203" s="32">
        <f t="shared" si="28"/>
        <v>168586.63</v>
      </c>
      <c r="U203" s="45"/>
      <c r="V203" s="85">
        <f>SUMPRODUCT(SUMIFS(RawTransportationData!$D:$D,RawTransportationData!$A:$A,Compare!$V$2,RawTransportationData!$B:$B,Compare!$D203:$F203))</f>
        <v>470.8</v>
      </c>
      <c r="W203" s="86">
        <f>SUMPRODUCT(SUMIFS(RawTransportationData!$G:$G,RawTransportationData!$A:$A,Compare!$V$2,RawTransportationData!$B:$B,Compare!$D203:$F203))</f>
        <v>237327.45</v>
      </c>
      <c r="X203" s="32">
        <f t="shared" si="29"/>
        <v>504.09398895497026</v>
      </c>
      <c r="Y203" s="32">
        <f>SUMPRODUCT(SUMIFS(RawTransportationData!$H:$H,RawTransportationData!$A:$A,Compare!$V$1,RawTransportationData!$B:$B,Compare!$D203:$F203))</f>
        <v>41893</v>
      </c>
      <c r="Z203" s="32">
        <f t="shared" si="30"/>
        <v>195434.45</v>
      </c>
    </row>
    <row r="204" spans="1:26" x14ac:dyDescent="0.55000000000000004">
      <c r="A204">
        <f>FinalPayment!A202</f>
        <v>2021</v>
      </c>
      <c r="B204" t="str">
        <f>FinalPayment!B202</f>
        <v>11</v>
      </c>
      <c r="C204" t="str">
        <f>FinalPayment!C202</f>
        <v>4725</v>
      </c>
      <c r="D204" t="str">
        <f>FinalPayment!D202</f>
        <v/>
      </c>
      <c r="E204" t="str">
        <f>FinalPayment!E202</f>
        <v/>
      </c>
      <c r="F204" t="str">
        <f>FinalPayment!F202</f>
        <v>4725</v>
      </c>
      <c r="G204" s="28" t="str">
        <f>FinalPayment!G202</f>
        <v>Newton</v>
      </c>
      <c r="H204" s="85">
        <f>SUMPRODUCT(SUMIFS(RawTransportationData!$D:$D,RawTransportationData!$A:$A,Compare!$H$2,RawTransportationData!$B:$B,Compare!$D204:$F204))</f>
        <v>3030.3</v>
      </c>
      <c r="I204" s="86">
        <f>SUMPRODUCT(SUMIFS(RawTransportationData!$G:$G,RawTransportationData!$A:$A,Compare!$H$2,RawTransportationData!$B:$B,Compare!$D204:$F204))</f>
        <v>909457.49</v>
      </c>
      <c r="J204" s="32">
        <f t="shared" si="31"/>
        <v>300.12127182127182</v>
      </c>
      <c r="K204" s="32">
        <f>SUMPRODUCT(SUMIFS(RawTransportationData!$H:$H,RawTransportationData!$A:$A,Compare!$E$1,RawTransportationData!$B:$B,Compare!$D204:$F204))</f>
        <v>2481</v>
      </c>
      <c r="L204" s="32">
        <f t="shared" si="24"/>
        <v>906976.49</v>
      </c>
      <c r="M204" s="70">
        <f t="shared" si="25"/>
        <v>0.25906468084762185</v>
      </c>
      <c r="N204" s="70">
        <f t="shared" si="26"/>
        <v>0.28319689899154954</v>
      </c>
      <c r="O204" s="45"/>
      <c r="P204" s="85">
        <f>SUMPRODUCT(SUMIFS(RawTransportationData!$D:$D,RawTransportationData!$A:$A,Compare!$P$2,RawTransportationData!$B:$B,Compare!$D204:$F204))</f>
        <v>3075.2999999999997</v>
      </c>
      <c r="Q204" s="86">
        <f>SUMPRODUCT(SUMIFS(RawTransportationData!$G:$G,RawTransportationData!$A:$A,Compare!$P$2,RawTransportationData!$B:$B,Compare!$D204:$F204))</f>
        <v>722269.78</v>
      </c>
      <c r="R204" s="32">
        <f t="shared" si="27"/>
        <v>234.86156797710797</v>
      </c>
      <c r="S204" s="32">
        <f>SUMPRODUCT(SUMIFS(RawTransportationData!$H:$H,RawTransportationData!$A:$A,Compare!$P$1,RawTransportationData!$B:$B,Compare!$D204:$F204))</f>
        <v>0</v>
      </c>
      <c r="T204" s="32">
        <f t="shared" si="28"/>
        <v>722269.78</v>
      </c>
      <c r="U204" s="45"/>
      <c r="V204" s="85">
        <f>SUMPRODUCT(SUMIFS(RawTransportationData!$D:$D,RawTransportationData!$A:$A,Compare!$V$2,RawTransportationData!$B:$B,Compare!$D204:$F204))</f>
        <v>2965.2</v>
      </c>
      <c r="W204" s="86">
        <f>SUMPRODUCT(SUMIFS(RawTransportationData!$G:$G,RawTransportationData!$A:$A,Compare!$V$2,RawTransportationData!$B:$B,Compare!$D204:$F204))</f>
        <v>706810.07</v>
      </c>
      <c r="X204" s="32">
        <f t="shared" si="29"/>
        <v>238.36843046000268</v>
      </c>
      <c r="Y204" s="32">
        <f>SUMPRODUCT(SUMIFS(RawTransportationData!$H:$H,RawTransportationData!$A:$A,Compare!$V$1,RawTransportationData!$B:$B,Compare!$D204:$F204))</f>
        <v>0</v>
      </c>
      <c r="Z204" s="32">
        <f t="shared" si="30"/>
        <v>706810.07</v>
      </c>
    </row>
    <row r="205" spans="1:26" x14ac:dyDescent="0.55000000000000004">
      <c r="A205">
        <f>FinalPayment!A203</f>
        <v>2021</v>
      </c>
      <c r="B205" t="str">
        <f>FinalPayment!B203</f>
        <v>13</v>
      </c>
      <c r="C205" t="str">
        <f>FinalPayment!C203</f>
        <v>2673</v>
      </c>
      <c r="D205" t="str">
        <f>FinalPayment!D203</f>
        <v/>
      </c>
      <c r="E205" t="str">
        <f>FinalPayment!E203</f>
        <v/>
      </c>
      <c r="F205" t="str">
        <f>FinalPayment!F203</f>
        <v>2673</v>
      </c>
      <c r="G205" s="28" t="str">
        <f>FinalPayment!G203</f>
        <v>Nodaway Valley</v>
      </c>
      <c r="H205" s="85">
        <f>SUMPRODUCT(SUMIFS(RawTransportationData!$D:$D,RawTransportationData!$A:$A,Compare!$H$2,RawTransportationData!$B:$B,Compare!$D205:$F205))</f>
        <v>642.1</v>
      </c>
      <c r="I205" s="86">
        <f>SUMPRODUCT(SUMIFS(RawTransportationData!$G:$G,RawTransportationData!$A:$A,Compare!$H$2,RawTransportationData!$B:$B,Compare!$D205:$F205))</f>
        <v>603062.64</v>
      </c>
      <c r="J205" s="32">
        <f t="shared" si="31"/>
        <v>939.20361314437002</v>
      </c>
      <c r="K205" s="32">
        <f>SUMPRODUCT(SUMIFS(RawTransportationData!$H:$H,RawTransportationData!$A:$A,Compare!$E$1,RawTransportationData!$B:$B,Compare!$D205:$F205))</f>
        <v>380360</v>
      </c>
      <c r="L205" s="32">
        <f t="shared" si="24"/>
        <v>222702.64</v>
      </c>
      <c r="M205" s="70">
        <f t="shared" si="25"/>
        <v>0.44705414684884426</v>
      </c>
      <c r="N205" s="70">
        <f t="shared" si="26"/>
        <v>-0.19140868661492616</v>
      </c>
      <c r="O205" s="45"/>
      <c r="P205" s="85">
        <f>SUMPRODUCT(SUMIFS(RawTransportationData!$D:$D,RawTransportationData!$A:$A,Compare!$P$2,RawTransportationData!$B:$B,Compare!$D205:$F205))</f>
        <v>643.79999999999995</v>
      </c>
      <c r="Q205" s="86">
        <f>SUMPRODUCT(SUMIFS(RawTransportationData!$G:$G,RawTransportationData!$A:$A,Compare!$P$2,RawTransportationData!$B:$B,Compare!$D205:$F205))</f>
        <v>384449.42</v>
      </c>
      <c r="R205" s="32">
        <f t="shared" si="27"/>
        <v>597.15660142901527</v>
      </c>
      <c r="S205" s="32">
        <f>SUMPRODUCT(SUMIFS(RawTransportationData!$H:$H,RawTransportationData!$A:$A,Compare!$P$1,RawTransportationData!$B:$B,Compare!$D205:$F205))</f>
        <v>139120</v>
      </c>
      <c r="T205" s="32">
        <f t="shared" si="28"/>
        <v>245329.41999999998</v>
      </c>
      <c r="U205" s="45"/>
      <c r="V205" s="85">
        <f>SUMPRODUCT(SUMIFS(RawTransportationData!$D:$D,RawTransportationData!$A:$A,Compare!$V$2,RawTransportationData!$B:$B,Compare!$D205:$F205))</f>
        <v>663.5</v>
      </c>
      <c r="W205" s="86">
        <f>SUMPRODUCT(SUMIFS(RawTransportationData!$G:$G,RawTransportationData!$A:$A,Compare!$V$2,RawTransportationData!$B:$B,Compare!$D205:$F205))</f>
        <v>430641.52</v>
      </c>
      <c r="X205" s="32">
        <f t="shared" si="29"/>
        <v>649.04524491333837</v>
      </c>
      <c r="Y205" s="32">
        <f>SUMPRODUCT(SUMIFS(RawTransportationData!$H:$H,RawTransportationData!$A:$A,Compare!$V$1,RawTransportationData!$B:$B,Compare!$D205:$F205))</f>
        <v>155221</v>
      </c>
      <c r="Z205" s="32">
        <f t="shared" si="30"/>
        <v>275420.52</v>
      </c>
    </row>
    <row r="206" spans="1:26" x14ac:dyDescent="0.55000000000000004">
      <c r="A206">
        <f>FinalPayment!A204</f>
        <v>2021</v>
      </c>
      <c r="B206" t="str">
        <f>FinalPayment!B204</f>
        <v>07</v>
      </c>
      <c r="C206" t="str">
        <f>FinalPayment!C204</f>
        <v>0153</v>
      </c>
      <c r="D206" t="str">
        <f>FinalPayment!D204</f>
        <v>2664</v>
      </c>
      <c r="E206" t="str">
        <f>FinalPayment!E204</f>
        <v/>
      </c>
      <c r="F206" t="str">
        <f>FinalPayment!F204</f>
        <v>0153</v>
      </c>
      <c r="G206" s="28" t="str">
        <f>FinalPayment!G204</f>
        <v>North Butler</v>
      </c>
      <c r="H206" s="85">
        <f>SUMPRODUCT(SUMIFS(RawTransportationData!$D:$D,RawTransportationData!$A:$A,Compare!$H$2,RawTransportationData!$B:$B,Compare!$D206:$F206))</f>
        <v>575.6</v>
      </c>
      <c r="I206" s="86">
        <f>SUMPRODUCT(SUMIFS(RawTransportationData!$G:$G,RawTransportationData!$A:$A,Compare!$H$2,RawTransportationData!$B:$B,Compare!$D206:$F206))</f>
        <v>477154.8</v>
      </c>
      <c r="J206" s="32">
        <f t="shared" si="31"/>
        <v>828.96942321056281</v>
      </c>
      <c r="K206" s="32">
        <f>SUMPRODUCT(SUMIFS(RawTransportationData!$H:$H,RawTransportationData!$A:$A,Compare!$E$1,RawTransportationData!$B:$B,Compare!$D206:$F206))</f>
        <v>277519</v>
      </c>
      <c r="L206" s="32">
        <f t="shared" si="24"/>
        <v>199635.8</v>
      </c>
      <c r="M206" s="70">
        <f t="shared" si="25"/>
        <v>1.0467189973750408</v>
      </c>
      <c r="N206" s="70">
        <f t="shared" si="26"/>
        <v>-0.16739996150540967</v>
      </c>
      <c r="O206" s="45"/>
      <c r="P206" s="85">
        <f>SUMPRODUCT(SUMIFS(RawTransportationData!$D:$D,RawTransportationData!$A:$A,Compare!$P$2,RawTransportationData!$B:$B,Compare!$D206:$F206))</f>
        <v>586</v>
      </c>
      <c r="Q206" s="86">
        <f>SUMPRODUCT(SUMIFS(RawTransportationData!$G:$G,RawTransportationData!$A:$A,Compare!$P$2,RawTransportationData!$B:$B,Compare!$D206:$F206))</f>
        <v>371786.12</v>
      </c>
      <c r="R206" s="32">
        <f t="shared" si="27"/>
        <v>634.44730375426616</v>
      </c>
      <c r="S206" s="32">
        <f>SUMPRODUCT(SUMIFS(RawTransportationData!$H:$H,RawTransportationData!$A:$A,Compare!$P$1,RawTransportationData!$B:$B,Compare!$D206:$F206))</f>
        <v>148482</v>
      </c>
      <c r="T206" s="32">
        <f t="shared" si="28"/>
        <v>223304.12</v>
      </c>
      <c r="U206" s="45"/>
      <c r="V206" s="85">
        <f>SUMPRODUCT(SUMIFS(RawTransportationData!$D:$D,RawTransportationData!$A:$A,Compare!$V$2,RawTransportationData!$B:$B,Compare!$D206:$F206))</f>
        <v>592</v>
      </c>
      <c r="W206" s="86">
        <f>SUMPRODUCT(SUMIFS(RawTransportationData!$G:$G,RawTransportationData!$A:$A,Compare!$V$2,RawTransportationData!$B:$B,Compare!$D206:$F206))</f>
        <v>239773.95</v>
      </c>
      <c r="X206" s="32">
        <f t="shared" si="29"/>
        <v>405.02356418918919</v>
      </c>
      <c r="Y206" s="32">
        <f>SUMPRODUCT(SUMIFS(RawTransportationData!$H:$H,RawTransportationData!$A:$A,Compare!$V$1,RawTransportationData!$B:$B,Compare!$D206:$F206))</f>
        <v>0</v>
      </c>
      <c r="Z206" s="32">
        <f t="shared" si="30"/>
        <v>239773.95</v>
      </c>
    </row>
    <row r="207" spans="1:26" x14ac:dyDescent="0.55000000000000004">
      <c r="A207">
        <f>FinalPayment!A205</f>
        <v>2021</v>
      </c>
      <c r="B207" t="str">
        <f>FinalPayment!B205</f>
        <v>10</v>
      </c>
      <c r="C207" t="str">
        <f>FinalPayment!C205</f>
        <v>3691</v>
      </c>
      <c r="D207" t="str">
        <f>FinalPayment!D205</f>
        <v/>
      </c>
      <c r="E207" t="str">
        <f>FinalPayment!E205</f>
        <v/>
      </c>
      <c r="F207" t="str">
        <f>FinalPayment!F205</f>
        <v>3691</v>
      </c>
      <c r="G207" s="28" t="str">
        <f>FinalPayment!G205</f>
        <v>North Cedar</v>
      </c>
      <c r="H207" s="85">
        <f>SUMPRODUCT(SUMIFS(RawTransportationData!$D:$D,RawTransportationData!$A:$A,Compare!$H$2,RawTransportationData!$B:$B,Compare!$D207:$F207))</f>
        <v>774.3</v>
      </c>
      <c r="I207" s="86">
        <f>SUMPRODUCT(SUMIFS(RawTransportationData!$G:$G,RawTransportationData!$A:$A,Compare!$H$2,RawTransportationData!$B:$B,Compare!$D207:$F207))</f>
        <v>322072.82</v>
      </c>
      <c r="J207" s="32">
        <f t="shared" si="31"/>
        <v>415.95353222265277</v>
      </c>
      <c r="K207" s="32">
        <f>SUMPRODUCT(SUMIFS(RawTransportationData!$H:$H,RawTransportationData!$A:$A,Compare!$E$1,RawTransportationData!$B:$B,Compare!$D207:$F207))</f>
        <v>53519</v>
      </c>
      <c r="L207" s="32">
        <f t="shared" si="24"/>
        <v>268553.82</v>
      </c>
      <c r="M207" s="70">
        <f t="shared" si="25"/>
        <v>0.18990105798290849</v>
      </c>
      <c r="N207" s="70">
        <f t="shared" si="26"/>
        <v>-6.7102853130937917E-2</v>
      </c>
      <c r="O207" s="45"/>
      <c r="P207" s="85">
        <f>SUMPRODUCT(SUMIFS(RawTransportationData!$D:$D,RawTransportationData!$A:$A,Compare!$P$2,RawTransportationData!$B:$B,Compare!$D207:$F207))</f>
        <v>815</v>
      </c>
      <c r="Q207" s="86">
        <f>SUMPRODUCT(SUMIFS(RawTransportationData!$G:$G,RawTransportationData!$A:$A,Compare!$P$2,RawTransportationData!$B:$B,Compare!$D207:$F207))</f>
        <v>301789</v>
      </c>
      <c r="R207" s="32">
        <f t="shared" si="27"/>
        <v>370.29325153374231</v>
      </c>
      <c r="S207" s="32">
        <f>SUMPRODUCT(SUMIFS(RawTransportationData!$H:$H,RawTransportationData!$A:$A,Compare!$P$1,RawTransportationData!$B:$B,Compare!$D207:$F207))</f>
        <v>0</v>
      </c>
      <c r="T207" s="32">
        <f t="shared" si="28"/>
        <v>301789</v>
      </c>
      <c r="U207" s="45"/>
      <c r="V207" s="85">
        <f>SUMPRODUCT(SUMIFS(RawTransportationData!$D:$D,RawTransportationData!$A:$A,Compare!$V$2,RawTransportationData!$B:$B,Compare!$D207:$F207))</f>
        <v>823.5</v>
      </c>
      <c r="W207" s="86">
        <f>SUMPRODUCT(SUMIFS(RawTransportationData!$G:$G,RawTransportationData!$A:$A,Compare!$V$2,RawTransportationData!$B:$B,Compare!$D207:$F207))</f>
        <v>287870.77</v>
      </c>
      <c r="X207" s="32">
        <f t="shared" si="29"/>
        <v>349.56984820886464</v>
      </c>
      <c r="Y207" s="32">
        <f>SUMPRODUCT(SUMIFS(RawTransportationData!$H:$H,RawTransportationData!$A:$A,Compare!$V$1,RawTransportationData!$B:$B,Compare!$D207:$F207))</f>
        <v>0</v>
      </c>
      <c r="Z207" s="32">
        <f t="shared" si="30"/>
        <v>287870.77</v>
      </c>
    </row>
    <row r="208" spans="1:26" x14ac:dyDescent="0.55000000000000004">
      <c r="A208">
        <f>FinalPayment!A206</f>
        <v>2021</v>
      </c>
      <c r="B208" t="str">
        <f>FinalPayment!B206</f>
        <v>01</v>
      </c>
      <c r="C208" t="str">
        <f>FinalPayment!C206</f>
        <v>4774</v>
      </c>
      <c r="D208" t="str">
        <f>FinalPayment!D206</f>
        <v>6591</v>
      </c>
      <c r="E208" t="str">
        <f>FinalPayment!E206</f>
        <v/>
      </c>
      <c r="F208" t="str">
        <f>FinalPayment!F206</f>
        <v>4774</v>
      </c>
      <c r="G208" s="28" t="str">
        <f>FinalPayment!G206</f>
        <v>North Fayette Valley</v>
      </c>
      <c r="H208" s="85">
        <f>SUMPRODUCT(SUMIFS(RawTransportationData!$D:$D,RawTransportationData!$A:$A,Compare!$H$2,RawTransportationData!$B:$B,Compare!$D208:$F208))</f>
        <v>1124.4000000000001</v>
      </c>
      <c r="I208" s="86">
        <f>SUMPRODUCT(SUMIFS(RawTransportationData!$G:$G,RawTransportationData!$A:$A,Compare!$H$2,RawTransportationData!$B:$B,Compare!$D208:$F208))</f>
        <v>578931.13</v>
      </c>
      <c r="J208" s="32">
        <f t="shared" si="31"/>
        <v>514.88005158306646</v>
      </c>
      <c r="K208" s="32">
        <f>SUMPRODUCT(SUMIFS(RawTransportationData!$H:$H,RawTransportationData!$A:$A,Compare!$E$1,RawTransportationData!$B:$B,Compare!$D208:$F208))</f>
        <v>188953</v>
      </c>
      <c r="L208" s="32">
        <f t="shared" si="24"/>
        <v>389978.13</v>
      </c>
      <c r="M208" s="70">
        <f t="shared" si="25"/>
        <v>7.9336646015058992E-2</v>
      </c>
      <c r="N208" s="70">
        <f t="shared" si="26"/>
        <v>-0.1685494817981863</v>
      </c>
      <c r="O208" s="45"/>
      <c r="P208" s="85">
        <f>SUMPRODUCT(SUMIFS(RawTransportationData!$D:$D,RawTransportationData!$A:$A,Compare!$P$2,RawTransportationData!$B:$B,Compare!$D208:$F208))</f>
        <v>1134.0999999999999</v>
      </c>
      <c r="Q208" s="86">
        <f>SUMPRODUCT(SUMIFS(RawTransportationData!$G:$G,RawTransportationData!$A:$A,Compare!$P$2,RawTransportationData!$B:$B,Compare!$D208:$F208))</f>
        <v>583708.94999999995</v>
      </c>
      <c r="R208" s="32">
        <f t="shared" si="27"/>
        <v>514.68913676042678</v>
      </c>
      <c r="S208" s="32">
        <f>SUMPRODUCT(SUMIFS(RawTransportationData!$H:$H,RawTransportationData!$A:$A,Compare!$P$1,RawTransportationData!$B:$B,Compare!$D208:$F208))</f>
        <v>151543</v>
      </c>
      <c r="T208" s="32">
        <f t="shared" si="28"/>
        <v>432165.94999999995</v>
      </c>
      <c r="U208" s="45"/>
      <c r="V208" s="85">
        <f>SUMPRODUCT(SUMIFS(RawTransportationData!$D:$D,RawTransportationData!$A:$A,Compare!$V$2,RawTransportationData!$B:$B,Compare!$D208:$F208))</f>
        <v>1129.9000000000001</v>
      </c>
      <c r="W208" s="86">
        <f>SUMPRODUCT(SUMIFS(RawTransportationData!$G:$G,RawTransportationData!$A:$A,Compare!$V$2,RawTransportationData!$B:$B,Compare!$D208:$F208))</f>
        <v>539000.48</v>
      </c>
      <c r="X208" s="32">
        <f t="shared" si="29"/>
        <v>477.03379060093806</v>
      </c>
      <c r="Y208" s="32">
        <f>SUMPRODUCT(SUMIFS(RawTransportationData!$H:$H,RawTransportationData!$A:$A,Compare!$V$1,RawTransportationData!$B:$B,Compare!$D208:$F208))</f>
        <v>69967</v>
      </c>
      <c r="Z208" s="32">
        <f t="shared" si="30"/>
        <v>469033.48</v>
      </c>
    </row>
    <row r="209" spans="1:26" x14ac:dyDescent="0.55000000000000004">
      <c r="A209">
        <f>FinalPayment!A207</f>
        <v>2021</v>
      </c>
      <c r="B209" t="str">
        <f>FinalPayment!B207</f>
        <v>07</v>
      </c>
      <c r="C209" t="str">
        <f>FinalPayment!C207</f>
        <v>0873</v>
      </c>
      <c r="D209" t="str">
        <f>FinalPayment!D207</f>
        <v/>
      </c>
      <c r="E209" t="str">
        <f>FinalPayment!E207</f>
        <v/>
      </c>
      <c r="F209" t="str">
        <f>FinalPayment!F207</f>
        <v>0873</v>
      </c>
      <c r="G209" s="28" t="str">
        <f>FinalPayment!G207</f>
        <v>North Iowa</v>
      </c>
      <c r="H209" s="85">
        <f>SUMPRODUCT(SUMIFS(RawTransportationData!$D:$D,RawTransportationData!$A:$A,Compare!$H$2,RawTransportationData!$B:$B,Compare!$D209:$F209))</f>
        <v>458</v>
      </c>
      <c r="I209" s="86">
        <f>SUMPRODUCT(SUMIFS(RawTransportationData!$G:$G,RawTransportationData!$A:$A,Compare!$H$2,RawTransportationData!$B:$B,Compare!$D209:$F209))</f>
        <v>171583.3</v>
      </c>
      <c r="J209" s="32">
        <f t="shared" si="31"/>
        <v>374.63602620087335</v>
      </c>
      <c r="K209" s="32">
        <f>SUMPRODUCT(SUMIFS(RawTransportationData!$H:$H,RawTransportationData!$A:$A,Compare!$E$1,RawTransportationData!$B:$B,Compare!$D209:$F209))</f>
        <v>12736</v>
      </c>
      <c r="L209" s="32">
        <f t="shared" si="24"/>
        <v>158847.29999999999</v>
      </c>
      <c r="M209" s="70">
        <f t="shared" si="25"/>
        <v>-8.2276943473916592E-2</v>
      </c>
      <c r="N209" s="70">
        <f t="shared" si="26"/>
        <v>-0.18338183344561929</v>
      </c>
      <c r="O209" s="45"/>
      <c r="P209" s="85">
        <f>SUMPRODUCT(SUMIFS(RawTransportationData!$D:$D,RawTransportationData!$A:$A,Compare!$P$2,RawTransportationData!$B:$B,Compare!$D209:$F209))</f>
        <v>455.5</v>
      </c>
      <c r="Q209" s="86">
        <f>SUMPRODUCT(SUMIFS(RawTransportationData!$G:$G,RawTransportationData!$A:$A,Compare!$P$2,RawTransportationData!$B:$B,Compare!$D209:$F209))</f>
        <v>178978.82</v>
      </c>
      <c r="R209" s="32">
        <f t="shared" si="27"/>
        <v>392.9282546652031</v>
      </c>
      <c r="S209" s="32">
        <f>SUMPRODUCT(SUMIFS(RawTransportationData!$H:$H,RawTransportationData!$A:$A,Compare!$P$1,RawTransportationData!$B:$B,Compare!$D209:$F209))</f>
        <v>5403</v>
      </c>
      <c r="T209" s="32">
        <f t="shared" si="28"/>
        <v>173575.82</v>
      </c>
      <c r="U209" s="45"/>
      <c r="V209" s="85">
        <f>SUMPRODUCT(SUMIFS(RawTransportationData!$D:$D,RawTransportationData!$A:$A,Compare!$V$2,RawTransportationData!$B:$B,Compare!$D209:$F209))</f>
        <v>476.5</v>
      </c>
      <c r="W209" s="86">
        <f>SUMPRODUCT(SUMIFS(RawTransportationData!$G:$G,RawTransportationData!$A:$A,Compare!$V$2,RawTransportationData!$B:$B,Compare!$D209:$F209))</f>
        <v>194518.45</v>
      </c>
      <c r="X209" s="32">
        <f t="shared" si="29"/>
        <v>408.22339979013645</v>
      </c>
      <c r="Y209" s="32">
        <f>SUMPRODUCT(SUMIFS(RawTransportationData!$H:$H,RawTransportationData!$A:$A,Compare!$V$1,RawTransportationData!$B:$B,Compare!$D209:$F209))</f>
        <v>0</v>
      </c>
      <c r="Z209" s="32">
        <f t="shared" si="30"/>
        <v>194518.45</v>
      </c>
    </row>
    <row r="210" spans="1:26" x14ac:dyDescent="0.55000000000000004">
      <c r="A210">
        <f>FinalPayment!A208</f>
        <v>2021</v>
      </c>
      <c r="B210" t="str">
        <f>FinalPayment!B208</f>
        <v>05</v>
      </c>
      <c r="C210" t="str">
        <f>FinalPayment!C208</f>
        <v>4778</v>
      </c>
      <c r="D210" t="str">
        <f>FinalPayment!D208</f>
        <v/>
      </c>
      <c r="E210" t="str">
        <f>FinalPayment!E208</f>
        <v/>
      </c>
      <c r="F210" t="str">
        <f>FinalPayment!F208</f>
        <v>4778</v>
      </c>
      <c r="G210" s="28" t="str">
        <f>FinalPayment!G208</f>
        <v>North Kossuth</v>
      </c>
      <c r="H210" s="85">
        <f>SUMPRODUCT(SUMIFS(RawTransportationData!$D:$D,RawTransportationData!$A:$A,Compare!$H$2,RawTransportationData!$B:$B,Compare!$D210:$F210))</f>
        <v>273.8</v>
      </c>
      <c r="I210" s="86">
        <f>SUMPRODUCT(SUMIFS(RawTransportationData!$G:$G,RawTransportationData!$A:$A,Compare!$H$2,RawTransportationData!$B:$B,Compare!$D210:$F210))</f>
        <v>194883.17</v>
      </c>
      <c r="J210" s="32">
        <f t="shared" si="31"/>
        <v>711.77198685171663</v>
      </c>
      <c r="K210" s="32">
        <f>SUMPRODUCT(SUMIFS(RawTransportationData!$H:$H,RawTransportationData!$A:$A,Compare!$E$1,RawTransportationData!$B:$B,Compare!$D210:$F210))</f>
        <v>99920</v>
      </c>
      <c r="L210" s="32">
        <f t="shared" si="24"/>
        <v>94963.170000000013</v>
      </c>
      <c r="M210" s="70">
        <f t="shared" si="25"/>
        <v>5.7806730521206676E-2</v>
      </c>
      <c r="N210" s="70">
        <f t="shared" si="26"/>
        <v>-0.1254982334198996</v>
      </c>
      <c r="O210" s="45"/>
      <c r="P210" s="85">
        <f>SUMPRODUCT(SUMIFS(RawTransportationData!$D:$D,RawTransportationData!$A:$A,Compare!$P$2,RawTransportationData!$B:$B,Compare!$D210:$F210))</f>
        <v>281.8</v>
      </c>
      <c r="Q210" s="86">
        <f>SUMPRODUCT(SUMIFS(RawTransportationData!$G:$G,RawTransportationData!$A:$A,Compare!$P$2,RawTransportationData!$B:$B,Compare!$D210:$F210))</f>
        <v>151502.44</v>
      </c>
      <c r="R210" s="32">
        <f t="shared" si="27"/>
        <v>537.62398864442866</v>
      </c>
      <c r="S210" s="32">
        <f>SUMPRODUCT(SUMIFS(RawTransportationData!$H:$H,RawTransportationData!$A:$A,Compare!$P$1,RawTransportationData!$B:$B,Compare!$D210:$F210))</f>
        <v>44116</v>
      </c>
      <c r="T210" s="32">
        <f t="shared" si="28"/>
        <v>107386.44</v>
      </c>
      <c r="U210" s="45"/>
      <c r="V210" s="85">
        <f>SUMPRODUCT(SUMIFS(RawTransportationData!$D:$D,RawTransportationData!$A:$A,Compare!$V$2,RawTransportationData!$B:$B,Compare!$D210:$F210))</f>
        <v>261.60000000000002</v>
      </c>
      <c r="W210" s="86">
        <f>SUMPRODUCT(SUMIFS(RawTransportationData!$G:$G,RawTransportationData!$A:$A,Compare!$V$2,RawTransportationData!$B:$B,Compare!$D210:$F210))</f>
        <v>176024.17</v>
      </c>
      <c r="X210" s="32">
        <f t="shared" si="29"/>
        <v>672.87526758409786</v>
      </c>
      <c r="Y210" s="32">
        <f>SUMPRODUCT(SUMIFS(RawTransportationData!$H:$H,RawTransportationData!$A:$A,Compare!$V$1,RawTransportationData!$B:$B,Compare!$D210:$F210))</f>
        <v>67433</v>
      </c>
      <c r="Z210" s="32">
        <f t="shared" si="30"/>
        <v>108591.17000000001</v>
      </c>
    </row>
    <row r="211" spans="1:26" x14ac:dyDescent="0.55000000000000004">
      <c r="A211">
        <f>FinalPayment!A209</f>
        <v>2021</v>
      </c>
      <c r="B211" t="str">
        <f>FinalPayment!B209</f>
        <v>10</v>
      </c>
      <c r="C211" t="str">
        <f>FinalPayment!C209</f>
        <v>4777</v>
      </c>
      <c r="D211" t="str">
        <f>FinalPayment!D209</f>
        <v/>
      </c>
      <c r="E211" t="str">
        <f>FinalPayment!E209</f>
        <v/>
      </c>
      <c r="F211" t="str">
        <f>FinalPayment!F209</f>
        <v>4777</v>
      </c>
      <c r="G211" s="28" t="str">
        <f>FinalPayment!G209</f>
        <v>North Linn</v>
      </c>
      <c r="H211" s="85">
        <f>SUMPRODUCT(SUMIFS(RawTransportationData!$D:$D,RawTransportationData!$A:$A,Compare!$H$2,RawTransportationData!$B:$B,Compare!$D211:$F211))</f>
        <v>618.20000000000005</v>
      </c>
      <c r="I211" s="86">
        <f>SUMPRODUCT(SUMIFS(RawTransportationData!$G:$G,RawTransportationData!$A:$A,Compare!$H$2,RawTransportationData!$B:$B,Compare!$D211:$F211))</f>
        <v>295255.77999999997</v>
      </c>
      <c r="J211" s="32">
        <f t="shared" si="31"/>
        <v>477.60559689420893</v>
      </c>
      <c r="K211" s="32">
        <f>SUMPRODUCT(SUMIFS(RawTransportationData!$H:$H,RawTransportationData!$A:$A,Compare!$E$1,RawTransportationData!$B:$B,Compare!$D211:$F211))</f>
        <v>80847</v>
      </c>
      <c r="L211" s="32">
        <f t="shared" si="24"/>
        <v>214408.77999999997</v>
      </c>
      <c r="M211" s="70">
        <f t="shared" si="25"/>
        <v>0.27154338547795176</v>
      </c>
      <c r="N211" s="70">
        <f t="shared" si="26"/>
        <v>-0.10975236724964581</v>
      </c>
      <c r="O211" s="45"/>
      <c r="P211" s="85">
        <f>SUMPRODUCT(SUMIFS(RawTransportationData!$D:$D,RawTransportationData!$A:$A,Compare!$P$2,RawTransportationData!$B:$B,Compare!$D211:$F211))</f>
        <v>609.20000000000005</v>
      </c>
      <c r="Q211" s="86">
        <f>SUMPRODUCT(SUMIFS(RawTransportationData!$G:$G,RawTransportationData!$A:$A,Compare!$P$2,RawTransportationData!$B:$B,Compare!$D211:$F211))</f>
        <v>300273.44</v>
      </c>
      <c r="R211" s="32">
        <f t="shared" si="27"/>
        <v>492.89796454366376</v>
      </c>
      <c r="S211" s="32">
        <f>SUMPRODUCT(SUMIFS(RawTransportationData!$H:$H,RawTransportationData!$A:$A,Compare!$P$1,RawTransportationData!$B:$B,Compare!$D211:$F211))</f>
        <v>68128</v>
      </c>
      <c r="T211" s="32">
        <f t="shared" si="28"/>
        <v>232145.44</v>
      </c>
      <c r="U211" s="45"/>
      <c r="V211" s="85">
        <f>SUMPRODUCT(SUMIFS(RawTransportationData!$D:$D,RawTransportationData!$A:$A,Compare!$V$2,RawTransportationData!$B:$B,Compare!$D211:$F211))</f>
        <v>641.20000000000005</v>
      </c>
      <c r="W211" s="86">
        <f>SUMPRODUCT(SUMIFS(RawTransportationData!$G:$G,RawTransportationData!$A:$A,Compare!$V$2,RawTransportationData!$B:$B,Compare!$D211:$F211))</f>
        <v>240841.73</v>
      </c>
      <c r="X211" s="32">
        <f t="shared" si="29"/>
        <v>375.61093262632562</v>
      </c>
      <c r="Y211" s="32">
        <f>SUMPRODUCT(SUMIFS(RawTransportationData!$H:$H,RawTransportationData!$A:$A,Compare!$V$1,RawTransportationData!$B:$B,Compare!$D211:$F211))</f>
        <v>0</v>
      </c>
      <c r="Z211" s="32">
        <f t="shared" si="30"/>
        <v>240841.73</v>
      </c>
    </row>
    <row r="212" spans="1:26" x14ac:dyDescent="0.55000000000000004">
      <c r="A212">
        <f>FinalPayment!A210</f>
        <v>2021</v>
      </c>
      <c r="B212" t="str">
        <f>FinalPayment!B210</f>
        <v>15</v>
      </c>
      <c r="C212" t="str">
        <f>FinalPayment!C210</f>
        <v>4776</v>
      </c>
      <c r="D212" t="str">
        <f>FinalPayment!D210</f>
        <v/>
      </c>
      <c r="E212" t="str">
        <f>FinalPayment!E210</f>
        <v/>
      </c>
      <c r="F212" t="str">
        <f>FinalPayment!F210</f>
        <v>4776</v>
      </c>
      <c r="G212" s="28" t="str">
        <f>FinalPayment!G210</f>
        <v>North Mahaska</v>
      </c>
      <c r="H212" s="85">
        <f>SUMPRODUCT(SUMIFS(RawTransportationData!$D:$D,RawTransportationData!$A:$A,Compare!$H$2,RawTransportationData!$B:$B,Compare!$D212:$F212))</f>
        <v>450.1</v>
      </c>
      <c r="I212" s="86">
        <f>SUMPRODUCT(SUMIFS(RawTransportationData!$G:$G,RawTransportationData!$A:$A,Compare!$H$2,RawTransportationData!$B:$B,Compare!$D212:$F212))</f>
        <v>188396.78999999998</v>
      </c>
      <c r="J212" s="32">
        <f t="shared" si="31"/>
        <v>418.56651855143292</v>
      </c>
      <c r="K212" s="32">
        <f>SUMPRODUCT(SUMIFS(RawTransportationData!$H:$H,RawTransportationData!$A:$A,Compare!$E$1,RawTransportationData!$B:$B,Compare!$D212:$F212))</f>
        <v>32289</v>
      </c>
      <c r="L212" s="32">
        <f t="shared" si="24"/>
        <v>156107.78999999998</v>
      </c>
      <c r="M212" s="70">
        <f t="shared" si="25"/>
        <v>-7.4207538590383608E-3</v>
      </c>
      <c r="N212" s="70">
        <f t="shared" si="26"/>
        <v>-0.26188432238262638</v>
      </c>
      <c r="O212" s="45"/>
      <c r="P212" s="85">
        <f>SUMPRODUCT(SUMIFS(RawTransportationData!$D:$D,RawTransportationData!$A:$A,Compare!$P$2,RawTransportationData!$B:$B,Compare!$D212:$F212))</f>
        <v>468.3</v>
      </c>
      <c r="Q212" s="86">
        <f>SUMPRODUCT(SUMIFS(RawTransportationData!$G:$G,RawTransportationData!$A:$A,Compare!$P$2,RawTransportationData!$B:$B,Compare!$D212:$F212))</f>
        <v>216219.68000000002</v>
      </c>
      <c r="R212" s="32">
        <f t="shared" si="27"/>
        <v>461.71189408498827</v>
      </c>
      <c r="S212" s="32">
        <f>SUMPRODUCT(SUMIFS(RawTransportationData!$H:$H,RawTransportationData!$A:$A,Compare!$P$1,RawTransportationData!$B:$B,Compare!$D212:$F212))</f>
        <v>37765</v>
      </c>
      <c r="T212" s="32">
        <f t="shared" si="28"/>
        <v>178454.68000000002</v>
      </c>
      <c r="U212" s="45"/>
      <c r="V212" s="85">
        <f>SUMPRODUCT(SUMIFS(RawTransportationData!$D:$D,RawTransportationData!$A:$A,Compare!$V$2,RawTransportationData!$B:$B,Compare!$D212:$F212))</f>
        <v>509.5</v>
      </c>
      <c r="W212" s="86">
        <f>SUMPRODUCT(SUMIFS(RawTransportationData!$G:$G,RawTransportationData!$A:$A,Compare!$V$2,RawTransportationData!$B:$B,Compare!$D212:$F212))</f>
        <v>214854.02</v>
      </c>
      <c r="X212" s="32">
        <f t="shared" si="29"/>
        <v>421.69581943081448</v>
      </c>
      <c r="Y212" s="32">
        <f>SUMPRODUCT(SUMIFS(RawTransportationData!$H:$H,RawTransportationData!$A:$A,Compare!$V$1,RawTransportationData!$B:$B,Compare!$D212:$F212))</f>
        <v>3359</v>
      </c>
      <c r="Z212" s="32">
        <f t="shared" si="30"/>
        <v>211495.02</v>
      </c>
    </row>
    <row r="213" spans="1:26" x14ac:dyDescent="0.55000000000000004">
      <c r="A213">
        <f>FinalPayment!A211</f>
        <v>2021</v>
      </c>
      <c r="B213" t="str">
        <f>FinalPayment!B211</f>
        <v>11</v>
      </c>
      <c r="C213" t="str">
        <f>FinalPayment!C211</f>
        <v>4779</v>
      </c>
      <c r="D213" t="str">
        <f>FinalPayment!D211</f>
        <v/>
      </c>
      <c r="E213" t="str">
        <f>FinalPayment!E211</f>
        <v/>
      </c>
      <c r="F213" t="str">
        <f>FinalPayment!F211</f>
        <v>4779</v>
      </c>
      <c r="G213" s="28" t="str">
        <f>FinalPayment!G211</f>
        <v>North Polk</v>
      </c>
      <c r="H213" s="85">
        <f>SUMPRODUCT(SUMIFS(RawTransportationData!$D:$D,RawTransportationData!$A:$A,Compare!$H$2,RawTransportationData!$B:$B,Compare!$D213:$F213))</f>
        <v>1727.5</v>
      </c>
      <c r="I213" s="86">
        <f>SUMPRODUCT(SUMIFS(RawTransportationData!$G:$G,RawTransportationData!$A:$A,Compare!$H$2,RawTransportationData!$B:$B,Compare!$D213:$F213))</f>
        <v>736195.24</v>
      </c>
      <c r="J213" s="32">
        <f t="shared" si="31"/>
        <v>426.16222286541245</v>
      </c>
      <c r="K213" s="32">
        <f>SUMPRODUCT(SUMIFS(RawTransportationData!$H:$H,RawTransportationData!$A:$A,Compare!$E$1,RawTransportationData!$B:$B,Compare!$D213:$F213))</f>
        <v>137040</v>
      </c>
      <c r="L213" s="32">
        <f t="shared" si="24"/>
        <v>599155.24</v>
      </c>
      <c r="M213" s="70">
        <f t="shared" si="25"/>
        <v>0.14185492557580487</v>
      </c>
      <c r="N213" s="70">
        <f t="shared" si="26"/>
        <v>2.5599397822735494E-2</v>
      </c>
      <c r="O213" s="45"/>
      <c r="P213" s="85">
        <f>SUMPRODUCT(SUMIFS(RawTransportationData!$D:$D,RawTransportationData!$A:$A,Compare!$P$2,RawTransportationData!$B:$B,Compare!$D213:$F213))</f>
        <v>1683.9</v>
      </c>
      <c r="Q213" s="86">
        <f>SUMPRODUCT(SUMIFS(RawTransportationData!$G:$G,RawTransportationData!$A:$A,Compare!$P$2,RawTransportationData!$B:$B,Compare!$D213:$F213))</f>
        <v>734256.30999999994</v>
      </c>
      <c r="R213" s="32">
        <f t="shared" si="27"/>
        <v>436.0450798741017</v>
      </c>
      <c r="S213" s="32">
        <f>SUMPRODUCT(SUMIFS(RawTransportationData!$H:$H,RawTransportationData!$A:$A,Compare!$P$1,RawTransportationData!$B:$B,Compare!$D213:$F213))</f>
        <v>92584</v>
      </c>
      <c r="T213" s="32">
        <f t="shared" si="28"/>
        <v>641672.30999999994</v>
      </c>
      <c r="U213" s="45"/>
      <c r="V213" s="85">
        <f>SUMPRODUCT(SUMIFS(RawTransportationData!$D:$D,RawTransportationData!$A:$A,Compare!$V$2,RawTransportationData!$B:$B,Compare!$D213:$F213))</f>
        <v>1565.3</v>
      </c>
      <c r="W213" s="86">
        <f>SUMPRODUCT(SUMIFS(RawTransportationData!$G:$G,RawTransportationData!$A:$A,Compare!$V$2,RawTransportationData!$B:$B,Compare!$D213:$F213))</f>
        <v>584200.07000000007</v>
      </c>
      <c r="X213" s="32">
        <f t="shared" si="29"/>
        <v>373.2192359292149</v>
      </c>
      <c r="Y213" s="32">
        <f>SUMPRODUCT(SUMIFS(RawTransportationData!$H:$H,RawTransportationData!$A:$A,Compare!$V$1,RawTransportationData!$B:$B,Compare!$D213:$F213))</f>
        <v>0</v>
      </c>
      <c r="Z213" s="32">
        <f t="shared" si="30"/>
        <v>584200.07000000007</v>
      </c>
    </row>
    <row r="214" spans="1:26" x14ac:dyDescent="0.55000000000000004">
      <c r="A214">
        <f>FinalPayment!A212</f>
        <v>2021</v>
      </c>
      <c r="B214" t="str">
        <f>FinalPayment!B212</f>
        <v>09</v>
      </c>
      <c r="C214" t="str">
        <f>FinalPayment!C212</f>
        <v>4784</v>
      </c>
      <c r="D214" t="str">
        <f>FinalPayment!D212</f>
        <v/>
      </c>
      <c r="E214" t="str">
        <f>FinalPayment!E212</f>
        <v/>
      </c>
      <c r="F214" t="str">
        <f>FinalPayment!F212</f>
        <v>4784</v>
      </c>
      <c r="G214" s="28" t="str">
        <f>FinalPayment!G212</f>
        <v>North Scott</v>
      </c>
      <c r="H214" s="85">
        <f>SUMPRODUCT(SUMIFS(RawTransportationData!$D:$D,RawTransportationData!$A:$A,Compare!$H$2,RawTransportationData!$B:$B,Compare!$D214:$F214))</f>
        <v>3077.3</v>
      </c>
      <c r="I214" s="86">
        <f>SUMPRODUCT(SUMIFS(RawTransportationData!$G:$G,RawTransportationData!$A:$A,Compare!$H$2,RawTransportationData!$B:$B,Compare!$D214:$F214))</f>
        <v>861290.1</v>
      </c>
      <c r="J214" s="32">
        <f t="shared" si="31"/>
        <v>279.88499658791795</v>
      </c>
      <c r="K214" s="32">
        <f>SUMPRODUCT(SUMIFS(RawTransportationData!$H:$H,RawTransportationData!$A:$A,Compare!$E$1,RawTransportationData!$B:$B,Compare!$D214:$F214))</f>
        <v>2519</v>
      </c>
      <c r="L214" s="32">
        <f t="shared" si="24"/>
        <v>858771.1</v>
      </c>
      <c r="M214" s="70">
        <f t="shared" si="25"/>
        <v>-4.6356785140960206E-2</v>
      </c>
      <c r="N214" s="70">
        <f t="shared" si="26"/>
        <v>-4.4425930964705124E-2</v>
      </c>
      <c r="O214" s="45"/>
      <c r="P214" s="85">
        <f>SUMPRODUCT(SUMIFS(RawTransportationData!$D:$D,RawTransportationData!$A:$A,Compare!$P$2,RawTransportationData!$B:$B,Compare!$D214:$F214))</f>
        <v>3035.1</v>
      </c>
      <c r="Q214" s="86">
        <f>SUMPRODUCT(SUMIFS(RawTransportationData!$G:$G,RawTransportationData!$A:$A,Compare!$P$2,RawTransportationData!$B:$B,Compare!$D214:$F214))</f>
        <v>880445.46</v>
      </c>
      <c r="R214" s="32">
        <f t="shared" si="27"/>
        <v>290.08779282395966</v>
      </c>
      <c r="S214" s="32">
        <f>SUMPRODUCT(SUMIFS(RawTransportationData!$H:$H,RawTransportationData!$A:$A,Compare!$P$1,RawTransportationData!$B:$B,Compare!$D214:$F214))</f>
        <v>0</v>
      </c>
      <c r="T214" s="32">
        <f t="shared" si="28"/>
        <v>880445.46</v>
      </c>
      <c r="U214" s="45"/>
      <c r="V214" s="85">
        <f>SUMPRODUCT(SUMIFS(RawTransportationData!$D:$D,RawTransportationData!$A:$A,Compare!$V$2,RawTransportationData!$B:$B,Compare!$D214:$F214))</f>
        <v>3062.1</v>
      </c>
      <c r="W214" s="86">
        <f>SUMPRODUCT(SUMIFS(RawTransportationData!$G:$G,RawTransportationData!$A:$A,Compare!$V$2,RawTransportationData!$B:$B,Compare!$D214:$F214))</f>
        <v>898696.53</v>
      </c>
      <c r="X214" s="32">
        <f t="shared" si="29"/>
        <v>293.49026158518666</v>
      </c>
      <c r="Y214" s="32">
        <f>SUMPRODUCT(SUMIFS(RawTransportationData!$H:$H,RawTransportationData!$A:$A,Compare!$V$1,RawTransportationData!$B:$B,Compare!$D214:$F214))</f>
        <v>0</v>
      </c>
      <c r="Z214" s="32">
        <f t="shared" si="30"/>
        <v>898696.53</v>
      </c>
    </row>
    <row r="215" spans="1:26" x14ac:dyDescent="0.55000000000000004">
      <c r="A215">
        <f>FinalPayment!A213</f>
        <v>2021</v>
      </c>
      <c r="B215" t="str">
        <f>FinalPayment!B213</f>
        <v>07</v>
      </c>
      <c r="C215" t="str">
        <f>FinalPayment!C213</f>
        <v>4785</v>
      </c>
      <c r="D215" t="str">
        <f>FinalPayment!D213</f>
        <v/>
      </c>
      <c r="E215" t="str">
        <f>FinalPayment!E213</f>
        <v/>
      </c>
      <c r="F215" t="str">
        <f>FinalPayment!F213</f>
        <v>4785</v>
      </c>
      <c r="G215" s="28" t="str">
        <f>FinalPayment!G213</f>
        <v>North Tama</v>
      </c>
      <c r="H215" s="85">
        <f>SUMPRODUCT(SUMIFS(RawTransportationData!$D:$D,RawTransportationData!$A:$A,Compare!$H$2,RawTransportationData!$B:$B,Compare!$D215:$F215))</f>
        <v>446</v>
      </c>
      <c r="I215" s="86">
        <f>SUMPRODUCT(SUMIFS(RawTransportationData!$G:$G,RawTransportationData!$A:$A,Compare!$H$2,RawTransportationData!$B:$B,Compare!$D215:$F215))</f>
        <v>239001.86</v>
      </c>
      <c r="J215" s="32">
        <f t="shared" si="31"/>
        <v>535.87860986547082</v>
      </c>
      <c r="K215" s="32">
        <f>SUMPRODUCT(SUMIFS(RawTransportationData!$H:$H,RawTransportationData!$A:$A,Compare!$E$1,RawTransportationData!$B:$B,Compare!$D215:$F215))</f>
        <v>84316</v>
      </c>
      <c r="L215" s="32">
        <f t="shared" si="24"/>
        <v>154685.85999999999</v>
      </c>
      <c r="M215" s="70">
        <f t="shared" si="25"/>
        <v>9.5457833480233609E-2</v>
      </c>
      <c r="N215" s="70">
        <f t="shared" si="26"/>
        <v>-0.15558568624569546</v>
      </c>
      <c r="O215" s="45"/>
      <c r="P215" s="85">
        <f>SUMPRODUCT(SUMIFS(RawTransportationData!$D:$D,RawTransportationData!$A:$A,Compare!$P$2,RawTransportationData!$B:$B,Compare!$D215:$F215))</f>
        <v>445</v>
      </c>
      <c r="Q215" s="86">
        <f>SUMPRODUCT(SUMIFS(RawTransportationData!$G:$G,RawTransportationData!$A:$A,Compare!$P$2,RawTransportationData!$B:$B,Compare!$D215:$F215))</f>
        <v>198419.7</v>
      </c>
      <c r="R215" s="32">
        <f t="shared" si="27"/>
        <v>445.88696629213484</v>
      </c>
      <c r="S215" s="32">
        <f>SUMPRODUCT(SUMIFS(RawTransportationData!$H:$H,RawTransportationData!$A:$A,Compare!$P$1,RawTransportationData!$B:$B,Compare!$D215:$F215))</f>
        <v>28846</v>
      </c>
      <c r="T215" s="32">
        <f t="shared" si="28"/>
        <v>169573.7</v>
      </c>
      <c r="U215" s="45"/>
      <c r="V215" s="85">
        <f>SUMPRODUCT(SUMIFS(RawTransportationData!$D:$D,RawTransportationData!$A:$A,Compare!$V$2,RawTransportationData!$B:$B,Compare!$D215:$F215))</f>
        <v>441.3</v>
      </c>
      <c r="W215" s="86">
        <f>SUMPRODUCT(SUMIFS(RawTransportationData!$G:$G,RawTransportationData!$A:$A,Compare!$V$2,RawTransportationData!$B:$B,Compare!$D215:$F215))</f>
        <v>215876.16</v>
      </c>
      <c r="X215" s="32">
        <f t="shared" si="29"/>
        <v>489.18232494901429</v>
      </c>
      <c r="Y215" s="32">
        <f>SUMPRODUCT(SUMIFS(RawTransportationData!$H:$H,RawTransportationData!$A:$A,Compare!$V$1,RawTransportationData!$B:$B,Compare!$D215:$F215))</f>
        <v>32689</v>
      </c>
      <c r="Z215" s="32">
        <f t="shared" si="30"/>
        <v>183187.16</v>
      </c>
    </row>
    <row r="216" spans="1:26" x14ac:dyDescent="0.55000000000000004">
      <c r="A216">
        <f>FinalPayment!A214</f>
        <v>2021</v>
      </c>
      <c r="B216" t="str">
        <f>FinalPayment!B214</f>
        <v>05</v>
      </c>
      <c r="C216" t="str">
        <f>FinalPayment!C214</f>
        <v>0333</v>
      </c>
      <c r="D216" t="str">
        <f>FinalPayment!D214</f>
        <v/>
      </c>
      <c r="E216" t="str">
        <f>FinalPayment!E214</f>
        <v/>
      </c>
      <c r="F216" t="str">
        <f>FinalPayment!F214</f>
        <v>0333</v>
      </c>
      <c r="G216" s="28" t="str">
        <f>FinalPayment!G214</f>
        <v>North Union</v>
      </c>
      <c r="H216" s="85">
        <f>SUMPRODUCT(SUMIFS(RawTransportationData!$D:$D,RawTransportationData!$A:$A,Compare!$H$2,RawTransportationData!$B:$B,Compare!$D216:$F216))</f>
        <v>410.3</v>
      </c>
      <c r="I216" s="86">
        <f>SUMPRODUCT(SUMIFS(RawTransportationData!$G:$G,RawTransportationData!$A:$A,Compare!$H$2,RawTransportationData!$B:$B,Compare!$D216:$F216))</f>
        <v>270775.21999999997</v>
      </c>
      <c r="J216" s="32">
        <f t="shared" si="31"/>
        <v>659.94447964903725</v>
      </c>
      <c r="K216" s="32">
        <f>SUMPRODUCT(SUMIFS(RawTransportationData!$H:$H,RawTransportationData!$A:$A,Compare!$E$1,RawTransportationData!$B:$B,Compare!$D216:$F216))</f>
        <v>128469</v>
      </c>
      <c r="L216" s="32">
        <f t="shared" si="24"/>
        <v>142306.21999999997</v>
      </c>
      <c r="M216" s="70">
        <f t="shared" si="25"/>
        <v>1.3383945823924343E-2</v>
      </c>
      <c r="N216" s="70">
        <f t="shared" si="26"/>
        <v>-0.18589263371443693</v>
      </c>
      <c r="O216" s="45"/>
      <c r="P216" s="85">
        <f>SUMPRODUCT(SUMIFS(RawTransportationData!$D:$D,RawTransportationData!$A:$A,Compare!$P$2,RawTransportationData!$B:$B,Compare!$D216:$F216))</f>
        <v>413</v>
      </c>
      <c r="Q216" s="86">
        <f>SUMPRODUCT(SUMIFS(RawTransportationData!$G:$G,RawTransportationData!$A:$A,Compare!$P$2,RawTransportationData!$B:$B,Compare!$D216:$F216))</f>
        <v>291032.24</v>
      </c>
      <c r="R216" s="32">
        <f t="shared" si="27"/>
        <v>704.67854721549634</v>
      </c>
      <c r="S216" s="32">
        <f>SUMPRODUCT(SUMIFS(RawTransportationData!$H:$H,RawTransportationData!$A:$A,Compare!$P$1,RawTransportationData!$B:$B,Compare!$D216:$F216))</f>
        <v>133652</v>
      </c>
      <c r="T216" s="32">
        <f t="shared" si="28"/>
        <v>157380.24</v>
      </c>
      <c r="U216" s="45"/>
      <c r="V216" s="85">
        <f>SUMPRODUCT(SUMIFS(RawTransportationData!$D:$D,RawTransportationData!$A:$A,Compare!$V$2,RawTransportationData!$B:$B,Compare!$D216:$F216))</f>
        <v>421.1</v>
      </c>
      <c r="W216" s="86">
        <f>SUMPRODUCT(SUMIFS(RawTransportationData!$G:$G,RawTransportationData!$A:$A,Compare!$V$2,RawTransportationData!$B:$B,Compare!$D216:$F216))</f>
        <v>274232.31</v>
      </c>
      <c r="X216" s="32">
        <f t="shared" si="29"/>
        <v>651.22847304678214</v>
      </c>
      <c r="Y216" s="32">
        <f>SUMPRODUCT(SUMIFS(RawTransportationData!$H:$H,RawTransportationData!$A:$A,Compare!$V$1,RawTransportationData!$B:$B,Compare!$D216:$F216))</f>
        <v>99432</v>
      </c>
      <c r="Z216" s="32">
        <f t="shared" si="30"/>
        <v>174800.31</v>
      </c>
    </row>
    <row r="217" spans="1:26" x14ac:dyDescent="0.55000000000000004">
      <c r="A217">
        <f>FinalPayment!A215</f>
        <v>2021</v>
      </c>
      <c r="B217" t="str">
        <f>FinalPayment!B215</f>
        <v>09</v>
      </c>
      <c r="C217" t="str">
        <f>FinalPayment!C215</f>
        <v>4773</v>
      </c>
      <c r="D217" t="str">
        <f>FinalPayment!D215</f>
        <v/>
      </c>
      <c r="E217" t="str">
        <f>FinalPayment!E215</f>
        <v/>
      </c>
      <c r="F217" t="str">
        <f>FinalPayment!F215</f>
        <v>4773</v>
      </c>
      <c r="G217" s="28" t="str">
        <f>FinalPayment!G215</f>
        <v>Northeast</v>
      </c>
      <c r="H217" s="85">
        <f>SUMPRODUCT(SUMIFS(RawTransportationData!$D:$D,RawTransportationData!$A:$A,Compare!$H$2,RawTransportationData!$B:$B,Compare!$D217:$F217))</f>
        <v>522.6</v>
      </c>
      <c r="I217" s="86">
        <f>SUMPRODUCT(SUMIFS(RawTransportationData!$G:$G,RawTransportationData!$A:$A,Compare!$H$2,RawTransportationData!$B:$B,Compare!$D217:$F217))</f>
        <v>330889.15999999997</v>
      </c>
      <c r="J217" s="32">
        <f t="shared" si="31"/>
        <v>633.15951014159964</v>
      </c>
      <c r="K217" s="32">
        <f>SUMPRODUCT(SUMIFS(RawTransportationData!$H:$H,RawTransportationData!$A:$A,Compare!$E$1,RawTransportationData!$B:$B,Compare!$D217:$F217))</f>
        <v>149636</v>
      </c>
      <c r="L217" s="32">
        <f t="shared" si="24"/>
        <v>181253.15999999997</v>
      </c>
      <c r="M217" s="70">
        <f t="shared" si="25"/>
        <v>0.15471810160936553</v>
      </c>
      <c r="N217" s="70">
        <f t="shared" si="26"/>
        <v>-0.16783262951948535</v>
      </c>
      <c r="O217" s="45"/>
      <c r="P217" s="85">
        <f>SUMPRODUCT(SUMIFS(RawTransportationData!$D:$D,RawTransportationData!$A:$A,Compare!$P$2,RawTransportationData!$B:$B,Compare!$D217:$F217))</f>
        <v>516.29999999999995</v>
      </c>
      <c r="Q217" s="86">
        <f>SUMPRODUCT(SUMIFS(RawTransportationData!$G:$G,RawTransportationData!$A:$A,Compare!$P$2,RawTransportationData!$B:$B,Compare!$D217:$F217))</f>
        <v>345377.43</v>
      </c>
      <c r="R217" s="32">
        <f t="shared" si="27"/>
        <v>668.94718187100523</v>
      </c>
      <c r="S217" s="32">
        <f>SUMPRODUCT(SUMIFS(RawTransportationData!$H:$H,RawTransportationData!$A:$A,Compare!$P$1,RawTransportationData!$B:$B,Compare!$D217:$F217))</f>
        <v>148634</v>
      </c>
      <c r="T217" s="32">
        <f t="shared" si="28"/>
        <v>196743.43</v>
      </c>
      <c r="U217" s="45"/>
      <c r="V217" s="85">
        <f>SUMPRODUCT(SUMIFS(RawTransportationData!$D:$D,RawTransportationData!$A:$A,Compare!$V$2,RawTransportationData!$B:$B,Compare!$D217:$F217))</f>
        <v>524.70000000000005</v>
      </c>
      <c r="W217" s="86">
        <f>SUMPRODUCT(SUMIFS(RawTransportationData!$G:$G,RawTransportationData!$A:$A,Compare!$V$2,RawTransportationData!$B:$B,Compare!$D217:$F217))</f>
        <v>287705.53999999998</v>
      </c>
      <c r="X217" s="32">
        <f t="shared" si="29"/>
        <v>548.32388031255948</v>
      </c>
      <c r="Y217" s="32">
        <f>SUMPRODUCT(SUMIFS(RawTransportationData!$H:$H,RawTransportationData!$A:$A,Compare!$V$1,RawTransportationData!$B:$B,Compare!$D217:$F217))</f>
        <v>69897</v>
      </c>
      <c r="Z217" s="32">
        <f t="shared" si="30"/>
        <v>217808.53999999998</v>
      </c>
    </row>
    <row r="218" spans="1:26" x14ac:dyDescent="0.55000000000000004">
      <c r="A218">
        <f>FinalPayment!A216</f>
        <v>2021</v>
      </c>
      <c r="B218" t="str">
        <f>FinalPayment!B216</f>
        <v>07</v>
      </c>
      <c r="C218" t="str">
        <f>FinalPayment!C216</f>
        <v>4788</v>
      </c>
      <c r="D218" t="str">
        <f>FinalPayment!D216</f>
        <v/>
      </c>
      <c r="E218" t="str">
        <f>FinalPayment!E216</f>
        <v/>
      </c>
      <c r="F218" t="str">
        <f>FinalPayment!F216</f>
        <v>4788</v>
      </c>
      <c r="G218" s="28" t="str">
        <f>FinalPayment!G216</f>
        <v>Northwood-Kensett</v>
      </c>
      <c r="H218" s="85">
        <f>SUMPRODUCT(SUMIFS(RawTransportationData!$D:$D,RawTransportationData!$A:$A,Compare!$H$2,RawTransportationData!$B:$B,Compare!$D218:$F218))</f>
        <v>511.5</v>
      </c>
      <c r="I218" s="86">
        <f>SUMPRODUCT(SUMIFS(RawTransportationData!$G:$G,RawTransportationData!$A:$A,Compare!$H$2,RawTransportationData!$B:$B,Compare!$D218:$F218))</f>
        <v>228061.35</v>
      </c>
      <c r="J218" s="32">
        <f t="shared" si="31"/>
        <v>445.86774193548388</v>
      </c>
      <c r="K218" s="32">
        <f>SUMPRODUCT(SUMIFS(RawTransportationData!$H:$H,RawTransportationData!$A:$A,Compare!$E$1,RawTransportationData!$B:$B,Compare!$D218:$F218))</f>
        <v>50659</v>
      </c>
      <c r="L218" s="32">
        <f t="shared" si="24"/>
        <v>177402.35</v>
      </c>
      <c r="M218" s="70">
        <f t="shared" si="25"/>
        <v>-0.13380671963717744</v>
      </c>
      <c r="N218" s="70">
        <f t="shared" si="26"/>
        <v>-0.1452753456108519</v>
      </c>
      <c r="O218" s="45"/>
      <c r="P218" s="85">
        <f>SUMPRODUCT(SUMIFS(RawTransportationData!$D:$D,RawTransportationData!$A:$A,Compare!$P$2,RawTransportationData!$B:$B,Compare!$D218:$F218))</f>
        <v>508.1</v>
      </c>
      <c r="Q218" s="86">
        <f>SUMPRODUCT(SUMIFS(RawTransportationData!$G:$G,RawTransportationData!$A:$A,Compare!$P$2,RawTransportationData!$B:$B,Compare!$D218:$F218))</f>
        <v>230848.5</v>
      </c>
      <c r="R218" s="32">
        <f t="shared" si="27"/>
        <v>454.33674473528833</v>
      </c>
      <c r="S218" s="32">
        <f>SUMPRODUCT(SUMIFS(RawTransportationData!$H:$H,RawTransportationData!$A:$A,Compare!$P$1,RawTransportationData!$B:$B,Compare!$D218:$F218))</f>
        <v>37230</v>
      </c>
      <c r="T218" s="32">
        <f t="shared" si="28"/>
        <v>193618.5</v>
      </c>
      <c r="U218" s="45"/>
      <c r="V218" s="85">
        <f>SUMPRODUCT(SUMIFS(RawTransportationData!$D:$D,RawTransportationData!$A:$A,Compare!$V$2,RawTransportationData!$B:$B,Compare!$D218:$F218))</f>
        <v>500</v>
      </c>
      <c r="W218" s="86">
        <f>SUMPRODUCT(SUMIFS(RawTransportationData!$G:$G,RawTransportationData!$A:$A,Compare!$V$2,RawTransportationData!$B:$B,Compare!$D218:$F218))</f>
        <v>257371.97</v>
      </c>
      <c r="X218" s="32">
        <f t="shared" si="29"/>
        <v>514.74393999999995</v>
      </c>
      <c r="Y218" s="32">
        <f>SUMPRODUCT(SUMIFS(RawTransportationData!$H:$H,RawTransportationData!$A:$A,Compare!$V$1,RawTransportationData!$B:$B,Compare!$D218:$F218))</f>
        <v>49817</v>
      </c>
      <c r="Z218" s="32">
        <f t="shared" si="30"/>
        <v>207554.97</v>
      </c>
    </row>
    <row r="219" spans="1:26" x14ac:dyDescent="0.55000000000000004">
      <c r="A219">
        <f>FinalPayment!A217</f>
        <v>2021</v>
      </c>
      <c r="B219" t="str">
        <f>FinalPayment!B217</f>
        <v>11</v>
      </c>
      <c r="C219" t="str">
        <f>FinalPayment!C217</f>
        <v>4797</v>
      </c>
      <c r="D219" t="str">
        <f>FinalPayment!D217</f>
        <v/>
      </c>
      <c r="E219" t="str">
        <f>FinalPayment!E217</f>
        <v/>
      </c>
      <c r="F219" t="str">
        <f>FinalPayment!F217</f>
        <v>4797</v>
      </c>
      <c r="G219" s="28" t="str">
        <f>FinalPayment!G217</f>
        <v>Norwalk</v>
      </c>
      <c r="H219" s="85">
        <f>SUMPRODUCT(SUMIFS(RawTransportationData!$D:$D,RawTransportationData!$A:$A,Compare!$H$2,RawTransportationData!$B:$B,Compare!$D219:$F219))</f>
        <v>2993.6</v>
      </c>
      <c r="I219" s="86">
        <f>SUMPRODUCT(SUMIFS(RawTransportationData!$G:$G,RawTransportationData!$A:$A,Compare!$H$2,RawTransportationData!$B:$B,Compare!$D219:$F219))</f>
        <v>538672.91999999993</v>
      </c>
      <c r="J219" s="32">
        <f t="shared" si="31"/>
        <v>179.94151523249596</v>
      </c>
      <c r="K219" s="32">
        <f>SUMPRODUCT(SUMIFS(RawTransportationData!$H:$H,RawTransportationData!$A:$A,Compare!$E$1,RawTransportationData!$B:$B,Compare!$D219:$F219))</f>
        <v>2450</v>
      </c>
      <c r="L219" s="32">
        <f t="shared" si="24"/>
        <v>536222.91999999993</v>
      </c>
      <c r="M219" s="70">
        <f t="shared" si="25"/>
        <v>1.26419207947284E-2</v>
      </c>
      <c r="N219" s="70">
        <f t="shared" si="26"/>
        <v>0.11168067510339967</v>
      </c>
      <c r="O219" s="45"/>
      <c r="P219" s="85">
        <f>SUMPRODUCT(SUMIFS(RawTransportationData!$D:$D,RawTransportationData!$A:$A,Compare!$P$2,RawTransportationData!$B:$B,Compare!$D219:$F219))</f>
        <v>2831.2</v>
      </c>
      <c r="Q219" s="86">
        <f>SUMPRODUCT(SUMIFS(RawTransportationData!$G:$G,RawTransportationData!$A:$A,Compare!$P$2,RawTransportationData!$B:$B,Compare!$D219:$F219))</f>
        <v>532620.11</v>
      </c>
      <c r="R219" s="32">
        <f t="shared" si="27"/>
        <v>188.1252154563436</v>
      </c>
      <c r="S219" s="32">
        <f>SUMPRODUCT(SUMIFS(RawTransportationData!$H:$H,RawTransportationData!$A:$A,Compare!$P$1,RawTransportationData!$B:$B,Compare!$D219:$F219))</f>
        <v>0</v>
      </c>
      <c r="T219" s="32">
        <f t="shared" si="28"/>
        <v>532620.11</v>
      </c>
      <c r="U219" s="45"/>
      <c r="V219" s="85">
        <f>SUMPRODUCT(SUMIFS(RawTransportationData!$D:$D,RawTransportationData!$A:$A,Compare!$V$2,RawTransportationData!$B:$B,Compare!$D219:$F219))</f>
        <v>2714.5</v>
      </c>
      <c r="W219" s="86">
        <f>SUMPRODUCT(SUMIFS(RawTransportationData!$G:$G,RawTransportationData!$A:$A,Compare!$V$2,RawTransportationData!$B:$B,Compare!$D219:$F219))</f>
        <v>482353.37</v>
      </c>
      <c r="X219" s="32">
        <f t="shared" si="29"/>
        <v>177.69510775465093</v>
      </c>
      <c r="Y219" s="32">
        <f>SUMPRODUCT(SUMIFS(RawTransportationData!$H:$H,RawTransportationData!$A:$A,Compare!$V$1,RawTransportationData!$B:$B,Compare!$D219:$F219))</f>
        <v>0</v>
      </c>
      <c r="Z219" s="32">
        <f t="shared" si="30"/>
        <v>482353.37</v>
      </c>
    </row>
    <row r="220" spans="1:26" x14ac:dyDescent="0.55000000000000004">
      <c r="A220">
        <f>FinalPayment!A218</f>
        <v>2021</v>
      </c>
      <c r="B220" t="str">
        <f>FinalPayment!B218</f>
        <v>12</v>
      </c>
      <c r="C220" t="str">
        <f>FinalPayment!C218</f>
        <v>4860</v>
      </c>
      <c r="D220" t="str">
        <f>FinalPayment!D218</f>
        <v>0504</v>
      </c>
      <c r="E220" t="str">
        <f>FinalPayment!E218</f>
        <v/>
      </c>
      <c r="F220" t="str">
        <f>FinalPayment!F218</f>
        <v>4860</v>
      </c>
      <c r="G220" s="28" t="str">
        <f>FinalPayment!G218</f>
        <v>Odebolt Arthur Battle Creek Ida Grove</v>
      </c>
      <c r="H220" s="85">
        <f>SUMPRODUCT(SUMIFS(RawTransportationData!$D:$D,RawTransportationData!$A:$A,Compare!$H$2,RawTransportationData!$B:$B,Compare!$D220:$F220))</f>
        <v>987.4</v>
      </c>
      <c r="I220" s="86">
        <f>SUMPRODUCT(SUMIFS(RawTransportationData!$G:$G,RawTransportationData!$A:$A,Compare!$H$2,RawTransportationData!$B:$B,Compare!$D220:$F220))</f>
        <v>425944.18</v>
      </c>
      <c r="J220" s="32">
        <f t="shared" si="31"/>
        <v>431.37956248734048</v>
      </c>
      <c r="K220" s="32">
        <f>SUMPRODUCT(SUMIFS(RawTransportationData!$H:$H,RawTransportationData!$A:$A,Compare!$E$1,RawTransportationData!$B:$B,Compare!$D220:$F220))</f>
        <v>83483</v>
      </c>
      <c r="L220" s="32">
        <f t="shared" si="24"/>
        <v>342461.18</v>
      </c>
      <c r="M220" s="70">
        <f t="shared" si="25"/>
        <v>-6.4559245473985533E-2</v>
      </c>
      <c r="N220" s="70">
        <f t="shared" si="26"/>
        <v>-0.15514712615820866</v>
      </c>
      <c r="O220" s="45"/>
      <c r="P220" s="85">
        <f>SUMPRODUCT(SUMIFS(RawTransportationData!$D:$D,RawTransportationData!$A:$A,Compare!$P$2,RawTransportationData!$B:$B,Compare!$D220:$F220))</f>
        <v>978.5</v>
      </c>
      <c r="Q220" s="86">
        <f>SUMPRODUCT(SUMIFS(RawTransportationData!$G:$G,RawTransportationData!$A:$A,Compare!$P$2,RawTransportationData!$B:$B,Compare!$D220:$F220))</f>
        <v>442060.04</v>
      </c>
      <c r="R220" s="32">
        <f t="shared" si="27"/>
        <v>451.77316300459887</v>
      </c>
      <c r="S220" s="32">
        <f>SUMPRODUCT(SUMIFS(RawTransportationData!$H:$H,RawTransportationData!$A:$A,Compare!$P$1,RawTransportationData!$B:$B,Compare!$D220:$F220))</f>
        <v>69185</v>
      </c>
      <c r="T220" s="32">
        <f t="shared" si="28"/>
        <v>372875.04</v>
      </c>
      <c r="U220" s="45"/>
      <c r="V220" s="85">
        <f>SUMPRODUCT(SUMIFS(RawTransportationData!$D:$D,RawTransportationData!$A:$A,Compare!$V$2,RawTransportationData!$B:$B,Compare!$D220:$F220))</f>
        <v>976.5</v>
      </c>
      <c r="W220" s="86">
        <f>SUMPRODUCT(SUMIFS(RawTransportationData!$G:$G,RawTransportationData!$A:$A,Compare!$V$2,RawTransportationData!$B:$B,Compare!$D220:$F220))</f>
        <v>450314.07999999996</v>
      </c>
      <c r="X220" s="32">
        <f t="shared" si="29"/>
        <v>461.15113159242185</v>
      </c>
      <c r="Y220" s="32">
        <f>SUMPRODUCT(SUMIFS(RawTransportationData!$H:$H,RawTransportationData!$A:$A,Compare!$V$1,RawTransportationData!$B:$B,Compare!$D220:$F220))</f>
        <v>44964</v>
      </c>
      <c r="Z220" s="32">
        <f t="shared" si="30"/>
        <v>405350.07999999996</v>
      </c>
    </row>
    <row r="221" spans="1:26" x14ac:dyDescent="0.55000000000000004">
      <c r="A221">
        <f>FinalPayment!A219</f>
        <v>2021</v>
      </c>
      <c r="B221" t="str">
        <f>FinalPayment!B219</f>
        <v>01</v>
      </c>
      <c r="C221" t="str">
        <f>FinalPayment!C219</f>
        <v>4869</v>
      </c>
      <c r="D221" t="str">
        <f>FinalPayment!D219</f>
        <v/>
      </c>
      <c r="E221" t="str">
        <f>FinalPayment!E219</f>
        <v/>
      </c>
      <c r="F221" t="str">
        <f>FinalPayment!F219</f>
        <v>4869</v>
      </c>
      <c r="G221" s="28" t="str">
        <f>FinalPayment!G219</f>
        <v>Oelwein</v>
      </c>
      <c r="H221" s="85">
        <f>SUMPRODUCT(SUMIFS(RawTransportationData!$D:$D,RawTransportationData!$A:$A,Compare!$H$2,RawTransportationData!$B:$B,Compare!$D221:$F221))</f>
        <v>1317.1999999999998</v>
      </c>
      <c r="I221" s="86">
        <f>SUMPRODUCT(SUMIFS(RawTransportationData!$G:$G,RawTransportationData!$A:$A,Compare!$H$2,RawTransportationData!$B:$B,Compare!$D221:$F221))</f>
        <v>292837.87</v>
      </c>
      <c r="J221" s="32">
        <f t="shared" si="31"/>
        <v>222.31845581536595</v>
      </c>
      <c r="K221" s="32">
        <f>SUMPRODUCT(SUMIFS(RawTransportationData!$H:$H,RawTransportationData!$A:$A,Compare!$E$1,RawTransportationData!$B:$B,Compare!$D221:$F221))</f>
        <v>1078</v>
      </c>
      <c r="L221" s="32">
        <f t="shared" si="24"/>
        <v>291759.87</v>
      </c>
      <c r="M221" s="70">
        <f t="shared" si="25"/>
        <v>-0.11280677697873029</v>
      </c>
      <c r="N221" s="70">
        <f t="shared" si="26"/>
        <v>-8.9743568144405095E-2</v>
      </c>
      <c r="O221" s="45"/>
      <c r="P221" s="85">
        <f>SUMPRODUCT(SUMIFS(RawTransportationData!$D:$D,RawTransportationData!$A:$A,Compare!$P$2,RawTransportationData!$B:$B,Compare!$D221:$F221))</f>
        <v>1251.8000000000002</v>
      </c>
      <c r="Q221" s="86">
        <f>SUMPRODUCT(SUMIFS(RawTransportationData!$G:$G,RawTransportationData!$A:$A,Compare!$P$2,RawTransportationData!$B:$B,Compare!$D221:$F221))</f>
        <v>294096.03000000003</v>
      </c>
      <c r="R221" s="32">
        <f t="shared" si="27"/>
        <v>234.93851254193959</v>
      </c>
      <c r="S221" s="32">
        <f>SUMPRODUCT(SUMIFS(RawTransportationData!$H:$H,RawTransportationData!$A:$A,Compare!$P$1,RawTransportationData!$B:$B,Compare!$D221:$F221))</f>
        <v>0</v>
      </c>
      <c r="T221" s="32">
        <f t="shared" si="28"/>
        <v>294096.03000000003</v>
      </c>
      <c r="U221" s="45"/>
      <c r="V221" s="85">
        <f>SUMPRODUCT(SUMIFS(RawTransportationData!$D:$D,RawTransportationData!$A:$A,Compare!$V$2,RawTransportationData!$B:$B,Compare!$D221:$F221))</f>
        <v>1279.1000000000001</v>
      </c>
      <c r="W221" s="86">
        <f>SUMPRODUCT(SUMIFS(RawTransportationData!$G:$G,RawTransportationData!$A:$A,Compare!$V$2,RawTransportationData!$B:$B,Compare!$D221:$F221))</f>
        <v>320524.92</v>
      </c>
      <c r="X221" s="32">
        <f t="shared" si="29"/>
        <v>250.58628723321081</v>
      </c>
      <c r="Y221" s="32">
        <f>SUMPRODUCT(SUMIFS(RawTransportationData!$H:$H,RawTransportationData!$A:$A,Compare!$V$1,RawTransportationData!$B:$B,Compare!$D221:$F221))</f>
        <v>0</v>
      </c>
      <c r="Z221" s="32">
        <f t="shared" si="30"/>
        <v>320524.92</v>
      </c>
    </row>
    <row r="222" spans="1:26" x14ac:dyDescent="0.55000000000000004">
      <c r="A222">
        <f>FinalPayment!A220</f>
        <v>2021</v>
      </c>
      <c r="B222" t="str">
        <f>FinalPayment!B220</f>
        <v>11</v>
      </c>
      <c r="C222" t="str">
        <f>FinalPayment!C220</f>
        <v>4878</v>
      </c>
      <c r="D222" t="str">
        <f>FinalPayment!D220</f>
        <v/>
      </c>
      <c r="E222" t="str">
        <f>FinalPayment!E220</f>
        <v/>
      </c>
      <c r="F222" t="str">
        <f>FinalPayment!F220</f>
        <v>4878</v>
      </c>
      <c r="G222" s="28" t="str">
        <f>FinalPayment!G220</f>
        <v>Ogden</v>
      </c>
      <c r="H222" s="85">
        <f>SUMPRODUCT(SUMIFS(RawTransportationData!$D:$D,RawTransportationData!$A:$A,Compare!$H$2,RawTransportationData!$B:$B,Compare!$D222:$F222))</f>
        <v>609.20000000000005</v>
      </c>
      <c r="I222" s="86">
        <f>SUMPRODUCT(SUMIFS(RawTransportationData!$G:$G,RawTransportationData!$A:$A,Compare!$H$2,RawTransportationData!$B:$B,Compare!$D222:$F222))</f>
        <v>223745.07</v>
      </c>
      <c r="J222" s="32">
        <f t="shared" si="31"/>
        <v>367.27687130663162</v>
      </c>
      <c r="K222" s="32">
        <f>SUMPRODUCT(SUMIFS(RawTransportationData!$H:$H,RawTransportationData!$A:$A,Compare!$E$1,RawTransportationData!$B:$B,Compare!$D222:$F222))</f>
        <v>12458</v>
      </c>
      <c r="L222" s="32">
        <f t="shared" si="24"/>
        <v>211287.07</v>
      </c>
      <c r="M222" s="70">
        <f t="shared" si="25"/>
        <v>7.3276007850971631E-2</v>
      </c>
      <c r="N222" s="70">
        <f t="shared" si="26"/>
        <v>-2.0722737868976073E-2</v>
      </c>
      <c r="O222" s="45"/>
      <c r="P222" s="85">
        <f>SUMPRODUCT(SUMIFS(RawTransportationData!$D:$D,RawTransportationData!$A:$A,Compare!$P$2,RawTransportationData!$B:$B,Compare!$D222:$F222))</f>
        <v>618</v>
      </c>
      <c r="Q222" s="86">
        <f>SUMPRODUCT(SUMIFS(RawTransportationData!$G:$G,RawTransportationData!$A:$A,Compare!$P$2,RawTransportationData!$B:$B,Compare!$D222:$F222))</f>
        <v>244975.65000000002</v>
      </c>
      <c r="R222" s="32">
        <f t="shared" si="27"/>
        <v>396.40072815533983</v>
      </c>
      <c r="S222" s="32">
        <f>SUMPRODUCT(SUMIFS(RawTransportationData!$H:$H,RawTransportationData!$A:$A,Compare!$P$1,RawTransportationData!$B:$B,Compare!$D222:$F222))</f>
        <v>9475</v>
      </c>
      <c r="T222" s="32">
        <f t="shared" si="28"/>
        <v>235500.65000000002</v>
      </c>
      <c r="U222" s="45"/>
      <c r="V222" s="85">
        <f>SUMPRODUCT(SUMIFS(RawTransportationData!$D:$D,RawTransportationData!$A:$A,Compare!$V$2,RawTransportationData!$B:$B,Compare!$D222:$F222))</f>
        <v>630.5</v>
      </c>
      <c r="W222" s="86">
        <f>SUMPRODUCT(SUMIFS(RawTransportationData!$G:$G,RawTransportationData!$A:$A,Compare!$V$2,RawTransportationData!$B:$B,Compare!$D222:$F222))</f>
        <v>215758.16999999998</v>
      </c>
      <c r="X222" s="32">
        <f t="shared" si="29"/>
        <v>342.20169706582072</v>
      </c>
      <c r="Y222" s="32">
        <f>SUMPRODUCT(SUMIFS(RawTransportationData!$H:$H,RawTransportationData!$A:$A,Compare!$V$1,RawTransportationData!$B:$B,Compare!$D222:$F222))</f>
        <v>0</v>
      </c>
      <c r="Z222" s="32">
        <f t="shared" si="30"/>
        <v>215758.16999999998</v>
      </c>
    </row>
    <row r="223" spans="1:26" x14ac:dyDescent="0.55000000000000004">
      <c r="A223">
        <f>FinalPayment!A221</f>
        <v>2021</v>
      </c>
      <c r="B223" t="str">
        <f>FinalPayment!B221</f>
        <v>05</v>
      </c>
      <c r="C223" t="str">
        <f>FinalPayment!C221</f>
        <v>4890</v>
      </c>
      <c r="D223" t="str">
        <f>FinalPayment!D221</f>
        <v/>
      </c>
      <c r="E223" t="str">
        <f>FinalPayment!E221</f>
        <v/>
      </c>
      <c r="F223" t="str">
        <f>FinalPayment!F221</f>
        <v>4890</v>
      </c>
      <c r="G223" s="28" t="str">
        <f>FinalPayment!G221</f>
        <v>Okoboji</v>
      </c>
      <c r="H223" s="85">
        <f>SUMPRODUCT(SUMIFS(RawTransportationData!$D:$D,RawTransportationData!$A:$A,Compare!$H$2,RawTransportationData!$B:$B,Compare!$D223:$F223))</f>
        <v>978.4</v>
      </c>
      <c r="I223" s="86">
        <f>SUMPRODUCT(SUMIFS(RawTransportationData!$G:$G,RawTransportationData!$A:$A,Compare!$H$2,RawTransportationData!$B:$B,Compare!$D223:$F223))</f>
        <v>335692.07999999996</v>
      </c>
      <c r="J223" s="32">
        <f t="shared" si="31"/>
        <v>343.10310711365491</v>
      </c>
      <c r="K223" s="32">
        <f>SUMPRODUCT(SUMIFS(RawTransportationData!$H:$H,RawTransportationData!$A:$A,Compare!$E$1,RawTransportationData!$B:$B,Compare!$D223:$F223))</f>
        <v>801</v>
      </c>
      <c r="L223" s="32">
        <f t="shared" si="24"/>
        <v>334891.07999999996</v>
      </c>
      <c r="M223" s="70">
        <f t="shared" si="25"/>
        <v>0.1142438920333048</v>
      </c>
      <c r="N223" s="70">
        <f t="shared" si="26"/>
        <v>0.11672136546281965</v>
      </c>
      <c r="O223" s="45"/>
      <c r="P223" s="85">
        <f>SUMPRODUCT(SUMIFS(RawTransportationData!$D:$D,RawTransportationData!$A:$A,Compare!$P$2,RawTransportationData!$B:$B,Compare!$D223:$F223))</f>
        <v>941.1</v>
      </c>
      <c r="Q223" s="86">
        <f>SUMPRODUCT(SUMIFS(RawTransportationData!$G:$G,RawTransportationData!$A:$A,Compare!$P$2,RawTransportationData!$B:$B,Compare!$D223:$F223))</f>
        <v>372676.09</v>
      </c>
      <c r="R223" s="32">
        <f t="shared" si="27"/>
        <v>396.00052066730422</v>
      </c>
      <c r="S223" s="32">
        <f>SUMPRODUCT(SUMIFS(RawTransportationData!$H:$H,RawTransportationData!$A:$A,Compare!$P$1,RawTransportationData!$B:$B,Compare!$D223:$F223))</f>
        <v>14053</v>
      </c>
      <c r="T223" s="32">
        <f t="shared" si="28"/>
        <v>358623.09</v>
      </c>
      <c r="U223" s="45"/>
      <c r="V223" s="85">
        <f>SUMPRODUCT(SUMIFS(RawTransportationData!$D:$D,RawTransportationData!$A:$A,Compare!$V$2,RawTransportationData!$B:$B,Compare!$D223:$F223))</f>
        <v>973.9</v>
      </c>
      <c r="W223" s="86">
        <f>SUMPRODUCT(SUMIFS(RawTransportationData!$G:$G,RawTransportationData!$A:$A,Compare!$V$2,RawTransportationData!$B:$B,Compare!$D223:$F223))</f>
        <v>299887.76999999996</v>
      </c>
      <c r="X223" s="32">
        <f t="shared" si="29"/>
        <v>307.92460211520688</v>
      </c>
      <c r="Y223" s="32">
        <f>SUMPRODUCT(SUMIFS(RawTransportationData!$H:$H,RawTransportationData!$A:$A,Compare!$V$1,RawTransportationData!$B:$B,Compare!$D223:$F223))</f>
        <v>0</v>
      </c>
      <c r="Z223" s="32">
        <f t="shared" si="30"/>
        <v>299887.76999999996</v>
      </c>
    </row>
    <row r="224" spans="1:26" x14ac:dyDescent="0.55000000000000004">
      <c r="A224">
        <f>FinalPayment!A222</f>
        <v>2021</v>
      </c>
      <c r="B224" t="str">
        <f>FinalPayment!B222</f>
        <v>10</v>
      </c>
      <c r="C224" t="str">
        <f>FinalPayment!C222</f>
        <v>4905</v>
      </c>
      <c r="D224" t="str">
        <f>FinalPayment!D222</f>
        <v/>
      </c>
      <c r="E224" t="str">
        <f>FinalPayment!E222</f>
        <v/>
      </c>
      <c r="F224" t="str">
        <f>FinalPayment!F222</f>
        <v>4905</v>
      </c>
      <c r="G224" s="28" t="str">
        <f>FinalPayment!G222</f>
        <v>Olin</v>
      </c>
      <c r="H224" s="85">
        <f>SUMPRODUCT(SUMIFS(RawTransportationData!$D:$D,RawTransportationData!$A:$A,Compare!$H$2,RawTransportationData!$B:$B,Compare!$D224:$F224))</f>
        <v>212</v>
      </c>
      <c r="I224" s="86">
        <f>SUMPRODUCT(SUMIFS(RawTransportationData!$G:$G,RawTransportationData!$A:$A,Compare!$H$2,RawTransportationData!$B:$B,Compare!$D224:$F224))</f>
        <v>147804.53</v>
      </c>
      <c r="J224" s="32">
        <f t="shared" si="31"/>
        <v>697.19117924528302</v>
      </c>
      <c r="K224" s="32">
        <f>SUMPRODUCT(SUMIFS(RawTransportationData!$H:$H,RawTransportationData!$A:$A,Compare!$E$1,RawTransportationData!$B:$B,Compare!$D224:$F224))</f>
        <v>74276</v>
      </c>
      <c r="L224" s="32">
        <f t="shared" si="24"/>
        <v>73528.53</v>
      </c>
      <c r="M224" s="70">
        <f t="shared" si="25"/>
        <v>-7.3960672213614465E-2</v>
      </c>
      <c r="N224" s="70">
        <f t="shared" si="26"/>
        <v>-0.1874814836997438</v>
      </c>
      <c r="O224" s="45"/>
      <c r="P224" s="85">
        <f>SUMPRODUCT(SUMIFS(RawTransportationData!$D:$D,RawTransportationData!$A:$A,Compare!$P$2,RawTransportationData!$B:$B,Compare!$D224:$F224))</f>
        <v>206</v>
      </c>
      <c r="Q224" s="86">
        <f>SUMPRODUCT(SUMIFS(RawTransportationData!$G:$G,RawTransportationData!$A:$A,Compare!$P$2,RawTransportationData!$B:$B,Compare!$D224:$F224))</f>
        <v>246112.96</v>
      </c>
      <c r="R224" s="32">
        <f t="shared" si="27"/>
        <v>1194.7231067961166</v>
      </c>
      <c r="S224" s="32">
        <f>SUMPRODUCT(SUMIFS(RawTransportationData!$H:$H,RawTransportationData!$A:$A,Compare!$P$1,RawTransportationData!$B:$B,Compare!$D224:$F224))</f>
        <v>167612</v>
      </c>
      <c r="T224" s="32">
        <f t="shared" si="28"/>
        <v>78500.959999999992</v>
      </c>
      <c r="U224" s="45"/>
      <c r="V224" s="85">
        <f>SUMPRODUCT(SUMIFS(RawTransportationData!$D:$D,RawTransportationData!$A:$A,Compare!$V$2,RawTransportationData!$B:$B,Compare!$D224:$F224))</f>
        <v>218</v>
      </c>
      <c r="W224" s="86">
        <f>SUMPRODUCT(SUMIFS(RawTransportationData!$G:$G,RawTransportationData!$A:$A,Compare!$V$2,RawTransportationData!$B:$B,Compare!$D224:$F224))</f>
        <v>164126.59</v>
      </c>
      <c r="X224" s="32">
        <f t="shared" si="29"/>
        <v>752.87426605504584</v>
      </c>
      <c r="Y224" s="32">
        <f>SUMPRODUCT(SUMIFS(RawTransportationData!$H:$H,RawTransportationData!$A:$A,Compare!$V$1,RawTransportationData!$B:$B,Compare!$D224:$F224))</f>
        <v>73632</v>
      </c>
      <c r="Z224" s="32">
        <f t="shared" si="30"/>
        <v>90494.59</v>
      </c>
    </row>
    <row r="225" spans="1:26" x14ac:dyDescent="0.55000000000000004">
      <c r="A225">
        <f>FinalPayment!A223</f>
        <v>2021</v>
      </c>
      <c r="B225" t="str">
        <f>FinalPayment!B223</f>
        <v>13</v>
      </c>
      <c r="C225" t="str">
        <f>FinalPayment!C223</f>
        <v>4978</v>
      </c>
      <c r="D225" t="str">
        <f>FinalPayment!D223</f>
        <v/>
      </c>
      <c r="E225" t="str">
        <f>FinalPayment!E223</f>
        <v/>
      </c>
      <c r="F225" t="str">
        <f>FinalPayment!F223</f>
        <v>4978</v>
      </c>
      <c r="G225" s="28" t="str">
        <f>FinalPayment!G223</f>
        <v>Orient-Macksburg</v>
      </c>
      <c r="H225" s="85">
        <f>SUMPRODUCT(SUMIFS(RawTransportationData!$D:$D,RawTransportationData!$A:$A,Compare!$H$2,RawTransportationData!$B:$B,Compare!$D225:$F225))</f>
        <v>190.3</v>
      </c>
      <c r="I225" s="86">
        <f>SUMPRODUCT(SUMIFS(RawTransportationData!$G:$G,RawTransportationData!$A:$A,Compare!$H$2,RawTransportationData!$B:$B,Compare!$D225:$F225))</f>
        <v>98322.180000000008</v>
      </c>
      <c r="J225" s="32">
        <f t="shared" si="31"/>
        <v>516.66936416184967</v>
      </c>
      <c r="K225" s="32">
        <f>SUMPRODUCT(SUMIFS(RawTransportationData!$H:$H,RawTransportationData!$A:$A,Compare!$E$1,RawTransportationData!$B:$B,Compare!$D225:$F225))</f>
        <v>32321</v>
      </c>
      <c r="L225" s="32">
        <f t="shared" si="24"/>
        <v>66001.180000000008</v>
      </c>
      <c r="M225" s="70">
        <f t="shared" si="25"/>
        <v>0.59702577909860188</v>
      </c>
      <c r="N225" s="70">
        <f t="shared" si="26"/>
        <v>6.2550762052611855E-2</v>
      </c>
      <c r="O225" s="45"/>
      <c r="P225" s="85">
        <f>SUMPRODUCT(SUMIFS(RawTransportationData!$D:$D,RawTransportationData!$A:$A,Compare!$P$2,RawTransportationData!$B:$B,Compare!$D225:$F225))</f>
        <v>191.3</v>
      </c>
      <c r="Q225" s="86">
        <f>SUMPRODUCT(SUMIFS(RawTransportationData!$G:$G,RawTransportationData!$A:$A,Compare!$P$2,RawTransportationData!$B:$B,Compare!$D225:$F225))</f>
        <v>71469.25</v>
      </c>
      <c r="R225" s="32">
        <f t="shared" si="27"/>
        <v>373.59775222164137</v>
      </c>
      <c r="S225" s="32">
        <f>SUMPRODUCT(SUMIFS(RawTransportationData!$H:$H,RawTransportationData!$A:$A,Compare!$P$1,RawTransportationData!$B:$B,Compare!$D225:$F225))</f>
        <v>0</v>
      </c>
      <c r="T225" s="32">
        <f t="shared" si="28"/>
        <v>71469.25</v>
      </c>
      <c r="U225" s="45"/>
      <c r="V225" s="85">
        <f>SUMPRODUCT(SUMIFS(RawTransportationData!$D:$D,RawTransportationData!$A:$A,Compare!$V$2,RawTransportationData!$B:$B,Compare!$D225:$F225))</f>
        <v>192</v>
      </c>
      <c r="W225" s="86">
        <f>SUMPRODUCT(SUMIFS(RawTransportationData!$G:$G,RawTransportationData!$A:$A,Compare!$V$2,RawTransportationData!$B:$B,Compare!$D225:$F225))</f>
        <v>62115.79</v>
      </c>
      <c r="X225" s="32">
        <f t="shared" si="29"/>
        <v>323.51973958333332</v>
      </c>
      <c r="Y225" s="32">
        <f>SUMPRODUCT(SUMIFS(RawTransportationData!$H:$H,RawTransportationData!$A:$A,Compare!$V$1,RawTransportationData!$B:$B,Compare!$D225:$F225))</f>
        <v>0</v>
      </c>
      <c r="Z225" s="32">
        <f t="shared" si="30"/>
        <v>62115.79</v>
      </c>
    </row>
    <row r="226" spans="1:26" x14ac:dyDescent="0.55000000000000004">
      <c r="A226">
        <f>FinalPayment!A224</f>
        <v>2021</v>
      </c>
      <c r="B226" t="str">
        <f>FinalPayment!B224</f>
        <v>07</v>
      </c>
      <c r="C226" t="str">
        <f>FinalPayment!C224</f>
        <v>4995</v>
      </c>
      <c r="D226" t="str">
        <f>FinalPayment!D224</f>
        <v/>
      </c>
      <c r="E226" t="str">
        <f>FinalPayment!E224</f>
        <v/>
      </c>
      <c r="F226" t="str">
        <f>FinalPayment!F224</f>
        <v>4995</v>
      </c>
      <c r="G226" s="28" t="str">
        <f>FinalPayment!G224</f>
        <v>Osage</v>
      </c>
      <c r="H226" s="85">
        <f>SUMPRODUCT(SUMIFS(RawTransportationData!$D:$D,RawTransportationData!$A:$A,Compare!$H$2,RawTransportationData!$B:$B,Compare!$D226:$F226))</f>
        <v>918.7</v>
      </c>
      <c r="I226" s="86">
        <f>SUMPRODUCT(SUMIFS(RawTransportationData!$G:$G,RawTransportationData!$A:$A,Compare!$H$2,RawTransportationData!$B:$B,Compare!$D226:$F226))</f>
        <v>501219.01999999996</v>
      </c>
      <c r="J226" s="32">
        <f t="shared" si="31"/>
        <v>545.57420267769669</v>
      </c>
      <c r="K226" s="32">
        <f>SUMPRODUCT(SUMIFS(RawTransportationData!$H:$H,RawTransportationData!$A:$A,Compare!$E$1,RawTransportationData!$B:$B,Compare!$D226:$F226))</f>
        <v>182581</v>
      </c>
      <c r="L226" s="32">
        <f t="shared" si="24"/>
        <v>318638.01999999996</v>
      </c>
      <c r="M226" s="70">
        <f t="shared" si="25"/>
        <v>0.65639787967274177</v>
      </c>
      <c r="N226" s="70">
        <f t="shared" si="26"/>
        <v>5.0956259379885738E-2</v>
      </c>
      <c r="O226" s="45"/>
      <c r="P226" s="85">
        <f>SUMPRODUCT(SUMIFS(RawTransportationData!$D:$D,RawTransportationData!$A:$A,Compare!$P$2,RawTransportationData!$B:$B,Compare!$D226:$F226))</f>
        <v>899.4</v>
      </c>
      <c r="Q226" s="86">
        <f>SUMPRODUCT(SUMIFS(RawTransportationData!$G:$G,RawTransportationData!$A:$A,Compare!$P$2,RawTransportationData!$B:$B,Compare!$D226:$F226))</f>
        <v>380440.31</v>
      </c>
      <c r="R226" s="32">
        <f t="shared" si="27"/>
        <v>422.99345118968199</v>
      </c>
      <c r="S226" s="32">
        <f>SUMPRODUCT(SUMIFS(RawTransportationData!$H:$H,RawTransportationData!$A:$A,Compare!$P$1,RawTransportationData!$B:$B,Compare!$D226:$F226))</f>
        <v>37705</v>
      </c>
      <c r="T226" s="32">
        <f t="shared" si="28"/>
        <v>342735.31</v>
      </c>
      <c r="U226" s="45"/>
      <c r="V226" s="85">
        <f>SUMPRODUCT(SUMIFS(RawTransportationData!$D:$D,RawTransportationData!$A:$A,Compare!$V$2,RawTransportationData!$B:$B,Compare!$D226:$F226))</f>
        <v>920.5</v>
      </c>
      <c r="W226" s="86">
        <f>SUMPRODUCT(SUMIFS(RawTransportationData!$G:$G,RawTransportationData!$A:$A,Compare!$V$2,RawTransportationData!$B:$B,Compare!$D226:$F226))</f>
        <v>303188.65999999997</v>
      </c>
      <c r="X226" s="32">
        <f t="shared" si="29"/>
        <v>329.37388375882671</v>
      </c>
      <c r="Y226" s="32">
        <f>SUMPRODUCT(SUMIFS(RawTransportationData!$H:$H,RawTransportationData!$A:$A,Compare!$V$1,RawTransportationData!$B:$B,Compare!$D226:$F226))</f>
        <v>0</v>
      </c>
      <c r="Z226" s="32">
        <f t="shared" si="30"/>
        <v>303188.65999999997</v>
      </c>
    </row>
    <row r="227" spans="1:26" x14ac:dyDescent="0.55000000000000004">
      <c r="A227">
        <f>FinalPayment!A225</f>
        <v>2021</v>
      </c>
      <c r="B227" t="str">
        <f>FinalPayment!B225</f>
        <v>15</v>
      </c>
      <c r="C227" t="str">
        <f>FinalPayment!C225</f>
        <v>5013</v>
      </c>
      <c r="D227" t="str">
        <f>FinalPayment!D225</f>
        <v/>
      </c>
      <c r="E227" t="str">
        <f>FinalPayment!E225</f>
        <v/>
      </c>
      <c r="F227" t="str">
        <f>FinalPayment!F225</f>
        <v>5013</v>
      </c>
      <c r="G227" s="28" t="str">
        <f>FinalPayment!G225</f>
        <v>Oskaloosa</v>
      </c>
      <c r="H227" s="85">
        <f>SUMPRODUCT(SUMIFS(RawTransportationData!$D:$D,RawTransportationData!$A:$A,Compare!$H$2,RawTransportationData!$B:$B,Compare!$D227:$F227))</f>
        <v>2328.5</v>
      </c>
      <c r="I227" s="86">
        <f>SUMPRODUCT(SUMIFS(RawTransportationData!$G:$G,RawTransportationData!$A:$A,Compare!$H$2,RawTransportationData!$B:$B,Compare!$D227:$F227))</f>
        <v>865987.08000000007</v>
      </c>
      <c r="J227" s="32">
        <f t="shared" si="31"/>
        <v>371.9077002362036</v>
      </c>
      <c r="K227" s="32">
        <f>SUMPRODUCT(SUMIFS(RawTransportationData!$H:$H,RawTransportationData!$A:$A,Compare!$E$1,RawTransportationData!$B:$B,Compare!$D227:$F227))</f>
        <v>58395</v>
      </c>
      <c r="L227" s="32">
        <f t="shared" si="24"/>
        <v>807592.08000000007</v>
      </c>
      <c r="M227" s="70">
        <f t="shared" si="25"/>
        <v>0.23773516843823311</v>
      </c>
      <c r="N227" s="70">
        <f t="shared" si="26"/>
        <v>0.13636210198600937</v>
      </c>
      <c r="O227" s="45"/>
      <c r="P227" s="85">
        <f>SUMPRODUCT(SUMIFS(RawTransportationData!$D:$D,RawTransportationData!$A:$A,Compare!$P$2,RawTransportationData!$B:$B,Compare!$D227:$F227))</f>
        <v>2361.3000000000002</v>
      </c>
      <c r="Q227" s="86">
        <f>SUMPRODUCT(SUMIFS(RawTransportationData!$G:$G,RawTransportationData!$A:$A,Compare!$P$2,RawTransportationData!$B:$B,Compare!$D227:$F227))</f>
        <v>789025.83</v>
      </c>
      <c r="R227" s="32">
        <f t="shared" si="27"/>
        <v>334.14891373396006</v>
      </c>
      <c r="S227" s="32">
        <f>SUMPRODUCT(SUMIFS(RawTransportationData!$H:$H,RawTransportationData!$A:$A,Compare!$P$1,RawTransportationData!$B:$B,Compare!$D227:$F227))</f>
        <v>0</v>
      </c>
      <c r="T227" s="32">
        <f t="shared" si="28"/>
        <v>789025.83</v>
      </c>
      <c r="U227" s="45"/>
      <c r="V227" s="85">
        <f>SUMPRODUCT(SUMIFS(RawTransportationData!$D:$D,RawTransportationData!$A:$A,Compare!$V$2,RawTransportationData!$B:$B,Compare!$D227:$F227))</f>
        <v>2365.1999999999998</v>
      </c>
      <c r="W227" s="86">
        <f>SUMPRODUCT(SUMIFS(RawTransportationData!$G:$G,RawTransportationData!$A:$A,Compare!$V$2,RawTransportationData!$B:$B,Compare!$D227:$F227))</f>
        <v>710681.99</v>
      </c>
      <c r="X227" s="32">
        <f t="shared" si="29"/>
        <v>300.47437426010487</v>
      </c>
      <c r="Y227" s="32">
        <f>SUMPRODUCT(SUMIFS(RawTransportationData!$H:$H,RawTransportationData!$A:$A,Compare!$V$1,RawTransportationData!$B:$B,Compare!$D227:$F227))</f>
        <v>0</v>
      </c>
      <c r="Z227" s="32">
        <f t="shared" si="30"/>
        <v>710681.99</v>
      </c>
    </row>
    <row r="228" spans="1:26" x14ac:dyDescent="0.55000000000000004">
      <c r="A228">
        <f>FinalPayment!A226</f>
        <v>2021</v>
      </c>
      <c r="B228" t="str">
        <f>FinalPayment!B226</f>
        <v>15</v>
      </c>
      <c r="C228" t="str">
        <f>FinalPayment!C226</f>
        <v>5049</v>
      </c>
      <c r="D228" t="str">
        <f>FinalPayment!D226</f>
        <v/>
      </c>
      <c r="E228" t="str">
        <f>FinalPayment!E226</f>
        <v/>
      </c>
      <c r="F228" t="str">
        <f>FinalPayment!F226</f>
        <v>5049</v>
      </c>
      <c r="G228" s="28" t="str">
        <f>FinalPayment!G226</f>
        <v>Ottumwa</v>
      </c>
      <c r="H228" s="85">
        <f>SUMPRODUCT(SUMIFS(RawTransportationData!$D:$D,RawTransportationData!$A:$A,Compare!$H$2,RawTransportationData!$B:$B,Compare!$D228:$F228))</f>
        <v>4655</v>
      </c>
      <c r="I228" s="86">
        <f>SUMPRODUCT(SUMIFS(RawTransportationData!$G:$G,RawTransportationData!$A:$A,Compare!$H$2,RawTransportationData!$B:$B,Compare!$D228:$F228))</f>
        <v>1411533.7</v>
      </c>
      <c r="J228" s="32">
        <f t="shared" si="31"/>
        <v>303.22958109559613</v>
      </c>
      <c r="K228" s="32">
        <f>SUMPRODUCT(SUMIFS(RawTransportationData!$H:$H,RawTransportationData!$A:$A,Compare!$E$1,RawTransportationData!$B:$B,Compare!$D228:$F228))</f>
        <v>3810</v>
      </c>
      <c r="L228" s="32">
        <f t="shared" si="24"/>
        <v>1407723.7</v>
      </c>
      <c r="M228" s="70">
        <f t="shared" si="25"/>
        <v>0.23682063974322917</v>
      </c>
      <c r="N228" s="70">
        <f t="shared" si="26"/>
        <v>0.23661693480650683</v>
      </c>
      <c r="O228" s="45"/>
      <c r="P228" s="85">
        <f>SUMPRODUCT(SUMIFS(RawTransportationData!$D:$D,RawTransportationData!$A:$A,Compare!$P$2,RawTransportationData!$B:$B,Compare!$D228:$F228))</f>
        <v>4610.5</v>
      </c>
      <c r="Q228" s="86">
        <f>SUMPRODUCT(SUMIFS(RawTransportationData!$G:$G,RawTransportationData!$A:$A,Compare!$P$2,RawTransportationData!$B:$B,Compare!$D228:$F228))</f>
        <v>1263806.28</v>
      </c>
      <c r="R228" s="32">
        <f t="shared" si="27"/>
        <v>274.11479882876046</v>
      </c>
      <c r="S228" s="32">
        <f>SUMPRODUCT(SUMIFS(RawTransportationData!$H:$H,RawTransportationData!$A:$A,Compare!$P$1,RawTransportationData!$B:$B,Compare!$D228:$F228))</f>
        <v>0</v>
      </c>
      <c r="T228" s="32">
        <f t="shared" si="28"/>
        <v>1263806.28</v>
      </c>
      <c r="U228" s="45"/>
      <c r="V228" s="85">
        <f>SUMPRODUCT(SUMIFS(RawTransportationData!$D:$D,RawTransportationData!$A:$A,Compare!$V$2,RawTransportationData!$B:$B,Compare!$D228:$F228))</f>
        <v>4643.2</v>
      </c>
      <c r="W228" s="86">
        <f>SUMPRODUCT(SUMIFS(RawTransportationData!$G:$G,RawTransportationData!$A:$A,Compare!$V$2,RawTransportationData!$B:$B,Compare!$D228:$F228))</f>
        <v>1138366.83</v>
      </c>
      <c r="X228" s="32">
        <f t="shared" si="29"/>
        <v>245.16859708821505</v>
      </c>
      <c r="Y228" s="32">
        <f>SUMPRODUCT(SUMIFS(RawTransportationData!$H:$H,RawTransportationData!$A:$A,Compare!$V$1,RawTransportationData!$B:$B,Compare!$D228:$F228))</f>
        <v>0</v>
      </c>
      <c r="Z228" s="32">
        <f t="shared" si="30"/>
        <v>1138366.83</v>
      </c>
    </row>
    <row r="229" spans="1:26" x14ac:dyDescent="0.55000000000000004">
      <c r="A229">
        <f>FinalPayment!A227</f>
        <v>2021</v>
      </c>
      <c r="B229" t="str">
        <f>FinalPayment!B227</f>
        <v>11</v>
      </c>
      <c r="C229" t="str">
        <f>FinalPayment!C227</f>
        <v>5121</v>
      </c>
      <c r="D229" t="str">
        <f>FinalPayment!D227</f>
        <v/>
      </c>
      <c r="E229" t="str">
        <f>FinalPayment!E227</f>
        <v/>
      </c>
      <c r="F229" t="str">
        <f>FinalPayment!F227</f>
        <v>5121</v>
      </c>
      <c r="G229" s="28" t="str">
        <f>FinalPayment!G227</f>
        <v>Panorama</v>
      </c>
      <c r="H229" s="85">
        <f>SUMPRODUCT(SUMIFS(RawTransportationData!$D:$D,RawTransportationData!$A:$A,Compare!$H$2,RawTransportationData!$B:$B,Compare!$D229:$F229))</f>
        <v>696.9</v>
      </c>
      <c r="I229" s="86">
        <f>SUMPRODUCT(SUMIFS(RawTransportationData!$G:$G,RawTransportationData!$A:$A,Compare!$H$2,RawTransportationData!$B:$B,Compare!$D229:$F229))</f>
        <v>353410.25</v>
      </c>
      <c r="J229" s="32">
        <f t="shared" si="31"/>
        <v>507.11759219400204</v>
      </c>
      <c r="K229" s="32">
        <f>SUMPRODUCT(SUMIFS(RawTransportationData!$H:$H,RawTransportationData!$A:$A,Compare!$E$1,RawTransportationData!$B:$B,Compare!$D229:$F229))</f>
        <v>111705</v>
      </c>
      <c r="L229" s="32">
        <f t="shared" si="24"/>
        <v>241705.25</v>
      </c>
      <c r="M229" s="70">
        <f t="shared" si="25"/>
        <v>6.1720789914867513E-2</v>
      </c>
      <c r="N229" s="70">
        <f t="shared" si="26"/>
        <v>-0.19452820939545601</v>
      </c>
      <c r="O229" s="45"/>
      <c r="P229" s="85">
        <f>SUMPRODUCT(SUMIFS(RawTransportationData!$D:$D,RawTransportationData!$A:$A,Compare!$P$2,RawTransportationData!$B:$B,Compare!$D229:$F229))</f>
        <v>705.9</v>
      </c>
      <c r="Q229" s="86">
        <f>SUMPRODUCT(SUMIFS(RawTransportationData!$G:$G,RawTransportationData!$A:$A,Compare!$P$2,RawTransportationData!$B:$B,Compare!$D229:$F229))</f>
        <v>334521.38</v>
      </c>
      <c r="R229" s="32">
        <f t="shared" si="27"/>
        <v>473.8934409973084</v>
      </c>
      <c r="S229" s="32">
        <f>SUMPRODUCT(SUMIFS(RawTransportationData!$H:$H,RawTransportationData!$A:$A,Compare!$P$1,RawTransportationData!$B:$B,Compare!$D229:$F229))</f>
        <v>65523</v>
      </c>
      <c r="T229" s="32">
        <f t="shared" si="28"/>
        <v>268998.38</v>
      </c>
      <c r="U229" s="45"/>
      <c r="V229" s="85">
        <f>SUMPRODUCT(SUMIFS(RawTransportationData!$D:$D,RawTransportationData!$A:$A,Compare!$V$2,RawTransportationData!$B:$B,Compare!$D229:$F229))</f>
        <v>722.9</v>
      </c>
      <c r="W229" s="86">
        <f>SUMPRODUCT(SUMIFS(RawTransportationData!$G:$G,RawTransportationData!$A:$A,Compare!$V$2,RawTransportationData!$B:$B,Compare!$D229:$F229))</f>
        <v>345284.1</v>
      </c>
      <c r="X229" s="32">
        <f t="shared" si="29"/>
        <v>477.63743256328672</v>
      </c>
      <c r="Y229" s="32">
        <f>SUMPRODUCT(SUMIFS(RawTransportationData!$H:$H,RawTransportationData!$A:$A,Compare!$V$1,RawTransportationData!$B:$B,Compare!$D229:$F229))</f>
        <v>45205</v>
      </c>
      <c r="Z229" s="32">
        <f t="shared" si="30"/>
        <v>300079.09999999998</v>
      </c>
    </row>
    <row r="230" spans="1:26" x14ac:dyDescent="0.55000000000000004">
      <c r="A230">
        <f>FinalPayment!A228</f>
        <v>2021</v>
      </c>
      <c r="B230" t="str">
        <f>FinalPayment!B228</f>
        <v>05</v>
      </c>
      <c r="C230" t="str">
        <f>FinalPayment!C228</f>
        <v>5139</v>
      </c>
      <c r="D230" t="str">
        <f>FinalPayment!D228</f>
        <v/>
      </c>
      <c r="E230" t="str">
        <f>FinalPayment!E228</f>
        <v/>
      </c>
      <c r="F230" t="str">
        <f>FinalPayment!F228</f>
        <v>5139</v>
      </c>
      <c r="G230" s="28" t="str">
        <f>FinalPayment!G228</f>
        <v>Paton-Churdan</v>
      </c>
      <c r="H230" s="85">
        <f>SUMPRODUCT(SUMIFS(RawTransportationData!$D:$D,RawTransportationData!$A:$A,Compare!$H$2,RawTransportationData!$B:$B,Compare!$D230:$F230))</f>
        <v>211.7</v>
      </c>
      <c r="I230" s="86">
        <f>SUMPRODUCT(SUMIFS(RawTransportationData!$G:$G,RawTransportationData!$A:$A,Compare!$H$2,RawTransportationData!$B:$B,Compare!$D230:$F230))</f>
        <v>165652.95000000001</v>
      </c>
      <c r="J230" s="32">
        <f t="shared" si="31"/>
        <v>782.48913556920184</v>
      </c>
      <c r="K230" s="32">
        <f>SUMPRODUCT(SUMIFS(RawTransportationData!$H:$H,RawTransportationData!$A:$A,Compare!$E$1,RawTransportationData!$B:$B,Compare!$D230:$F230))</f>
        <v>92229</v>
      </c>
      <c r="L230" s="32">
        <f t="shared" si="24"/>
        <v>73423.950000000012</v>
      </c>
      <c r="M230" s="70">
        <f t="shared" si="25"/>
        <v>-9.5990706224549541E-2</v>
      </c>
      <c r="N230" s="70">
        <f t="shared" si="26"/>
        <v>-8.964843871079714E-2</v>
      </c>
      <c r="O230" s="45"/>
      <c r="P230" s="85">
        <f>SUMPRODUCT(SUMIFS(RawTransportationData!$D:$D,RawTransportationData!$A:$A,Compare!$P$2,RawTransportationData!$B:$B,Compare!$D230:$F230))</f>
        <v>208.3</v>
      </c>
      <c r="Q230" s="86">
        <f>SUMPRODUCT(SUMIFS(RawTransportationData!$G:$G,RawTransportationData!$A:$A,Compare!$P$2,RawTransportationData!$B:$B,Compare!$D230:$F230))</f>
        <v>173700.92</v>
      </c>
      <c r="R230" s="32">
        <f t="shared" si="27"/>
        <v>833.89783965434469</v>
      </c>
      <c r="S230" s="32">
        <f>SUMPRODUCT(SUMIFS(RawTransportationData!$H:$H,RawTransportationData!$A:$A,Compare!$P$1,RawTransportationData!$B:$B,Compare!$D230:$F230))</f>
        <v>94325</v>
      </c>
      <c r="T230" s="32">
        <f t="shared" si="28"/>
        <v>79375.920000000013</v>
      </c>
      <c r="U230" s="45"/>
      <c r="V230" s="85">
        <f>SUMPRODUCT(SUMIFS(RawTransportationData!$D:$D,RawTransportationData!$A:$A,Compare!$V$2,RawTransportationData!$B:$B,Compare!$D230:$F230))</f>
        <v>194.3</v>
      </c>
      <c r="W230" s="86">
        <f>SUMPRODUCT(SUMIFS(RawTransportationData!$G:$G,RawTransportationData!$A:$A,Compare!$V$2,RawTransportationData!$B:$B,Compare!$D230:$F230))</f>
        <v>168181.5</v>
      </c>
      <c r="X230" s="32">
        <f t="shared" si="29"/>
        <v>865.57642820380852</v>
      </c>
      <c r="Y230" s="32">
        <f>SUMPRODUCT(SUMIFS(RawTransportationData!$H:$H,RawTransportationData!$A:$A,Compare!$V$1,RawTransportationData!$B:$B,Compare!$D230:$F230))</f>
        <v>87527</v>
      </c>
      <c r="Z230" s="32">
        <f t="shared" si="30"/>
        <v>80654.5</v>
      </c>
    </row>
    <row r="231" spans="1:26" x14ac:dyDescent="0.55000000000000004">
      <c r="A231">
        <f>FinalPayment!A229</f>
        <v>2021</v>
      </c>
      <c r="B231" t="str">
        <f>FinalPayment!B229</f>
        <v>11</v>
      </c>
      <c r="C231" t="str">
        <f>FinalPayment!C229</f>
        <v>5319</v>
      </c>
      <c r="D231" t="str">
        <f>FinalPayment!D229</f>
        <v/>
      </c>
      <c r="E231" t="str">
        <f>FinalPayment!E229</f>
        <v/>
      </c>
      <c r="F231" t="str">
        <f>FinalPayment!F229</f>
        <v>5160</v>
      </c>
      <c r="G231" s="28" t="str">
        <f>FinalPayment!G229</f>
        <v>PCM</v>
      </c>
      <c r="H231" s="85">
        <f>SUMPRODUCT(SUMIFS(RawTransportationData!$D:$D,RawTransportationData!$A:$A,Compare!$H$2,RawTransportationData!$B:$B,Compare!$D231:$F231))</f>
        <v>1070.9000000000001</v>
      </c>
      <c r="I231" s="86">
        <f>SUMPRODUCT(SUMIFS(RawTransportationData!$G:$G,RawTransportationData!$A:$A,Compare!$H$2,RawTransportationData!$B:$B,Compare!$D231:$F231))</f>
        <v>413314.43</v>
      </c>
      <c r="J231" s="32">
        <f t="shared" si="31"/>
        <v>385.95053693155285</v>
      </c>
      <c r="K231" s="32">
        <f>SUMPRODUCT(SUMIFS(RawTransportationData!$H:$H,RawTransportationData!$A:$A,Compare!$E$1,RawTransportationData!$B:$B,Compare!$D231:$F231))</f>
        <v>41892</v>
      </c>
      <c r="L231" s="32">
        <f t="shared" si="24"/>
        <v>371422.43</v>
      </c>
      <c r="M231" s="70">
        <f t="shared" si="25"/>
        <v>0.23749082459212426</v>
      </c>
      <c r="N231" s="70">
        <f t="shared" si="26"/>
        <v>0.13766592677923151</v>
      </c>
      <c r="O231" s="45"/>
      <c r="P231" s="85">
        <f>SUMPRODUCT(SUMIFS(RawTransportationData!$D:$D,RawTransportationData!$A:$A,Compare!$P$2,RawTransportationData!$B:$B,Compare!$D231:$F231))</f>
        <v>1043.8</v>
      </c>
      <c r="Q231" s="86">
        <f>SUMPRODUCT(SUMIFS(RawTransportationData!$G:$G,RawTransportationData!$A:$A,Compare!$P$2,RawTransportationData!$B:$B,Compare!$D231:$F231))</f>
        <v>364437.53</v>
      </c>
      <c r="R231" s="32">
        <f t="shared" si="27"/>
        <v>349.14497988120331</v>
      </c>
      <c r="S231" s="32">
        <f>SUMPRODUCT(SUMIFS(RawTransportationData!$H:$H,RawTransportationData!$A:$A,Compare!$P$1,RawTransportationData!$B:$B,Compare!$D231:$F231))</f>
        <v>0</v>
      </c>
      <c r="T231" s="32">
        <f t="shared" si="28"/>
        <v>364437.53</v>
      </c>
      <c r="U231" s="45"/>
      <c r="V231" s="85">
        <f>SUMPRODUCT(SUMIFS(RawTransportationData!$D:$D,RawTransportationData!$A:$A,Compare!$V$2,RawTransportationData!$B:$B,Compare!$D231:$F231))</f>
        <v>1046.8</v>
      </c>
      <c r="W231" s="86">
        <f>SUMPRODUCT(SUMIFS(RawTransportationData!$G:$G,RawTransportationData!$A:$A,Compare!$V$2,RawTransportationData!$B:$B,Compare!$D231:$F231))</f>
        <v>326477.59000000003</v>
      </c>
      <c r="X231" s="32">
        <f t="shared" si="29"/>
        <v>311.88153419946508</v>
      </c>
      <c r="Y231" s="32">
        <f>SUMPRODUCT(SUMIFS(RawTransportationData!$H:$H,RawTransportationData!$A:$A,Compare!$V$1,RawTransportationData!$B:$B,Compare!$D231:$F231))</f>
        <v>0</v>
      </c>
      <c r="Z231" s="32">
        <f t="shared" si="30"/>
        <v>326477.59000000003</v>
      </c>
    </row>
    <row r="232" spans="1:26" x14ac:dyDescent="0.55000000000000004">
      <c r="A232">
        <f>FinalPayment!A230</f>
        <v>2021</v>
      </c>
      <c r="B232" t="str">
        <f>FinalPayment!B230</f>
        <v>15</v>
      </c>
      <c r="C232" t="str">
        <f>FinalPayment!C230</f>
        <v>5163</v>
      </c>
      <c r="D232" t="str">
        <f>FinalPayment!D230</f>
        <v/>
      </c>
      <c r="E232" t="str">
        <f>FinalPayment!E230</f>
        <v/>
      </c>
      <c r="F232" t="str">
        <f>FinalPayment!F230</f>
        <v>5163</v>
      </c>
      <c r="G232" s="28" t="str">
        <f>FinalPayment!G230</f>
        <v>Pekin</v>
      </c>
      <c r="H232" s="85">
        <f>SUMPRODUCT(SUMIFS(RawTransportationData!$D:$D,RawTransportationData!$A:$A,Compare!$H$2,RawTransportationData!$B:$B,Compare!$D232:$F232))</f>
        <v>598.29999999999995</v>
      </c>
      <c r="I232" s="86">
        <f>SUMPRODUCT(SUMIFS(RawTransportationData!$G:$G,RawTransportationData!$A:$A,Compare!$H$2,RawTransportationData!$B:$B,Compare!$D232:$F232))</f>
        <v>459517.06</v>
      </c>
      <c r="J232" s="32">
        <f t="shared" si="31"/>
        <v>768.03787397626616</v>
      </c>
      <c r="K232" s="32">
        <f>SUMPRODUCT(SUMIFS(RawTransportationData!$H:$H,RawTransportationData!$A:$A,Compare!$E$1,RawTransportationData!$B:$B,Compare!$D232:$F232))</f>
        <v>252009</v>
      </c>
      <c r="L232" s="32">
        <f t="shared" si="24"/>
        <v>207508.06</v>
      </c>
      <c r="M232" s="70">
        <f t="shared" si="25"/>
        <v>0.26289628310086965</v>
      </c>
      <c r="N232" s="70">
        <f t="shared" si="26"/>
        <v>-0.18782260292314576</v>
      </c>
      <c r="O232" s="45"/>
      <c r="P232" s="85">
        <f>SUMPRODUCT(SUMIFS(RawTransportationData!$D:$D,RawTransportationData!$A:$A,Compare!$P$2,RawTransportationData!$B:$B,Compare!$D232:$F232))</f>
        <v>600.1</v>
      </c>
      <c r="Q232" s="86">
        <f>SUMPRODUCT(SUMIFS(RawTransportationData!$G:$G,RawTransportationData!$A:$A,Compare!$P$2,RawTransportationData!$B:$B,Compare!$D232:$F232))</f>
        <v>424315.88</v>
      </c>
      <c r="R232" s="32">
        <f t="shared" si="27"/>
        <v>707.07528745209129</v>
      </c>
      <c r="S232" s="32">
        <f>SUMPRODUCT(SUMIFS(RawTransportationData!$H:$H,RawTransportationData!$A:$A,Compare!$P$1,RawTransportationData!$B:$B,Compare!$D232:$F232))</f>
        <v>195640</v>
      </c>
      <c r="T232" s="32">
        <f t="shared" si="28"/>
        <v>228675.88</v>
      </c>
      <c r="U232" s="45"/>
      <c r="V232" s="85">
        <f>SUMPRODUCT(SUMIFS(RawTransportationData!$D:$D,RawTransportationData!$A:$A,Compare!$V$2,RawTransportationData!$B:$B,Compare!$D232:$F232))</f>
        <v>615.5</v>
      </c>
      <c r="W232" s="86">
        <f>SUMPRODUCT(SUMIFS(RawTransportationData!$G:$G,RawTransportationData!$A:$A,Compare!$V$2,RawTransportationData!$B:$B,Compare!$D232:$F232))</f>
        <v>374319.98</v>
      </c>
      <c r="X232" s="32">
        <f t="shared" si="29"/>
        <v>608.1559382615759</v>
      </c>
      <c r="Y232" s="32">
        <f>SUMPRODUCT(SUMIFS(RawTransportationData!$H:$H,RawTransportationData!$A:$A,Compare!$V$1,RawTransportationData!$B:$B,Compare!$D232:$F232))</f>
        <v>118824</v>
      </c>
      <c r="Z232" s="32">
        <f t="shared" si="30"/>
        <v>255495.97999999998</v>
      </c>
    </row>
    <row r="233" spans="1:26" x14ac:dyDescent="0.55000000000000004">
      <c r="A233">
        <f>FinalPayment!A231</f>
        <v>2021</v>
      </c>
      <c r="B233" t="str">
        <f>FinalPayment!B231</f>
        <v>11</v>
      </c>
      <c r="C233" t="str">
        <f>FinalPayment!C231</f>
        <v>5166</v>
      </c>
      <c r="D233" t="str">
        <f>FinalPayment!D231</f>
        <v/>
      </c>
      <c r="E233" t="str">
        <f>FinalPayment!E231</f>
        <v/>
      </c>
      <c r="F233" t="str">
        <f>FinalPayment!F231</f>
        <v>5166</v>
      </c>
      <c r="G233" s="28" t="str">
        <f>FinalPayment!G231</f>
        <v>Pella</v>
      </c>
      <c r="H233" s="85">
        <f>SUMPRODUCT(SUMIFS(RawTransportationData!$D:$D,RawTransportationData!$A:$A,Compare!$H$2,RawTransportationData!$B:$B,Compare!$D233:$F233))</f>
        <v>2154.5</v>
      </c>
      <c r="I233" s="86">
        <f>SUMPRODUCT(SUMIFS(RawTransportationData!$G:$G,RawTransportationData!$A:$A,Compare!$H$2,RawTransportationData!$B:$B,Compare!$D233:$F233))</f>
        <v>725405.55</v>
      </c>
      <c r="J233" s="32">
        <f t="shared" si="31"/>
        <v>336.69322348572757</v>
      </c>
      <c r="K233" s="32">
        <f>SUMPRODUCT(SUMIFS(RawTransportationData!$H:$H,RawTransportationData!$A:$A,Compare!$E$1,RawTransportationData!$B:$B,Compare!$D233:$F233))</f>
        <v>1764</v>
      </c>
      <c r="L233" s="32">
        <f t="shared" si="24"/>
        <v>723641.55</v>
      </c>
      <c r="M233" s="70">
        <f t="shared" si="25"/>
        <v>0.69129776788388042</v>
      </c>
      <c r="N233" s="70">
        <f t="shared" si="26"/>
        <v>0.68679350784023729</v>
      </c>
      <c r="O233" s="45"/>
      <c r="P233" s="85">
        <f>SUMPRODUCT(SUMIFS(RawTransportationData!$D:$D,RawTransportationData!$A:$A,Compare!$P$2,RawTransportationData!$B:$B,Compare!$D233:$F233))</f>
        <v>2138.3999999999996</v>
      </c>
      <c r="Q233" s="86">
        <f>SUMPRODUCT(SUMIFS(RawTransportationData!$G:$G,RawTransportationData!$A:$A,Compare!$P$2,RawTransportationData!$B:$B,Compare!$D233:$F233))</f>
        <v>665654.43000000005</v>
      </c>
      <c r="R233" s="32">
        <f t="shared" si="27"/>
        <v>311.28620931537608</v>
      </c>
      <c r="S233" s="32">
        <f>SUMPRODUCT(SUMIFS(RawTransportationData!$H:$H,RawTransportationData!$A:$A,Compare!$P$1,RawTransportationData!$B:$B,Compare!$D233:$F233))</f>
        <v>0</v>
      </c>
      <c r="T233" s="32">
        <f t="shared" si="28"/>
        <v>665654.43000000005</v>
      </c>
      <c r="U233" s="45"/>
      <c r="V233" s="85">
        <f>SUMPRODUCT(SUMIFS(RawTransportationData!$D:$D,RawTransportationData!$A:$A,Compare!$V$2,RawTransportationData!$B:$B,Compare!$D233:$F233))</f>
        <v>2155</v>
      </c>
      <c r="W233" s="86">
        <f>SUMPRODUCT(SUMIFS(RawTransportationData!$G:$G,RawTransportationData!$A:$A,Compare!$V$2,RawTransportationData!$B:$B,Compare!$D233:$F233))</f>
        <v>429004.23000000004</v>
      </c>
      <c r="X233" s="32">
        <f t="shared" si="29"/>
        <v>199.07388863109051</v>
      </c>
      <c r="Y233" s="32">
        <f>SUMPRODUCT(SUMIFS(RawTransportationData!$H:$H,RawTransportationData!$A:$A,Compare!$V$1,RawTransportationData!$B:$B,Compare!$D233:$F233))</f>
        <v>0</v>
      </c>
      <c r="Z233" s="32">
        <f t="shared" si="30"/>
        <v>429004.23000000004</v>
      </c>
    </row>
    <row r="234" spans="1:26" x14ac:dyDescent="0.55000000000000004">
      <c r="A234">
        <f>FinalPayment!A232</f>
        <v>2021</v>
      </c>
      <c r="B234" t="str">
        <f>FinalPayment!B232</f>
        <v>11</v>
      </c>
      <c r="C234" t="str">
        <f>FinalPayment!C232</f>
        <v>5184</v>
      </c>
      <c r="D234" t="str">
        <f>FinalPayment!D232</f>
        <v/>
      </c>
      <c r="E234" t="str">
        <f>FinalPayment!E232</f>
        <v/>
      </c>
      <c r="F234" t="str">
        <f>FinalPayment!F232</f>
        <v>5184</v>
      </c>
      <c r="G234" s="28" t="str">
        <f>FinalPayment!G232</f>
        <v>Perry</v>
      </c>
      <c r="H234" s="85">
        <f>SUMPRODUCT(SUMIFS(RawTransportationData!$D:$D,RawTransportationData!$A:$A,Compare!$H$2,RawTransportationData!$B:$B,Compare!$D234:$F234))</f>
        <v>1802.3999999999999</v>
      </c>
      <c r="I234" s="86">
        <f>SUMPRODUCT(SUMIFS(RawTransportationData!$G:$G,RawTransportationData!$A:$A,Compare!$H$2,RawTransportationData!$B:$B,Compare!$D234:$F234))</f>
        <v>625564.32999999996</v>
      </c>
      <c r="J234" s="32">
        <f t="shared" si="31"/>
        <v>347.07297492232578</v>
      </c>
      <c r="K234" s="32">
        <f>SUMPRODUCT(SUMIFS(RawTransportationData!$H:$H,RawTransportationData!$A:$A,Compare!$E$1,RawTransportationData!$B:$B,Compare!$D234:$F234))</f>
        <v>1475</v>
      </c>
      <c r="L234" s="32">
        <f t="shared" si="24"/>
        <v>624089.32999999996</v>
      </c>
      <c r="M234" s="70">
        <f t="shared" si="25"/>
        <v>0.35528599655127935</v>
      </c>
      <c r="N234" s="70">
        <f t="shared" si="26"/>
        <v>0.33308229831675018</v>
      </c>
      <c r="O234" s="45"/>
      <c r="P234" s="85">
        <f>SUMPRODUCT(SUMIFS(RawTransportationData!$D:$D,RawTransportationData!$A:$A,Compare!$P$2,RawTransportationData!$B:$B,Compare!$D234:$F234))</f>
        <v>1763</v>
      </c>
      <c r="Q234" s="86">
        <f>SUMPRODUCT(SUMIFS(RawTransportationData!$G:$G,RawTransportationData!$A:$A,Compare!$P$2,RawTransportationData!$B:$B,Compare!$D234:$F234))</f>
        <v>448088</v>
      </c>
      <c r="R234" s="32">
        <f t="shared" si="27"/>
        <v>254.16222348269994</v>
      </c>
      <c r="S234" s="32">
        <f>SUMPRODUCT(SUMIFS(RawTransportationData!$H:$H,RawTransportationData!$A:$A,Compare!$P$1,RawTransportationData!$B:$B,Compare!$D234:$F234))</f>
        <v>0</v>
      </c>
      <c r="T234" s="32">
        <f t="shared" si="28"/>
        <v>448088</v>
      </c>
      <c r="U234" s="45"/>
      <c r="V234" s="85">
        <f>SUMPRODUCT(SUMIFS(RawTransportationData!$D:$D,RawTransportationData!$A:$A,Compare!$V$2,RawTransportationData!$B:$B,Compare!$D234:$F234))</f>
        <v>1828.1</v>
      </c>
      <c r="W234" s="86">
        <f>SUMPRODUCT(SUMIFS(RawTransportationData!$G:$G,RawTransportationData!$A:$A,Compare!$V$2,RawTransportationData!$B:$B,Compare!$D234:$F234))</f>
        <v>468155.14</v>
      </c>
      <c r="X234" s="32">
        <f t="shared" si="29"/>
        <v>256.08836496909362</v>
      </c>
      <c r="Y234" s="32">
        <f>SUMPRODUCT(SUMIFS(RawTransportationData!$H:$H,RawTransportationData!$A:$A,Compare!$V$1,RawTransportationData!$B:$B,Compare!$D234:$F234))</f>
        <v>0</v>
      </c>
      <c r="Z234" s="32">
        <f t="shared" si="30"/>
        <v>468155.14</v>
      </c>
    </row>
    <row r="235" spans="1:26" x14ac:dyDescent="0.55000000000000004">
      <c r="A235">
        <f>FinalPayment!A233</f>
        <v>2021</v>
      </c>
      <c r="B235" t="str">
        <f>FinalPayment!B233</f>
        <v>09</v>
      </c>
      <c r="C235" t="str">
        <f>FinalPayment!C233</f>
        <v>5250</v>
      </c>
      <c r="D235" t="str">
        <f>FinalPayment!D233</f>
        <v/>
      </c>
      <c r="E235" t="str">
        <f>FinalPayment!E233</f>
        <v/>
      </c>
      <c r="F235" t="str">
        <f>FinalPayment!F233</f>
        <v>5250</v>
      </c>
      <c r="G235" s="28" t="str">
        <f>FinalPayment!G233</f>
        <v>Pleasant Valley</v>
      </c>
      <c r="H235" s="85">
        <f>SUMPRODUCT(SUMIFS(RawTransportationData!$D:$D,RawTransportationData!$A:$A,Compare!$H$2,RawTransportationData!$B:$B,Compare!$D235:$F235))</f>
        <v>5036.7</v>
      </c>
      <c r="I235" s="86">
        <f>SUMPRODUCT(SUMIFS(RawTransportationData!$G:$G,RawTransportationData!$A:$A,Compare!$H$2,RawTransportationData!$B:$B,Compare!$D235:$F235))</f>
        <v>1375165.19</v>
      </c>
      <c r="J235" s="32">
        <f t="shared" si="31"/>
        <v>273.02900510254727</v>
      </c>
      <c r="K235" s="32">
        <f>SUMPRODUCT(SUMIFS(RawTransportationData!$H:$H,RawTransportationData!$A:$A,Compare!$E$1,RawTransportationData!$B:$B,Compare!$D235:$F235))</f>
        <v>4123</v>
      </c>
      <c r="L235" s="32">
        <f t="shared" si="24"/>
        <v>1371042.19</v>
      </c>
      <c r="M235" s="70">
        <f t="shared" si="25"/>
        <v>0.11434774518219955</v>
      </c>
      <c r="N235" s="70">
        <f t="shared" si="26"/>
        <v>0.17918187077854475</v>
      </c>
      <c r="O235" s="45"/>
      <c r="P235" s="85">
        <f>SUMPRODUCT(SUMIFS(RawTransportationData!$D:$D,RawTransportationData!$A:$A,Compare!$P$2,RawTransportationData!$B:$B,Compare!$D235:$F235))</f>
        <v>4922.3999999999996</v>
      </c>
      <c r="Q235" s="86">
        <f>SUMPRODUCT(SUMIFS(RawTransportationData!$G:$G,RawTransportationData!$A:$A,Compare!$P$2,RawTransportationData!$B:$B,Compare!$D235:$F235))</f>
        <v>1301387.6500000001</v>
      </c>
      <c r="R235" s="32">
        <f t="shared" si="27"/>
        <v>264.38071875507887</v>
      </c>
      <c r="S235" s="32">
        <f>SUMPRODUCT(SUMIFS(RawTransportationData!$H:$H,RawTransportationData!$A:$A,Compare!$P$1,RawTransportationData!$B:$B,Compare!$D235:$F235))</f>
        <v>0</v>
      </c>
      <c r="T235" s="32">
        <f t="shared" si="28"/>
        <v>1301387.6500000001</v>
      </c>
      <c r="U235" s="45"/>
      <c r="V235" s="85">
        <f>SUMPRODUCT(SUMIFS(RawTransportationData!$D:$D,RawTransportationData!$A:$A,Compare!$V$2,RawTransportationData!$B:$B,Compare!$D235:$F235))</f>
        <v>4745.5</v>
      </c>
      <c r="W235" s="86">
        <f>SUMPRODUCT(SUMIFS(RawTransportationData!$G:$G,RawTransportationData!$A:$A,Compare!$V$2,RawTransportationData!$B:$B,Compare!$D235:$F235))</f>
        <v>1162706.3</v>
      </c>
      <c r="X235" s="32">
        <f t="shared" si="29"/>
        <v>245.01239068591298</v>
      </c>
      <c r="Y235" s="32">
        <f>SUMPRODUCT(SUMIFS(RawTransportationData!$H:$H,RawTransportationData!$A:$A,Compare!$V$1,RawTransportationData!$B:$B,Compare!$D235:$F235))</f>
        <v>0</v>
      </c>
      <c r="Z235" s="32">
        <f t="shared" si="30"/>
        <v>1162706.3</v>
      </c>
    </row>
    <row r="236" spans="1:26" x14ac:dyDescent="0.55000000000000004">
      <c r="A236">
        <f>FinalPayment!A234</f>
        <v>2021</v>
      </c>
      <c r="B236" t="str">
        <f>FinalPayment!B234</f>
        <v>11</v>
      </c>
      <c r="C236" t="str">
        <f>FinalPayment!C234</f>
        <v>5256</v>
      </c>
      <c r="D236" t="str">
        <f>FinalPayment!D234</f>
        <v/>
      </c>
      <c r="E236" t="str">
        <f>FinalPayment!E234</f>
        <v/>
      </c>
      <c r="F236" t="str">
        <f>FinalPayment!F234</f>
        <v>5256</v>
      </c>
      <c r="G236" s="28" t="str">
        <f>FinalPayment!G234</f>
        <v>Pleasantville</v>
      </c>
      <c r="H236" s="85">
        <f>SUMPRODUCT(SUMIFS(RawTransportationData!$D:$D,RawTransportationData!$A:$A,Compare!$H$2,RawTransportationData!$B:$B,Compare!$D236:$F236))</f>
        <v>681</v>
      </c>
      <c r="I236" s="86">
        <f>SUMPRODUCT(SUMIFS(RawTransportationData!$G:$G,RawTransportationData!$A:$A,Compare!$H$2,RawTransportationData!$B:$B,Compare!$D236:$F236))</f>
        <v>206530.87</v>
      </c>
      <c r="J236" s="32">
        <f t="shared" si="31"/>
        <v>303.27587371512482</v>
      </c>
      <c r="K236" s="32">
        <f>SUMPRODUCT(SUMIFS(RawTransportationData!$H:$H,RawTransportationData!$A:$A,Compare!$E$1,RawTransportationData!$B:$B,Compare!$D236:$F236))</f>
        <v>557</v>
      </c>
      <c r="L236" s="32">
        <f t="shared" si="24"/>
        <v>205973.87</v>
      </c>
      <c r="M236" s="70">
        <f t="shared" si="25"/>
        <v>3.699449872912438E-2</v>
      </c>
      <c r="N236" s="70">
        <f t="shared" si="26"/>
        <v>1.5410463475858591E-2</v>
      </c>
      <c r="O236" s="45"/>
      <c r="P236" s="85">
        <f>SUMPRODUCT(SUMIFS(RawTransportationData!$D:$D,RawTransportationData!$A:$A,Compare!$P$2,RawTransportationData!$B:$B,Compare!$D236:$F236))</f>
        <v>697.8</v>
      </c>
      <c r="Q236" s="86">
        <f>SUMPRODUCT(SUMIFS(RawTransportationData!$G:$G,RawTransportationData!$A:$A,Compare!$P$2,RawTransportationData!$B:$B,Compare!$D236:$F236))</f>
        <v>197584.31</v>
      </c>
      <c r="R236" s="32">
        <f t="shared" si="27"/>
        <v>283.1532100888507</v>
      </c>
      <c r="S236" s="32">
        <f>SUMPRODUCT(SUMIFS(RawTransportationData!$H:$H,RawTransportationData!$A:$A,Compare!$P$1,RawTransportationData!$B:$B,Compare!$D236:$F236))</f>
        <v>0</v>
      </c>
      <c r="T236" s="32">
        <f t="shared" si="28"/>
        <v>197584.31</v>
      </c>
      <c r="U236" s="45"/>
      <c r="V236" s="85">
        <f>SUMPRODUCT(SUMIFS(RawTransportationData!$D:$D,RawTransportationData!$A:$A,Compare!$V$2,RawTransportationData!$B:$B,Compare!$D236:$F236))</f>
        <v>693.6</v>
      </c>
      <c r="W236" s="86">
        <f>SUMPRODUCT(SUMIFS(RawTransportationData!$G:$G,RawTransportationData!$A:$A,Compare!$V$2,RawTransportationData!$B:$B,Compare!$D236:$F236))</f>
        <v>202847.89</v>
      </c>
      <c r="X236" s="32">
        <f t="shared" si="29"/>
        <v>292.4565888119954</v>
      </c>
      <c r="Y236" s="32">
        <f>SUMPRODUCT(SUMIFS(RawTransportationData!$H:$H,RawTransportationData!$A:$A,Compare!$V$1,RawTransportationData!$B:$B,Compare!$D236:$F236))</f>
        <v>0</v>
      </c>
      <c r="Z236" s="32">
        <f t="shared" si="30"/>
        <v>202847.89</v>
      </c>
    </row>
    <row r="237" spans="1:26" x14ac:dyDescent="0.55000000000000004">
      <c r="A237">
        <f>FinalPayment!A235</f>
        <v>2021</v>
      </c>
      <c r="B237" t="str">
        <f>FinalPayment!B235</f>
        <v>05</v>
      </c>
      <c r="C237" t="str">
        <f>FinalPayment!C235</f>
        <v>5283</v>
      </c>
      <c r="D237" t="str">
        <f>FinalPayment!D235</f>
        <v/>
      </c>
      <c r="E237" t="str">
        <f>FinalPayment!E235</f>
        <v/>
      </c>
      <c r="F237" t="str">
        <f>FinalPayment!F235</f>
        <v>5283</v>
      </c>
      <c r="G237" s="28" t="str">
        <f>FinalPayment!G235</f>
        <v>Pocahontas Area</v>
      </c>
      <c r="H237" s="85">
        <f>SUMPRODUCT(SUMIFS(RawTransportationData!$D:$D,RawTransportationData!$A:$A,Compare!$H$2,RawTransportationData!$B:$B,Compare!$D237:$F237))</f>
        <v>665.40000000000009</v>
      </c>
      <c r="I237" s="86">
        <f>SUMPRODUCT(SUMIFS(RawTransportationData!$G:$G,RawTransportationData!$A:$A,Compare!$H$2,RawTransportationData!$B:$B,Compare!$D237:$F237))</f>
        <v>436771.36</v>
      </c>
      <c r="J237" s="32">
        <f t="shared" si="31"/>
        <v>656.40420799519075</v>
      </c>
      <c r="K237" s="32">
        <f>SUMPRODUCT(SUMIFS(RawTransportationData!$H:$H,RawTransportationData!$A:$A,Compare!$E$1,RawTransportationData!$B:$B,Compare!$D237:$F237))</f>
        <v>205987</v>
      </c>
      <c r="L237" s="32">
        <f t="shared" si="24"/>
        <v>230784.36</v>
      </c>
      <c r="M237" s="70">
        <f t="shared" si="25"/>
        <v>0.65809851798293584</v>
      </c>
      <c r="N237" s="70">
        <f t="shared" si="26"/>
        <v>-0.14483079286153586</v>
      </c>
      <c r="O237" s="45"/>
      <c r="P237" s="85">
        <f>SUMPRODUCT(SUMIFS(RawTransportationData!$D:$D,RawTransportationData!$A:$A,Compare!$P$2,RawTransportationData!$B:$B,Compare!$D237:$F237))</f>
        <v>674.5</v>
      </c>
      <c r="Q237" s="86">
        <f>SUMPRODUCT(SUMIFS(RawTransportationData!$G:$G,RawTransportationData!$A:$A,Compare!$P$2,RawTransportationData!$B:$B,Compare!$D237:$F237))</f>
        <v>341969.73</v>
      </c>
      <c r="R237" s="32">
        <f t="shared" si="27"/>
        <v>506.99737583395103</v>
      </c>
      <c r="S237" s="32">
        <f>SUMPRODUCT(SUMIFS(RawTransportationData!$H:$H,RawTransportationData!$A:$A,Compare!$P$1,RawTransportationData!$B:$B,Compare!$D237:$F237))</f>
        <v>84941</v>
      </c>
      <c r="T237" s="32">
        <f t="shared" si="28"/>
        <v>257028.72999999998</v>
      </c>
      <c r="U237" s="45"/>
      <c r="V237" s="85">
        <f>SUMPRODUCT(SUMIFS(RawTransportationData!$D:$D,RawTransportationData!$A:$A,Compare!$V$2,RawTransportationData!$B:$B,Compare!$D237:$F237))</f>
        <v>681.7</v>
      </c>
      <c r="W237" s="86">
        <f>SUMPRODUCT(SUMIFS(RawTransportationData!$G:$G,RawTransportationData!$A:$A,Compare!$V$2,RawTransportationData!$B:$B,Compare!$D237:$F237))</f>
        <v>269869.81999999995</v>
      </c>
      <c r="X237" s="32">
        <f t="shared" si="29"/>
        <v>395.87768813260953</v>
      </c>
      <c r="Y237" s="32">
        <f>SUMPRODUCT(SUMIFS(RawTransportationData!$H:$H,RawTransportationData!$A:$A,Compare!$V$1,RawTransportationData!$B:$B,Compare!$D237:$F237))</f>
        <v>0</v>
      </c>
      <c r="Z237" s="32">
        <f t="shared" si="30"/>
        <v>269869.81999999995</v>
      </c>
    </row>
    <row r="238" spans="1:26" x14ac:dyDescent="0.55000000000000004">
      <c r="A238">
        <f>FinalPayment!A236</f>
        <v>2021</v>
      </c>
      <c r="B238" t="str">
        <f>FinalPayment!B236</f>
        <v>01</v>
      </c>
      <c r="C238" t="str">
        <f>FinalPayment!C236</f>
        <v>5310</v>
      </c>
      <c r="D238" t="str">
        <f>FinalPayment!D236</f>
        <v/>
      </c>
      <c r="E238" t="str">
        <f>FinalPayment!E236</f>
        <v/>
      </c>
      <c r="F238" t="str">
        <f>FinalPayment!F236</f>
        <v>5310</v>
      </c>
      <c r="G238" s="28" t="str">
        <f>FinalPayment!G236</f>
        <v>Postville</v>
      </c>
      <c r="H238" s="85">
        <f>SUMPRODUCT(SUMIFS(RawTransportationData!$D:$D,RawTransportationData!$A:$A,Compare!$H$2,RawTransportationData!$B:$B,Compare!$D238:$F238))</f>
        <v>729</v>
      </c>
      <c r="I238" s="86">
        <f>SUMPRODUCT(SUMIFS(RawTransportationData!$G:$G,RawTransportationData!$A:$A,Compare!$H$2,RawTransportationData!$B:$B,Compare!$D238:$F238))</f>
        <v>161630.99</v>
      </c>
      <c r="J238" s="32">
        <f t="shared" si="31"/>
        <v>221.71603566529492</v>
      </c>
      <c r="K238" s="32">
        <f>SUMPRODUCT(SUMIFS(RawTransportationData!$H:$H,RawTransportationData!$A:$A,Compare!$E$1,RawTransportationData!$B:$B,Compare!$D238:$F238))</f>
        <v>597</v>
      </c>
      <c r="L238" s="32">
        <f t="shared" si="24"/>
        <v>161033.99</v>
      </c>
      <c r="M238" s="70">
        <f t="shared" si="25"/>
        <v>9.7302718453587872E-2</v>
      </c>
      <c r="N238" s="70">
        <f t="shared" si="26"/>
        <v>0.1359450510513632</v>
      </c>
      <c r="O238" s="45"/>
      <c r="P238" s="85">
        <f>SUMPRODUCT(SUMIFS(RawTransportationData!$D:$D,RawTransportationData!$A:$A,Compare!$P$2,RawTransportationData!$B:$B,Compare!$D238:$F238))</f>
        <v>730.9</v>
      </c>
      <c r="Q238" s="86">
        <f>SUMPRODUCT(SUMIFS(RawTransportationData!$G:$G,RawTransportationData!$A:$A,Compare!$P$2,RawTransportationData!$B:$B,Compare!$D238:$F238))</f>
        <v>167564.28</v>
      </c>
      <c r="R238" s="32">
        <f t="shared" si="27"/>
        <v>229.25746340128609</v>
      </c>
      <c r="S238" s="32">
        <f>SUMPRODUCT(SUMIFS(RawTransportationData!$H:$H,RawTransportationData!$A:$A,Compare!$P$1,RawTransportationData!$B:$B,Compare!$D238:$F238))</f>
        <v>0</v>
      </c>
      <c r="T238" s="32">
        <f t="shared" si="28"/>
        <v>167564.28</v>
      </c>
      <c r="U238" s="45"/>
      <c r="V238" s="85">
        <f>SUMPRODUCT(SUMIFS(RawTransportationData!$D:$D,RawTransportationData!$A:$A,Compare!$V$2,RawTransportationData!$B:$B,Compare!$D238:$F238))</f>
        <v>701.6</v>
      </c>
      <c r="W238" s="86">
        <f>SUMPRODUCT(SUMIFS(RawTransportationData!$G:$G,RawTransportationData!$A:$A,Compare!$V$2,RawTransportationData!$B:$B,Compare!$D238:$F238))</f>
        <v>141762.13</v>
      </c>
      <c r="X238" s="32">
        <f t="shared" si="29"/>
        <v>202.05548745724059</v>
      </c>
      <c r="Y238" s="32">
        <f>SUMPRODUCT(SUMIFS(RawTransportationData!$H:$H,RawTransportationData!$A:$A,Compare!$V$1,RawTransportationData!$B:$B,Compare!$D238:$F238))</f>
        <v>0</v>
      </c>
      <c r="Z238" s="32">
        <f t="shared" si="30"/>
        <v>141762.13</v>
      </c>
    </row>
    <row r="239" spans="1:26" x14ac:dyDescent="0.55000000000000004">
      <c r="A239">
        <f>FinalPayment!A237</f>
        <v>2021</v>
      </c>
      <c r="B239" t="str">
        <f>FinalPayment!B237</f>
        <v>05</v>
      </c>
      <c r="C239" t="str">
        <f>FinalPayment!C237</f>
        <v>5323</v>
      </c>
      <c r="D239" t="str">
        <f>FinalPayment!D237</f>
        <v/>
      </c>
      <c r="E239" t="str">
        <f>FinalPayment!E237</f>
        <v/>
      </c>
      <c r="F239" t="str">
        <f>FinalPayment!F237</f>
        <v>5325</v>
      </c>
      <c r="G239" s="28" t="str">
        <f>FinalPayment!G237</f>
        <v>Prairie Valley</v>
      </c>
      <c r="H239" s="85">
        <f>SUMPRODUCT(SUMIFS(RawTransportationData!$D:$D,RawTransportationData!$A:$A,Compare!$H$2,RawTransportationData!$B:$B,Compare!$D239:$F239))</f>
        <v>574.4</v>
      </c>
      <c r="I239" s="86">
        <f>SUMPRODUCT(SUMIFS(RawTransportationData!$G:$G,RawTransportationData!$A:$A,Compare!$H$2,RawTransportationData!$B:$B,Compare!$D239:$F239))</f>
        <v>442677.72</v>
      </c>
      <c r="J239" s="32">
        <f t="shared" si="31"/>
        <v>770.67848189415042</v>
      </c>
      <c r="K239" s="32">
        <f>SUMPRODUCT(SUMIFS(RawTransportationData!$H:$H,RawTransportationData!$A:$A,Compare!$E$1,RawTransportationData!$B:$B,Compare!$D239:$F239))</f>
        <v>243458</v>
      </c>
      <c r="L239" s="32">
        <f t="shared" si="24"/>
        <v>199219.71999999997</v>
      </c>
      <c r="M239" s="70">
        <f t="shared" si="25"/>
        <v>0.23275704754572615</v>
      </c>
      <c r="N239" s="70">
        <f t="shared" si="26"/>
        <v>-0.18656368896376224</v>
      </c>
      <c r="O239" s="45"/>
      <c r="P239" s="85">
        <f>SUMPRODUCT(SUMIFS(RawTransportationData!$D:$D,RawTransportationData!$A:$A,Compare!$P$2,RawTransportationData!$B:$B,Compare!$D239:$F239))</f>
        <v>578</v>
      </c>
      <c r="Q239" s="86">
        <f>SUMPRODUCT(SUMIFS(RawTransportationData!$G:$G,RawTransportationData!$A:$A,Compare!$P$2,RawTransportationData!$B:$B,Compare!$D239:$F239))</f>
        <v>399331.85</v>
      </c>
      <c r="R239" s="32">
        <f t="shared" si="27"/>
        <v>690.88555363321791</v>
      </c>
      <c r="S239" s="32">
        <f>SUMPRODUCT(SUMIFS(RawTransportationData!$H:$H,RawTransportationData!$A:$A,Compare!$P$1,RawTransportationData!$B:$B,Compare!$D239:$F239))</f>
        <v>179077</v>
      </c>
      <c r="T239" s="32">
        <f t="shared" si="28"/>
        <v>220254.84999999998</v>
      </c>
      <c r="U239" s="45"/>
      <c r="V239" s="85">
        <f>SUMPRODUCT(SUMIFS(RawTransportationData!$D:$D,RawTransportationData!$A:$A,Compare!$V$2,RawTransportationData!$B:$B,Compare!$D239:$F239))</f>
        <v>590</v>
      </c>
      <c r="W239" s="86">
        <f>SUMPRODUCT(SUMIFS(RawTransportationData!$G:$G,RawTransportationData!$A:$A,Compare!$V$2,RawTransportationData!$B:$B,Compare!$D239:$F239))</f>
        <v>368848.26999999996</v>
      </c>
      <c r="X239" s="32">
        <f t="shared" si="29"/>
        <v>625.16655932203378</v>
      </c>
      <c r="Y239" s="32">
        <f>SUMPRODUCT(SUMIFS(RawTransportationData!$H:$H,RawTransportationData!$A:$A,Compare!$V$1,RawTransportationData!$B:$B,Compare!$D239:$F239))</f>
        <v>123937</v>
      </c>
      <c r="Z239" s="32">
        <f t="shared" si="30"/>
        <v>244911.26999999996</v>
      </c>
    </row>
    <row r="240" spans="1:26" x14ac:dyDescent="0.55000000000000004">
      <c r="A240">
        <f>FinalPayment!A238</f>
        <v>2021</v>
      </c>
      <c r="B240" t="str">
        <f>FinalPayment!B238</f>
        <v>13</v>
      </c>
      <c r="C240" t="str">
        <f>FinalPayment!C238</f>
        <v>5463</v>
      </c>
      <c r="D240" t="str">
        <f>FinalPayment!D238</f>
        <v/>
      </c>
      <c r="E240" t="str">
        <f>FinalPayment!E238</f>
        <v/>
      </c>
      <c r="F240" t="str">
        <f>FinalPayment!F238</f>
        <v>5463</v>
      </c>
      <c r="G240" s="28" t="str">
        <f>FinalPayment!G238</f>
        <v>Red Oak</v>
      </c>
      <c r="H240" s="85">
        <f>SUMPRODUCT(SUMIFS(RawTransportationData!$D:$D,RawTransportationData!$A:$A,Compare!$H$2,RawTransportationData!$B:$B,Compare!$D240:$F240))</f>
        <v>1032.5999999999999</v>
      </c>
      <c r="I240" s="86">
        <f>SUMPRODUCT(SUMIFS(RawTransportationData!$G:$G,RawTransportationData!$A:$A,Compare!$H$2,RawTransportationData!$B:$B,Compare!$D240:$F240))</f>
        <v>226012.5</v>
      </c>
      <c r="J240" s="32">
        <f t="shared" si="31"/>
        <v>218.87710633352705</v>
      </c>
      <c r="K240" s="32">
        <f>SUMPRODUCT(SUMIFS(RawTransportationData!$H:$H,RawTransportationData!$A:$A,Compare!$E$1,RawTransportationData!$B:$B,Compare!$D240:$F240))</f>
        <v>845</v>
      </c>
      <c r="L240" s="32">
        <f t="shared" si="24"/>
        <v>225167.5</v>
      </c>
      <c r="M240" s="70">
        <f t="shared" si="25"/>
        <v>-0.10753845456445228</v>
      </c>
      <c r="N240" s="70">
        <f t="shared" si="26"/>
        <v>-0.1730970527194767</v>
      </c>
      <c r="O240" s="45"/>
      <c r="P240" s="85">
        <f>SUMPRODUCT(SUMIFS(RawTransportationData!$D:$D,RawTransportationData!$A:$A,Compare!$P$2,RawTransportationData!$B:$B,Compare!$D240:$F240))</f>
        <v>1057.0999999999999</v>
      </c>
      <c r="Q240" s="86">
        <f>SUMPRODUCT(SUMIFS(RawTransportationData!$G:$G,RawTransportationData!$A:$A,Compare!$P$2,RawTransportationData!$B:$B,Compare!$D240:$F240))</f>
        <v>299035.67</v>
      </c>
      <c r="R240" s="32">
        <f t="shared" si="27"/>
        <v>282.88304796140386</v>
      </c>
      <c r="S240" s="32">
        <f>SUMPRODUCT(SUMIFS(RawTransportationData!$H:$H,RawTransportationData!$A:$A,Compare!$P$1,RawTransportationData!$B:$B,Compare!$D240:$F240))</f>
        <v>0</v>
      </c>
      <c r="T240" s="32">
        <f t="shared" si="28"/>
        <v>299035.67</v>
      </c>
      <c r="U240" s="45"/>
      <c r="V240" s="85">
        <f>SUMPRODUCT(SUMIFS(RawTransportationData!$D:$D,RawTransportationData!$A:$A,Compare!$V$2,RawTransportationData!$B:$B,Compare!$D240:$F240))</f>
        <v>1110.3</v>
      </c>
      <c r="W240" s="86">
        <f>SUMPRODUCT(SUMIFS(RawTransportationData!$G:$G,RawTransportationData!$A:$A,Compare!$V$2,RawTransportationData!$B:$B,Compare!$D240:$F240))</f>
        <v>272302.21000000002</v>
      </c>
      <c r="X240" s="32">
        <f t="shared" si="29"/>
        <v>245.25102224623978</v>
      </c>
      <c r="Y240" s="32">
        <f>SUMPRODUCT(SUMIFS(RawTransportationData!$H:$H,RawTransportationData!$A:$A,Compare!$V$1,RawTransportationData!$B:$B,Compare!$D240:$F240))</f>
        <v>0</v>
      </c>
      <c r="Z240" s="32">
        <f t="shared" si="30"/>
        <v>272302.21000000002</v>
      </c>
    </row>
    <row r="241" spans="1:26" x14ac:dyDescent="0.55000000000000004">
      <c r="A241">
        <f>FinalPayment!A239</f>
        <v>2021</v>
      </c>
      <c r="B241" t="str">
        <f>FinalPayment!B239</f>
        <v>12</v>
      </c>
      <c r="C241" t="str">
        <f>FinalPayment!C239</f>
        <v>5486</v>
      </c>
      <c r="D241" t="str">
        <f>FinalPayment!D239</f>
        <v/>
      </c>
      <c r="E241" t="str">
        <f>FinalPayment!E239</f>
        <v/>
      </c>
      <c r="F241" t="str">
        <f>FinalPayment!F239</f>
        <v>5486</v>
      </c>
      <c r="G241" s="28" t="str">
        <f>FinalPayment!G239</f>
        <v>Remsen-Union</v>
      </c>
      <c r="H241" s="85">
        <f>SUMPRODUCT(SUMIFS(RawTransportationData!$D:$D,RawTransportationData!$A:$A,Compare!$H$2,RawTransportationData!$B:$B,Compare!$D241:$F241))</f>
        <v>314</v>
      </c>
      <c r="I241" s="86">
        <f>SUMPRODUCT(SUMIFS(RawTransportationData!$G:$G,RawTransportationData!$A:$A,Compare!$H$2,RawTransportationData!$B:$B,Compare!$D241:$F241))</f>
        <v>139064.23000000001</v>
      </c>
      <c r="J241" s="32">
        <f t="shared" si="31"/>
        <v>442.8797133757962</v>
      </c>
      <c r="K241" s="32">
        <f>SUMPRODUCT(SUMIFS(RawTransportationData!$H:$H,RawTransportationData!$A:$A,Compare!$E$1,RawTransportationData!$B:$B,Compare!$D241:$F241))</f>
        <v>30159</v>
      </c>
      <c r="L241" s="32">
        <f t="shared" si="24"/>
        <v>108905.23000000001</v>
      </c>
      <c r="M241" s="70">
        <f t="shared" si="25"/>
        <v>7.7912530568073068E-2</v>
      </c>
      <c r="N241" s="70">
        <f t="shared" si="26"/>
        <v>-0.270205426301525</v>
      </c>
      <c r="O241" s="45"/>
      <c r="P241" s="85">
        <f>SUMPRODUCT(SUMIFS(RawTransportationData!$D:$D,RawTransportationData!$A:$A,Compare!$P$2,RawTransportationData!$B:$B,Compare!$D241:$F241))</f>
        <v>340.09999999999997</v>
      </c>
      <c r="Q241" s="86">
        <f>SUMPRODUCT(SUMIFS(RawTransportationData!$G:$G,RawTransportationData!$A:$A,Compare!$P$2,RawTransportationData!$B:$B,Compare!$D241:$F241))</f>
        <v>111978.88</v>
      </c>
      <c r="R241" s="32">
        <f t="shared" si="27"/>
        <v>329.25280799764778</v>
      </c>
      <c r="S241" s="32">
        <f>SUMPRODUCT(SUMIFS(RawTransportationData!$H:$H,RawTransportationData!$A:$A,Compare!$P$1,RawTransportationData!$B:$B,Compare!$D241:$F241))</f>
        <v>0</v>
      </c>
      <c r="T241" s="32">
        <f t="shared" si="28"/>
        <v>111978.88</v>
      </c>
      <c r="U241" s="45"/>
      <c r="V241" s="85">
        <f>SUMPRODUCT(SUMIFS(RawTransportationData!$D:$D,RawTransportationData!$A:$A,Compare!$V$2,RawTransportationData!$B:$B,Compare!$D241:$F241))</f>
        <v>363.2</v>
      </c>
      <c r="W241" s="86">
        <f>SUMPRODUCT(SUMIFS(RawTransportationData!$G:$G,RawTransportationData!$A:$A,Compare!$V$2,RawTransportationData!$B:$B,Compare!$D241:$F241))</f>
        <v>149227.24</v>
      </c>
      <c r="X241" s="32">
        <f t="shared" si="29"/>
        <v>410.86795154185023</v>
      </c>
      <c r="Y241" s="32">
        <f>SUMPRODUCT(SUMIFS(RawTransportationData!$H:$H,RawTransportationData!$A:$A,Compare!$V$1,RawTransportationData!$B:$B,Compare!$D241:$F241))</f>
        <v>0</v>
      </c>
      <c r="Z241" s="32">
        <f t="shared" si="30"/>
        <v>149227.24</v>
      </c>
    </row>
    <row r="242" spans="1:26" x14ac:dyDescent="0.55000000000000004">
      <c r="A242">
        <f>FinalPayment!A240</f>
        <v>2021</v>
      </c>
      <c r="B242" t="str">
        <f>FinalPayment!B240</f>
        <v>01</v>
      </c>
      <c r="C242" t="str">
        <f>FinalPayment!C240</f>
        <v>5508</v>
      </c>
      <c r="D242" t="str">
        <f>FinalPayment!D240</f>
        <v/>
      </c>
      <c r="E242" t="str">
        <f>FinalPayment!E240</f>
        <v/>
      </c>
      <c r="F242" t="str">
        <f>FinalPayment!F240</f>
        <v>5508</v>
      </c>
      <c r="G242" s="28" t="str">
        <f>FinalPayment!G240</f>
        <v>Riceville</v>
      </c>
      <c r="H242" s="85">
        <f>SUMPRODUCT(SUMIFS(RawTransportationData!$D:$D,RawTransportationData!$A:$A,Compare!$H$2,RawTransportationData!$B:$B,Compare!$D242:$F242))</f>
        <v>313.60000000000002</v>
      </c>
      <c r="I242" s="86">
        <f>SUMPRODUCT(SUMIFS(RawTransportationData!$G:$G,RawTransportationData!$A:$A,Compare!$H$2,RawTransportationData!$B:$B,Compare!$D242:$F242))</f>
        <v>158040.70000000001</v>
      </c>
      <c r="J242" s="32">
        <f t="shared" si="31"/>
        <v>503.95631377551018</v>
      </c>
      <c r="K242" s="32">
        <f>SUMPRODUCT(SUMIFS(RawTransportationData!$H:$H,RawTransportationData!$A:$A,Compare!$E$1,RawTransportationData!$B:$B,Compare!$D242:$F242))</f>
        <v>49276</v>
      </c>
      <c r="L242" s="32">
        <f t="shared" si="24"/>
        <v>108764.70000000001</v>
      </c>
      <c r="M242" s="70">
        <f t="shared" si="25"/>
        <v>0.23324427734904632</v>
      </c>
      <c r="N242" s="70">
        <f t="shared" si="26"/>
        <v>-0.12100113611916621</v>
      </c>
      <c r="O242" s="45"/>
      <c r="P242" s="85">
        <f>SUMPRODUCT(SUMIFS(RawTransportationData!$D:$D,RawTransportationData!$A:$A,Compare!$P$2,RawTransportationData!$B:$B,Compare!$D242:$F242))</f>
        <v>328.3</v>
      </c>
      <c r="Q242" s="86">
        <f>SUMPRODUCT(SUMIFS(RawTransportationData!$G:$G,RawTransportationData!$A:$A,Compare!$P$2,RawTransportationData!$B:$B,Compare!$D242:$F242))</f>
        <v>169007.51</v>
      </c>
      <c r="R242" s="32">
        <f t="shared" si="27"/>
        <v>514.79594882729214</v>
      </c>
      <c r="S242" s="32">
        <f>SUMPRODUCT(SUMIFS(RawTransportationData!$H:$H,RawTransportationData!$A:$A,Compare!$P$1,RawTransportationData!$B:$B,Compare!$D242:$F242))</f>
        <v>43904</v>
      </c>
      <c r="T242" s="32">
        <f t="shared" si="28"/>
        <v>125103.51000000001</v>
      </c>
      <c r="U242" s="45"/>
      <c r="V242" s="85">
        <f>SUMPRODUCT(SUMIFS(RawTransportationData!$D:$D,RawTransportationData!$A:$A,Compare!$V$2,RawTransportationData!$B:$B,Compare!$D242:$F242))</f>
        <v>302.8</v>
      </c>
      <c r="W242" s="86">
        <f>SUMPRODUCT(SUMIFS(RawTransportationData!$G:$G,RawTransportationData!$A:$A,Compare!$V$2,RawTransportationData!$B:$B,Compare!$D242:$F242))</f>
        <v>123737.02</v>
      </c>
      <c r="X242" s="32">
        <f t="shared" si="29"/>
        <v>408.64273447820341</v>
      </c>
      <c r="Y242" s="32">
        <f>SUMPRODUCT(SUMIFS(RawTransportationData!$H:$H,RawTransportationData!$A:$A,Compare!$V$1,RawTransportationData!$B:$B,Compare!$D242:$F242))</f>
        <v>0</v>
      </c>
      <c r="Z242" s="32">
        <f t="shared" si="30"/>
        <v>123737.02</v>
      </c>
    </row>
    <row r="243" spans="1:26" x14ac:dyDescent="0.55000000000000004">
      <c r="A243">
        <f>FinalPayment!A241</f>
        <v>2021</v>
      </c>
      <c r="B243" t="str">
        <f>FinalPayment!B241</f>
        <v>12</v>
      </c>
      <c r="C243" t="str">
        <f>FinalPayment!C241</f>
        <v>1975</v>
      </c>
      <c r="D243" t="str">
        <f>FinalPayment!D241</f>
        <v/>
      </c>
      <c r="E243" t="str">
        <f>FinalPayment!E241</f>
        <v/>
      </c>
      <c r="F243" t="str">
        <f>FinalPayment!F241</f>
        <v>1975</v>
      </c>
      <c r="G243" s="28" t="str">
        <f>FinalPayment!G241</f>
        <v>River Valley</v>
      </c>
      <c r="H243" s="85">
        <f>SUMPRODUCT(SUMIFS(RawTransportationData!$D:$D,RawTransportationData!$A:$A,Compare!$H$2,RawTransportationData!$B:$B,Compare!$D243:$F243))</f>
        <v>407.3</v>
      </c>
      <c r="I243" s="86">
        <f>SUMPRODUCT(SUMIFS(RawTransportationData!$G:$G,RawTransportationData!$A:$A,Compare!$H$2,RawTransportationData!$B:$B,Compare!$D243:$F243))</f>
        <v>251272.88</v>
      </c>
      <c r="J243" s="32">
        <f t="shared" si="31"/>
        <v>616.92334888288735</v>
      </c>
      <c r="K243" s="32">
        <f>SUMPRODUCT(SUMIFS(RawTransportationData!$H:$H,RawTransportationData!$A:$A,Compare!$E$1,RawTransportationData!$B:$B,Compare!$D243:$F243))</f>
        <v>110007</v>
      </c>
      <c r="L243" s="32">
        <f t="shared" si="24"/>
        <v>141265.88</v>
      </c>
      <c r="M243" s="70">
        <f t="shared" si="25"/>
        <v>0.14016837072570013</v>
      </c>
      <c r="N243" s="70">
        <f t="shared" si="26"/>
        <v>-0.21096470993017058</v>
      </c>
      <c r="O243" s="45"/>
      <c r="P243" s="85">
        <f>SUMPRODUCT(SUMIFS(RawTransportationData!$D:$D,RawTransportationData!$A:$A,Compare!$P$2,RawTransportationData!$B:$B,Compare!$D243:$F243))</f>
        <v>422.6</v>
      </c>
      <c r="Q243" s="86">
        <f>SUMPRODUCT(SUMIFS(RawTransportationData!$G:$G,RawTransportationData!$A:$A,Compare!$P$2,RawTransportationData!$B:$B,Compare!$D243:$F243))</f>
        <v>227240.95999999999</v>
      </c>
      <c r="R243" s="32">
        <f t="shared" si="27"/>
        <v>537.72115475627061</v>
      </c>
      <c r="S243" s="32">
        <f>SUMPRODUCT(SUMIFS(RawTransportationData!$H:$H,RawTransportationData!$A:$A,Compare!$P$1,RawTransportationData!$B:$B,Compare!$D243:$F243))</f>
        <v>66201</v>
      </c>
      <c r="T243" s="32">
        <f t="shared" si="28"/>
        <v>161039.96</v>
      </c>
      <c r="U243" s="45"/>
      <c r="V243" s="85">
        <f>SUMPRODUCT(SUMIFS(RawTransportationData!$D:$D,RawTransportationData!$A:$A,Compare!$V$2,RawTransportationData!$B:$B,Compare!$D243:$F243))</f>
        <v>431.3</v>
      </c>
      <c r="W243" s="86">
        <f>SUMPRODUCT(SUMIFS(RawTransportationData!$G:$G,RawTransportationData!$A:$A,Compare!$V$2,RawTransportationData!$B:$B,Compare!$D243:$F243))</f>
        <v>233368.2</v>
      </c>
      <c r="X243" s="32">
        <f t="shared" si="29"/>
        <v>541.08091815441685</v>
      </c>
      <c r="Y243" s="32">
        <f>SUMPRODUCT(SUMIFS(RawTransportationData!$H:$H,RawTransportationData!$A:$A,Compare!$V$1,RawTransportationData!$B:$B,Compare!$D243:$F243))</f>
        <v>54332</v>
      </c>
      <c r="Z243" s="32">
        <f t="shared" si="30"/>
        <v>179036.2</v>
      </c>
    </row>
    <row r="244" spans="1:26" x14ac:dyDescent="0.55000000000000004">
      <c r="A244">
        <f>FinalPayment!A242</f>
        <v>2021</v>
      </c>
      <c r="B244" t="str">
        <f>FinalPayment!B242</f>
        <v>13</v>
      </c>
      <c r="C244" t="str">
        <f>FinalPayment!C242</f>
        <v>4824</v>
      </c>
      <c r="D244" t="str">
        <f>FinalPayment!D242</f>
        <v/>
      </c>
      <c r="E244" t="str">
        <f>FinalPayment!E242</f>
        <v/>
      </c>
      <c r="F244" t="str">
        <f>FinalPayment!F242</f>
        <v>5510</v>
      </c>
      <c r="G244" s="28" t="str">
        <f>FinalPayment!G242</f>
        <v>Riverside</v>
      </c>
      <c r="H244" s="85">
        <f>SUMPRODUCT(SUMIFS(RawTransportationData!$D:$D,RawTransportationData!$A:$A,Compare!$H$2,RawTransportationData!$B:$B,Compare!$D244:$F244))</f>
        <v>695.2</v>
      </c>
      <c r="I244" s="86">
        <f>SUMPRODUCT(SUMIFS(RawTransportationData!$G:$G,RawTransportationData!$A:$A,Compare!$H$2,RawTransportationData!$B:$B,Compare!$D244:$F244))</f>
        <v>337815.09</v>
      </c>
      <c r="J244" s="32">
        <f t="shared" si="31"/>
        <v>485.9250431530495</v>
      </c>
      <c r="K244" s="32">
        <f>SUMPRODUCT(SUMIFS(RawTransportationData!$H:$H,RawTransportationData!$A:$A,Compare!$E$1,RawTransportationData!$B:$B,Compare!$D244:$F244))</f>
        <v>96701</v>
      </c>
      <c r="L244" s="32">
        <f t="shared" si="24"/>
        <v>241114.09000000003</v>
      </c>
      <c r="M244" s="70">
        <f t="shared" si="25"/>
        <v>1.7068702154806375E-3</v>
      </c>
      <c r="N244" s="70">
        <f t="shared" si="26"/>
        <v>-0.17492608303529517</v>
      </c>
      <c r="O244" s="45"/>
      <c r="P244" s="85">
        <f>SUMPRODUCT(SUMIFS(RawTransportationData!$D:$D,RawTransportationData!$A:$A,Compare!$P$2,RawTransportationData!$B:$B,Compare!$D244:$F244))</f>
        <v>691</v>
      </c>
      <c r="Q244" s="86">
        <f>SUMPRODUCT(SUMIFS(RawTransportationData!$G:$G,RawTransportationData!$A:$A,Compare!$P$2,RawTransportationData!$B:$B,Compare!$D244:$F244))</f>
        <v>390403.01</v>
      </c>
      <c r="R244" s="32">
        <f t="shared" si="27"/>
        <v>564.98264833574535</v>
      </c>
      <c r="S244" s="32">
        <f>SUMPRODUCT(SUMIFS(RawTransportationData!$H:$H,RawTransportationData!$A:$A,Compare!$P$1,RawTransportationData!$B:$B,Compare!$D244:$F244))</f>
        <v>127083</v>
      </c>
      <c r="T244" s="32">
        <f t="shared" si="28"/>
        <v>263320.01</v>
      </c>
      <c r="U244" s="45"/>
      <c r="V244" s="85">
        <f>SUMPRODUCT(SUMIFS(RawTransportationData!$D:$D,RawTransportationData!$A:$A,Compare!$V$2,RawTransportationData!$B:$B,Compare!$D244:$F244))</f>
        <v>704</v>
      </c>
      <c r="W244" s="86">
        <f>SUMPRODUCT(SUMIFS(RawTransportationData!$G:$G,RawTransportationData!$A:$A,Compare!$V$2,RawTransportationData!$B:$B,Compare!$D244:$F244))</f>
        <v>341508.32</v>
      </c>
      <c r="X244" s="32">
        <f t="shared" si="29"/>
        <v>485.09704545454548</v>
      </c>
      <c r="Y244" s="32">
        <f>SUMPRODUCT(SUMIFS(RawTransportationData!$H:$H,RawTransportationData!$A:$A,Compare!$V$1,RawTransportationData!$B:$B,Compare!$D244:$F244))</f>
        <v>49275</v>
      </c>
      <c r="Z244" s="32">
        <f t="shared" si="30"/>
        <v>292233.32</v>
      </c>
    </row>
    <row r="245" spans="1:26" x14ac:dyDescent="0.55000000000000004">
      <c r="A245">
        <f>FinalPayment!A243</f>
        <v>2021</v>
      </c>
      <c r="B245" t="str">
        <f>FinalPayment!B243</f>
        <v>12</v>
      </c>
      <c r="C245" t="str">
        <f>FinalPayment!C243</f>
        <v>5607</v>
      </c>
      <c r="D245" t="str">
        <f>FinalPayment!D243</f>
        <v/>
      </c>
      <c r="E245" t="str">
        <f>FinalPayment!E243</f>
        <v/>
      </c>
      <c r="F245" t="str">
        <f>FinalPayment!F243</f>
        <v>5607</v>
      </c>
      <c r="G245" s="28" t="str">
        <f>FinalPayment!G243</f>
        <v>Rock Valley</v>
      </c>
      <c r="H245" s="85">
        <f>SUMPRODUCT(SUMIFS(RawTransportationData!$D:$D,RawTransportationData!$A:$A,Compare!$H$2,RawTransportationData!$B:$B,Compare!$D245:$F245))</f>
        <v>804</v>
      </c>
      <c r="I245" s="86">
        <f>SUMPRODUCT(SUMIFS(RawTransportationData!$G:$G,RawTransportationData!$A:$A,Compare!$H$2,RawTransportationData!$B:$B,Compare!$D245:$F245))</f>
        <v>159853.65000000002</v>
      </c>
      <c r="J245" s="32">
        <f t="shared" si="31"/>
        <v>198.82294776119406</v>
      </c>
      <c r="K245" s="32">
        <f>SUMPRODUCT(SUMIFS(RawTransportationData!$H:$H,RawTransportationData!$A:$A,Compare!$E$1,RawTransportationData!$B:$B,Compare!$D245:$F245))</f>
        <v>658</v>
      </c>
      <c r="L245" s="32">
        <f t="shared" si="24"/>
        <v>159195.65000000002</v>
      </c>
      <c r="M245" s="70">
        <f t="shared" si="25"/>
        <v>1.3915648635486497</v>
      </c>
      <c r="N245" s="70">
        <f t="shared" si="26"/>
        <v>1.4421672249134867</v>
      </c>
      <c r="O245" s="45"/>
      <c r="P245" s="85">
        <f>SUMPRODUCT(SUMIFS(RawTransportationData!$D:$D,RawTransportationData!$A:$A,Compare!$P$2,RawTransportationData!$B:$B,Compare!$D245:$F245))</f>
        <v>804.1</v>
      </c>
      <c r="Q245" s="86">
        <f>SUMPRODUCT(SUMIFS(RawTransportationData!$G:$G,RawTransportationData!$A:$A,Compare!$P$2,RawTransportationData!$B:$B,Compare!$D245:$F245))</f>
        <v>86157.119999999995</v>
      </c>
      <c r="R245" s="32">
        <f t="shared" si="27"/>
        <v>107.14727024001989</v>
      </c>
      <c r="S245" s="32">
        <f>SUMPRODUCT(SUMIFS(RawTransportationData!$H:$H,RawTransportationData!$A:$A,Compare!$P$1,RawTransportationData!$B:$B,Compare!$D245:$F245))</f>
        <v>0</v>
      </c>
      <c r="T245" s="32">
        <f t="shared" si="28"/>
        <v>86157.119999999995</v>
      </c>
      <c r="U245" s="45"/>
      <c r="V245" s="85">
        <f>SUMPRODUCT(SUMIFS(RawTransportationData!$D:$D,RawTransportationData!$A:$A,Compare!$V$2,RawTransportationData!$B:$B,Compare!$D245:$F245))</f>
        <v>784.1</v>
      </c>
      <c r="W245" s="86">
        <f>SUMPRODUCT(SUMIFS(RawTransportationData!$G:$G,RawTransportationData!$A:$A,Compare!$V$2,RawTransportationData!$B:$B,Compare!$D245:$F245))</f>
        <v>65186.22</v>
      </c>
      <c r="X245" s="32">
        <f t="shared" si="29"/>
        <v>83.135084810610891</v>
      </c>
      <c r="Y245" s="32">
        <f>SUMPRODUCT(SUMIFS(RawTransportationData!$H:$H,RawTransportationData!$A:$A,Compare!$V$1,RawTransportationData!$B:$B,Compare!$D245:$F245))</f>
        <v>0</v>
      </c>
      <c r="Z245" s="32">
        <f t="shared" si="30"/>
        <v>65186.22</v>
      </c>
    </row>
    <row r="246" spans="1:26" x14ac:dyDescent="0.55000000000000004">
      <c r="A246">
        <f>FinalPayment!A244</f>
        <v>2021</v>
      </c>
      <c r="B246" t="str">
        <f>FinalPayment!B244</f>
        <v>11</v>
      </c>
      <c r="C246" t="str">
        <f>FinalPayment!C244</f>
        <v>5643</v>
      </c>
      <c r="D246" t="str">
        <f>FinalPayment!D244</f>
        <v/>
      </c>
      <c r="E246" t="str">
        <f>FinalPayment!E244</f>
        <v/>
      </c>
      <c r="F246" t="str">
        <f>FinalPayment!F244</f>
        <v>5643</v>
      </c>
      <c r="G246" s="28" t="str">
        <f>FinalPayment!G244</f>
        <v>Roland-Story</v>
      </c>
      <c r="H246" s="85">
        <f>SUMPRODUCT(SUMIFS(RawTransportationData!$D:$D,RawTransportationData!$A:$A,Compare!$H$2,RawTransportationData!$B:$B,Compare!$D246:$F246))</f>
        <v>1041.5999999999999</v>
      </c>
      <c r="I246" s="86">
        <f>SUMPRODUCT(SUMIFS(RawTransportationData!$G:$G,RawTransportationData!$A:$A,Compare!$H$2,RawTransportationData!$B:$B,Compare!$D246:$F246))</f>
        <v>306452.55</v>
      </c>
      <c r="J246" s="32">
        <f t="shared" si="31"/>
        <v>294.21327764976962</v>
      </c>
      <c r="K246" s="32">
        <f>SUMPRODUCT(SUMIFS(RawTransportationData!$H:$H,RawTransportationData!$A:$A,Compare!$E$1,RawTransportationData!$B:$B,Compare!$D246:$F246))</f>
        <v>853</v>
      </c>
      <c r="L246" s="32">
        <f t="shared" si="24"/>
        <v>305599.55</v>
      </c>
      <c r="M246" s="70">
        <f t="shared" si="25"/>
        <v>0.18218899767862143</v>
      </c>
      <c r="N246" s="70">
        <f t="shared" si="26"/>
        <v>0.20967450484913536</v>
      </c>
      <c r="O246" s="45"/>
      <c r="P246" s="85">
        <f>SUMPRODUCT(SUMIFS(RawTransportationData!$D:$D,RawTransportationData!$A:$A,Compare!$P$2,RawTransportationData!$B:$B,Compare!$D246:$F246))</f>
        <v>1011.3</v>
      </c>
      <c r="Q246" s="86">
        <f>SUMPRODUCT(SUMIFS(RawTransportationData!$G:$G,RawTransportationData!$A:$A,Compare!$P$2,RawTransportationData!$B:$B,Compare!$D246:$F246))</f>
        <v>286302.16000000003</v>
      </c>
      <c r="R246" s="32">
        <f t="shared" si="27"/>
        <v>283.10309502620396</v>
      </c>
      <c r="S246" s="32">
        <f>SUMPRODUCT(SUMIFS(RawTransportationData!$H:$H,RawTransportationData!$A:$A,Compare!$P$1,RawTransportationData!$B:$B,Compare!$D246:$F246))</f>
        <v>0</v>
      </c>
      <c r="T246" s="32">
        <f t="shared" si="28"/>
        <v>286302.16000000003</v>
      </c>
      <c r="U246" s="45"/>
      <c r="V246" s="85">
        <f>SUMPRODUCT(SUMIFS(RawTransportationData!$D:$D,RawTransportationData!$A:$A,Compare!$V$2,RawTransportationData!$B:$B,Compare!$D246:$F246))</f>
        <v>1015.1</v>
      </c>
      <c r="W246" s="86">
        <f>SUMPRODUCT(SUMIFS(RawTransportationData!$G:$G,RawTransportationData!$A:$A,Compare!$V$2,RawTransportationData!$B:$B,Compare!$D246:$F246))</f>
        <v>252629.57</v>
      </c>
      <c r="X246" s="32">
        <f t="shared" si="29"/>
        <v>248.87160870850164</v>
      </c>
      <c r="Y246" s="32">
        <f>SUMPRODUCT(SUMIFS(RawTransportationData!$H:$H,RawTransportationData!$A:$A,Compare!$V$1,RawTransportationData!$B:$B,Compare!$D246:$F246))</f>
        <v>0</v>
      </c>
      <c r="Z246" s="32">
        <f t="shared" si="30"/>
        <v>252629.57</v>
      </c>
    </row>
    <row r="247" spans="1:26" x14ac:dyDescent="0.55000000000000004">
      <c r="A247">
        <f>FinalPayment!A245</f>
        <v>2021</v>
      </c>
      <c r="B247" t="str">
        <f>FinalPayment!B245</f>
        <v>07</v>
      </c>
      <c r="C247" t="str">
        <f>FinalPayment!C245</f>
        <v>5697</v>
      </c>
      <c r="D247" t="str">
        <f>FinalPayment!D245</f>
        <v/>
      </c>
      <c r="E247" t="str">
        <f>FinalPayment!E245</f>
        <v/>
      </c>
      <c r="F247" t="str">
        <f>FinalPayment!F245</f>
        <v>5697</v>
      </c>
      <c r="G247" s="28" t="str">
        <f>FinalPayment!G245</f>
        <v>Rudd-Rockford-Marble Rock</v>
      </c>
      <c r="H247" s="85">
        <f>SUMPRODUCT(SUMIFS(RawTransportationData!$D:$D,RawTransportationData!$A:$A,Compare!$H$2,RawTransportationData!$B:$B,Compare!$D247:$F247))</f>
        <v>414</v>
      </c>
      <c r="I247" s="86">
        <f>SUMPRODUCT(SUMIFS(RawTransportationData!$G:$G,RawTransportationData!$A:$A,Compare!$H$2,RawTransportationData!$B:$B,Compare!$D247:$F247))</f>
        <v>220304.24</v>
      </c>
      <c r="J247" s="32">
        <f t="shared" si="31"/>
        <v>532.13584541062801</v>
      </c>
      <c r="K247" s="32">
        <f>SUMPRODUCT(SUMIFS(RawTransportationData!$H:$H,RawTransportationData!$A:$A,Compare!$E$1,RawTransportationData!$B:$B,Compare!$D247:$F247))</f>
        <v>76718</v>
      </c>
      <c r="L247" s="32">
        <f t="shared" si="24"/>
        <v>143586.23999999999</v>
      </c>
      <c r="M247" s="70">
        <f t="shared" si="25"/>
        <v>3.1158709051150521E-2</v>
      </c>
      <c r="N247" s="70">
        <f t="shared" si="26"/>
        <v>-0.21581021312836576</v>
      </c>
      <c r="O247" s="45"/>
      <c r="P247" s="85">
        <f>SUMPRODUCT(SUMIFS(RawTransportationData!$D:$D,RawTransportationData!$A:$A,Compare!$P$2,RawTransportationData!$B:$B,Compare!$D247:$F247))</f>
        <v>418</v>
      </c>
      <c r="Q247" s="86">
        <f>SUMPRODUCT(SUMIFS(RawTransportationData!$G:$G,RawTransportationData!$A:$A,Compare!$P$2,RawTransportationData!$B:$B,Compare!$D247:$F247))</f>
        <v>242546.41</v>
      </c>
      <c r="R247" s="32">
        <f t="shared" si="27"/>
        <v>580.25456937799049</v>
      </c>
      <c r="S247" s="32">
        <f>SUMPRODUCT(SUMIFS(RawTransportationData!$H:$H,RawTransportationData!$A:$A,Compare!$P$1,RawTransportationData!$B:$B,Compare!$D247:$F247))</f>
        <v>83258</v>
      </c>
      <c r="T247" s="32">
        <f t="shared" si="28"/>
        <v>159288.41</v>
      </c>
      <c r="U247" s="45"/>
      <c r="V247" s="85">
        <f>SUMPRODUCT(SUMIFS(RawTransportationData!$D:$D,RawTransportationData!$A:$A,Compare!$V$2,RawTransportationData!$B:$B,Compare!$D247:$F247))</f>
        <v>441.1</v>
      </c>
      <c r="W247" s="86">
        <f>SUMPRODUCT(SUMIFS(RawTransportationData!$G:$G,RawTransportationData!$A:$A,Compare!$V$2,RawTransportationData!$B:$B,Compare!$D247:$F247))</f>
        <v>227632.39</v>
      </c>
      <c r="X247" s="32">
        <f t="shared" si="29"/>
        <v>516.05620040807071</v>
      </c>
      <c r="Y247" s="32">
        <f>SUMPRODUCT(SUMIFS(RawTransportationData!$H:$H,RawTransportationData!$A:$A,Compare!$V$1,RawTransportationData!$B:$B,Compare!$D247:$F247))</f>
        <v>44531</v>
      </c>
      <c r="Z247" s="32">
        <f t="shared" si="30"/>
        <v>183101.39</v>
      </c>
    </row>
    <row r="248" spans="1:26" x14ac:dyDescent="0.55000000000000004">
      <c r="A248">
        <f>FinalPayment!A246</f>
        <v>2021</v>
      </c>
      <c r="B248" t="str">
        <f>FinalPayment!B246</f>
        <v>05</v>
      </c>
      <c r="C248" t="str">
        <f>FinalPayment!C246</f>
        <v>5724</v>
      </c>
      <c r="D248" t="str">
        <f>FinalPayment!D246</f>
        <v/>
      </c>
      <c r="E248" t="str">
        <f>FinalPayment!E246</f>
        <v/>
      </c>
      <c r="F248" t="str">
        <f>FinalPayment!F246</f>
        <v>5724</v>
      </c>
      <c r="G248" s="28" t="str">
        <f>FinalPayment!G246</f>
        <v>Ruthven-Ayrshire</v>
      </c>
      <c r="H248" s="85">
        <f>SUMPRODUCT(SUMIFS(RawTransportationData!$D:$D,RawTransportationData!$A:$A,Compare!$H$2,RawTransportationData!$B:$B,Compare!$D248:$F248))</f>
        <v>217</v>
      </c>
      <c r="I248" s="86">
        <f>SUMPRODUCT(SUMIFS(RawTransportationData!$G:$G,RawTransportationData!$A:$A,Compare!$H$2,RawTransportationData!$B:$B,Compare!$D248:$F248))</f>
        <v>184157.31</v>
      </c>
      <c r="J248" s="32">
        <f t="shared" si="31"/>
        <v>848.65119815668197</v>
      </c>
      <c r="K248" s="32">
        <f>SUMPRODUCT(SUMIFS(RawTransportationData!$H:$H,RawTransportationData!$A:$A,Compare!$E$1,RawTransportationData!$B:$B,Compare!$D248:$F248))</f>
        <v>108895</v>
      </c>
      <c r="L248" s="32">
        <f t="shared" si="24"/>
        <v>75262.31</v>
      </c>
      <c r="M248" s="70">
        <f t="shared" si="25"/>
        <v>0.31826531274181574</v>
      </c>
      <c r="N248" s="70">
        <f t="shared" si="26"/>
        <v>-0.20826403489338183</v>
      </c>
      <c r="O248" s="45"/>
      <c r="P248" s="85">
        <f>SUMPRODUCT(SUMIFS(RawTransportationData!$D:$D,RawTransportationData!$A:$A,Compare!$P$2,RawTransportationData!$B:$B,Compare!$D248:$F248))</f>
        <v>222</v>
      </c>
      <c r="Q248" s="86">
        <f>SUMPRODUCT(SUMIFS(RawTransportationData!$G:$G,RawTransportationData!$A:$A,Compare!$P$2,RawTransportationData!$B:$B,Compare!$D248:$F248))</f>
        <v>157074.15</v>
      </c>
      <c r="R248" s="32">
        <f t="shared" si="27"/>
        <v>707.54121621621618</v>
      </c>
      <c r="S248" s="32">
        <f>SUMPRODUCT(SUMIFS(RawTransportationData!$H:$H,RawTransportationData!$A:$A,Compare!$P$1,RawTransportationData!$B:$B,Compare!$D248:$F248))</f>
        <v>72477</v>
      </c>
      <c r="T248" s="32">
        <f t="shared" si="28"/>
        <v>84597.15</v>
      </c>
      <c r="U248" s="45"/>
      <c r="V248" s="85">
        <f>SUMPRODUCT(SUMIFS(RawTransportationData!$D:$D,RawTransportationData!$A:$A,Compare!$V$2,RawTransportationData!$B:$B,Compare!$D248:$F248))</f>
        <v>229</v>
      </c>
      <c r="W248" s="86">
        <f>SUMPRODUCT(SUMIFS(RawTransportationData!$G:$G,RawTransportationData!$A:$A,Compare!$V$2,RawTransportationData!$B:$B,Compare!$D248:$F248))</f>
        <v>147421.85999999999</v>
      </c>
      <c r="X248" s="32">
        <f t="shared" si="29"/>
        <v>643.76358078602618</v>
      </c>
      <c r="Y248" s="32">
        <f>SUMPRODUCT(SUMIFS(RawTransportationData!$H:$H,RawTransportationData!$A:$A,Compare!$V$1,RawTransportationData!$B:$B,Compare!$D248:$F248))</f>
        <v>52362</v>
      </c>
      <c r="Z248" s="32">
        <f t="shared" si="30"/>
        <v>95059.859999999986</v>
      </c>
    </row>
    <row r="249" spans="1:26" x14ac:dyDescent="0.55000000000000004">
      <c r="A249">
        <f>FinalPayment!A247</f>
        <v>2021</v>
      </c>
      <c r="B249" t="str">
        <f>FinalPayment!B247</f>
        <v>11</v>
      </c>
      <c r="C249" t="str">
        <f>FinalPayment!C247</f>
        <v>5805</v>
      </c>
      <c r="D249" t="str">
        <f>FinalPayment!D247</f>
        <v/>
      </c>
      <c r="E249" t="str">
        <f>FinalPayment!E247</f>
        <v/>
      </c>
      <c r="F249" t="str">
        <f>FinalPayment!F247</f>
        <v>5805</v>
      </c>
      <c r="G249" s="28" t="str">
        <f>FinalPayment!G247</f>
        <v>Saydel</v>
      </c>
      <c r="H249" s="85">
        <f>SUMPRODUCT(SUMIFS(RawTransportationData!$D:$D,RawTransportationData!$A:$A,Compare!$H$2,RawTransportationData!$B:$B,Compare!$D249:$F249))</f>
        <v>1126.3</v>
      </c>
      <c r="I249" s="86">
        <f>SUMPRODUCT(SUMIFS(RawTransportationData!$G:$G,RawTransportationData!$A:$A,Compare!$H$2,RawTransportationData!$B:$B,Compare!$D249:$F249))</f>
        <v>447694.12</v>
      </c>
      <c r="J249" s="32">
        <f t="shared" si="31"/>
        <v>397.49100594868156</v>
      </c>
      <c r="K249" s="32">
        <f>SUMPRODUCT(SUMIFS(RawTransportationData!$H:$H,RawTransportationData!$A:$A,Compare!$E$1,RawTransportationData!$B:$B,Compare!$D249:$F249))</f>
        <v>57057</v>
      </c>
      <c r="L249" s="32">
        <f t="shared" si="24"/>
        <v>390637.12</v>
      </c>
      <c r="M249" s="70">
        <f t="shared" si="25"/>
        <v>-0.20474507429076094</v>
      </c>
      <c r="N249" s="70">
        <f t="shared" si="26"/>
        <v>-0.16186741539023095</v>
      </c>
      <c r="O249" s="45"/>
      <c r="P249" s="85">
        <f>SUMPRODUCT(SUMIFS(RawTransportationData!$D:$D,RawTransportationData!$A:$A,Compare!$P$2,RawTransportationData!$B:$B,Compare!$D249:$F249))</f>
        <v>1119.3000000000002</v>
      </c>
      <c r="Q249" s="86">
        <f>SUMPRODUCT(SUMIFS(RawTransportationData!$G:$G,RawTransportationData!$A:$A,Compare!$P$2,RawTransportationData!$B:$B,Compare!$D249:$F249))</f>
        <v>609963.66999999993</v>
      </c>
      <c r="R249" s="32">
        <f t="shared" si="27"/>
        <v>544.95101402662362</v>
      </c>
      <c r="S249" s="32">
        <f>SUMPRODUCT(SUMIFS(RawTransportationData!$H:$H,RawTransportationData!$A:$A,Compare!$P$1,RawTransportationData!$B:$B,Compare!$D249:$F249))</f>
        <v>183433</v>
      </c>
      <c r="T249" s="32">
        <f t="shared" si="28"/>
        <v>426530.66999999993</v>
      </c>
      <c r="U249" s="45"/>
      <c r="V249" s="85">
        <f>SUMPRODUCT(SUMIFS(RawTransportationData!$D:$D,RawTransportationData!$A:$A,Compare!$V$2,RawTransportationData!$B:$B,Compare!$D249:$F249))</f>
        <v>1122.8000000000002</v>
      </c>
      <c r="W249" s="86">
        <f>SUMPRODUCT(SUMIFS(RawTransportationData!$G:$G,RawTransportationData!$A:$A,Compare!$V$2,RawTransportationData!$B:$B,Compare!$D249:$F249))</f>
        <v>561207.34000000008</v>
      </c>
      <c r="X249" s="32">
        <f t="shared" si="29"/>
        <v>499.82841111506946</v>
      </c>
      <c r="Y249" s="32">
        <f>SUMPRODUCT(SUMIFS(RawTransportationData!$H:$H,RawTransportationData!$A:$A,Compare!$V$1,RawTransportationData!$B:$B,Compare!$D249:$F249))</f>
        <v>95127</v>
      </c>
      <c r="Z249" s="32">
        <f t="shared" si="30"/>
        <v>466080.34000000008</v>
      </c>
    </row>
    <row r="250" spans="1:26" x14ac:dyDescent="0.55000000000000004">
      <c r="A250">
        <f>FinalPayment!A248</f>
        <v>2021</v>
      </c>
      <c r="B250" t="str">
        <f>FinalPayment!B248</f>
        <v>05</v>
      </c>
      <c r="C250" t="str">
        <f>FinalPayment!C248</f>
        <v>5823</v>
      </c>
      <c r="D250" t="str">
        <f>FinalPayment!D248</f>
        <v/>
      </c>
      <c r="E250" t="str">
        <f>FinalPayment!E248</f>
        <v/>
      </c>
      <c r="F250" t="str">
        <f>FinalPayment!F248</f>
        <v>5823</v>
      </c>
      <c r="G250" s="28" t="str">
        <f>FinalPayment!G248</f>
        <v>Schaller-Crestland</v>
      </c>
      <c r="H250" s="85">
        <f>SUMPRODUCT(SUMIFS(RawTransportationData!$D:$D,RawTransportationData!$A:$A,Compare!$H$2,RawTransportationData!$B:$B,Compare!$D250:$F250))</f>
        <v>367</v>
      </c>
      <c r="I250" s="86">
        <f>SUMPRODUCT(SUMIFS(RawTransportationData!$G:$G,RawTransportationData!$A:$A,Compare!$H$2,RawTransportationData!$B:$B,Compare!$D250:$F250))</f>
        <v>207502.18999999997</v>
      </c>
      <c r="J250" s="32">
        <f t="shared" si="31"/>
        <v>565.40106267029967</v>
      </c>
      <c r="K250" s="32">
        <f>SUMPRODUCT(SUMIFS(RawTransportationData!$H:$H,RawTransportationData!$A:$A,Compare!$E$1,RawTransportationData!$B:$B,Compare!$D250:$F250))</f>
        <v>80214</v>
      </c>
      <c r="L250" s="32">
        <f t="shared" si="24"/>
        <v>127288.18999999997</v>
      </c>
      <c r="M250" s="70">
        <f t="shared" si="25"/>
        <v>-3.2245932625560109E-2</v>
      </c>
      <c r="N250" s="70">
        <f t="shared" si="26"/>
        <v>-0.13403232638186369</v>
      </c>
      <c r="O250" s="45"/>
      <c r="P250" s="85">
        <f>SUMPRODUCT(SUMIFS(RawTransportationData!$D:$D,RawTransportationData!$A:$A,Compare!$P$2,RawTransportationData!$B:$B,Compare!$D250:$F250))</f>
        <v>349.1</v>
      </c>
      <c r="Q250" s="86">
        <f>SUMPRODUCT(SUMIFS(RawTransportationData!$G:$G,RawTransportationData!$A:$A,Compare!$P$2,RawTransportationData!$B:$B,Compare!$D250:$F250))</f>
        <v>210999.16</v>
      </c>
      <c r="R250" s="32">
        <f t="shared" si="27"/>
        <v>604.40893726725858</v>
      </c>
      <c r="S250" s="32">
        <f>SUMPRODUCT(SUMIFS(RawTransportationData!$H:$H,RawTransportationData!$A:$A,Compare!$P$1,RawTransportationData!$B:$B,Compare!$D250:$F250))</f>
        <v>77969</v>
      </c>
      <c r="T250" s="32">
        <f t="shared" si="28"/>
        <v>133030.16</v>
      </c>
      <c r="U250" s="45"/>
      <c r="V250" s="85">
        <f>SUMPRODUCT(SUMIFS(RawTransportationData!$D:$D,RawTransportationData!$A:$A,Compare!$V$2,RawTransportationData!$B:$B,Compare!$D250:$F250))</f>
        <v>354.1</v>
      </c>
      <c r="W250" s="86">
        <f>SUMPRODUCT(SUMIFS(RawTransportationData!$G:$G,RawTransportationData!$A:$A,Compare!$V$2,RawTransportationData!$B:$B,Compare!$D250:$F250))</f>
        <v>206879.53999999998</v>
      </c>
      <c r="X250" s="32">
        <f t="shared" si="29"/>
        <v>584.2404405535159</v>
      </c>
      <c r="Y250" s="32">
        <f>SUMPRODUCT(SUMIFS(RawTransportationData!$H:$H,RawTransportationData!$A:$A,Compare!$V$1,RawTransportationData!$B:$B,Compare!$D250:$F250))</f>
        <v>59890</v>
      </c>
      <c r="Z250" s="32">
        <f t="shared" si="30"/>
        <v>146989.53999999998</v>
      </c>
    </row>
    <row r="251" spans="1:26" x14ac:dyDescent="0.55000000000000004">
      <c r="A251">
        <f>FinalPayment!A249</f>
        <v>2021</v>
      </c>
      <c r="B251" t="str">
        <f>FinalPayment!B249</f>
        <v>12</v>
      </c>
      <c r="C251" t="str">
        <f>FinalPayment!C249</f>
        <v>5832</v>
      </c>
      <c r="D251" t="str">
        <f>FinalPayment!D249</f>
        <v/>
      </c>
      <c r="E251" t="str">
        <f>FinalPayment!E249</f>
        <v/>
      </c>
      <c r="F251" t="str">
        <f>FinalPayment!F249</f>
        <v>5832</v>
      </c>
      <c r="G251" s="28" t="str">
        <f>FinalPayment!G249</f>
        <v>Schleswig</v>
      </c>
      <c r="H251" s="85">
        <f>SUMPRODUCT(SUMIFS(RawTransportationData!$D:$D,RawTransportationData!$A:$A,Compare!$H$2,RawTransportationData!$B:$B,Compare!$D251:$F251))</f>
        <v>260</v>
      </c>
      <c r="I251" s="86">
        <f>SUMPRODUCT(SUMIFS(RawTransportationData!$G:$G,RawTransportationData!$A:$A,Compare!$H$2,RawTransportationData!$B:$B,Compare!$D251:$F251))</f>
        <v>204405.81</v>
      </c>
      <c r="J251" s="32">
        <f t="shared" si="31"/>
        <v>786.1761923076923</v>
      </c>
      <c r="K251" s="32">
        <f>SUMPRODUCT(SUMIFS(RawTransportationData!$H:$H,RawTransportationData!$A:$A,Compare!$E$1,RawTransportationData!$B:$B,Compare!$D251:$F251))</f>
        <v>114231</v>
      </c>
      <c r="L251" s="32">
        <f t="shared" si="24"/>
        <v>90174.81</v>
      </c>
      <c r="M251" s="70">
        <f t="shared" si="25"/>
        <v>0.25331130425777726</v>
      </c>
      <c r="N251" s="70">
        <f t="shared" si="26"/>
        <v>-0.2083361609714304</v>
      </c>
      <c r="O251" s="45"/>
      <c r="P251" s="85">
        <f>SUMPRODUCT(SUMIFS(RawTransportationData!$D:$D,RawTransportationData!$A:$A,Compare!$P$2,RawTransportationData!$B:$B,Compare!$D251:$F251))</f>
        <v>266</v>
      </c>
      <c r="Q251" s="86">
        <f>SUMPRODUCT(SUMIFS(RawTransportationData!$G:$G,RawTransportationData!$A:$A,Compare!$P$2,RawTransportationData!$B:$B,Compare!$D251:$F251))</f>
        <v>193570.31</v>
      </c>
      <c r="R251" s="32">
        <f t="shared" si="27"/>
        <v>727.70793233082702</v>
      </c>
      <c r="S251" s="32">
        <f>SUMPRODUCT(SUMIFS(RawTransportationData!$H:$H,RawTransportationData!$A:$A,Compare!$P$1,RawTransportationData!$B:$B,Compare!$D251:$F251))</f>
        <v>92207</v>
      </c>
      <c r="T251" s="32">
        <f t="shared" si="28"/>
        <v>101363.31</v>
      </c>
      <c r="U251" s="45"/>
      <c r="V251" s="85">
        <f>SUMPRODUCT(SUMIFS(RawTransportationData!$D:$D,RawTransportationData!$A:$A,Compare!$V$2,RawTransportationData!$B:$B,Compare!$D251:$F251))</f>
        <v>274.39999999999998</v>
      </c>
      <c r="W251" s="86">
        <f>SUMPRODUCT(SUMIFS(RawTransportationData!$G:$G,RawTransportationData!$A:$A,Compare!$V$2,RawTransportationData!$B:$B,Compare!$D251:$F251))</f>
        <v>172125.43</v>
      </c>
      <c r="X251" s="32">
        <f t="shared" si="29"/>
        <v>627.27926384839657</v>
      </c>
      <c r="Y251" s="32">
        <f>SUMPRODUCT(SUMIFS(RawTransportationData!$H:$H,RawTransportationData!$A:$A,Compare!$V$1,RawTransportationData!$B:$B,Compare!$D251:$F251))</f>
        <v>58220</v>
      </c>
      <c r="Z251" s="32">
        <f t="shared" si="30"/>
        <v>113905.43</v>
      </c>
    </row>
    <row r="252" spans="1:26" x14ac:dyDescent="0.55000000000000004">
      <c r="A252">
        <f>FinalPayment!A250</f>
        <v>2021</v>
      </c>
      <c r="B252" t="str">
        <f>FinalPayment!B250</f>
        <v>12</v>
      </c>
      <c r="C252" t="str">
        <f>FinalPayment!C250</f>
        <v>5877</v>
      </c>
      <c r="D252" t="str">
        <f>FinalPayment!D250</f>
        <v/>
      </c>
      <c r="E252" t="str">
        <f>FinalPayment!E250</f>
        <v/>
      </c>
      <c r="F252" t="str">
        <f>FinalPayment!F250</f>
        <v>5877</v>
      </c>
      <c r="G252" s="28" t="str">
        <f>FinalPayment!G250</f>
        <v>Sergeant Bluff-Luton</v>
      </c>
      <c r="H252" s="85">
        <f>SUMPRODUCT(SUMIFS(RawTransportationData!$D:$D,RawTransportationData!$A:$A,Compare!$H$2,RawTransportationData!$B:$B,Compare!$D252:$F252))</f>
        <v>1438.7</v>
      </c>
      <c r="I252" s="86">
        <f>SUMPRODUCT(SUMIFS(RawTransportationData!$G:$G,RawTransportationData!$A:$A,Compare!$H$2,RawTransportationData!$B:$B,Compare!$D252:$F252))</f>
        <v>410157.32999999996</v>
      </c>
      <c r="J252" s="32">
        <f t="shared" si="31"/>
        <v>285.08885104608322</v>
      </c>
      <c r="K252" s="32">
        <f>SUMPRODUCT(SUMIFS(RawTransportationData!$H:$H,RawTransportationData!$A:$A,Compare!$E$1,RawTransportationData!$B:$B,Compare!$D252:$F252))</f>
        <v>1178</v>
      </c>
      <c r="L252" s="32">
        <f t="shared" si="24"/>
        <v>408979.32999999996</v>
      </c>
      <c r="M252" s="70">
        <f t="shared" si="25"/>
        <v>0.15079032661045741</v>
      </c>
      <c r="N252" s="70">
        <f t="shared" si="26"/>
        <v>0.16128793283906903</v>
      </c>
      <c r="O252" s="45"/>
      <c r="P252" s="85">
        <f>SUMPRODUCT(SUMIFS(RawTransportationData!$D:$D,RawTransportationData!$A:$A,Compare!$P$2,RawTransportationData!$B:$B,Compare!$D252:$F252))</f>
        <v>1435.3</v>
      </c>
      <c r="Q252" s="86">
        <f>SUMPRODUCT(SUMIFS(RawTransportationData!$G:$G,RawTransportationData!$A:$A,Compare!$P$2,RawTransportationData!$B:$B,Compare!$D252:$F252))</f>
        <v>387421.74</v>
      </c>
      <c r="R252" s="32">
        <f t="shared" si="27"/>
        <v>269.92387654148956</v>
      </c>
      <c r="S252" s="32">
        <f>SUMPRODUCT(SUMIFS(RawTransportationData!$H:$H,RawTransportationData!$A:$A,Compare!$P$1,RawTransportationData!$B:$B,Compare!$D252:$F252))</f>
        <v>0</v>
      </c>
      <c r="T252" s="32">
        <f t="shared" si="28"/>
        <v>387421.74</v>
      </c>
      <c r="U252" s="45"/>
      <c r="V252" s="85">
        <f>SUMPRODUCT(SUMIFS(RawTransportationData!$D:$D,RawTransportationData!$A:$A,Compare!$V$2,RawTransportationData!$B:$B,Compare!$D252:$F252))</f>
        <v>1421.6</v>
      </c>
      <c r="W252" s="86">
        <f>SUMPRODUCT(SUMIFS(RawTransportationData!$G:$G,RawTransportationData!$A:$A,Compare!$V$2,RawTransportationData!$B:$B,Compare!$D252:$F252))</f>
        <v>352177.37</v>
      </c>
      <c r="X252" s="32">
        <f t="shared" si="29"/>
        <v>247.73309651097355</v>
      </c>
      <c r="Y252" s="32">
        <f>SUMPRODUCT(SUMIFS(RawTransportationData!$H:$H,RawTransportationData!$A:$A,Compare!$V$1,RawTransportationData!$B:$B,Compare!$D252:$F252))</f>
        <v>0</v>
      </c>
      <c r="Z252" s="32">
        <f t="shared" si="30"/>
        <v>352177.37</v>
      </c>
    </row>
    <row r="253" spans="1:26" x14ac:dyDescent="0.55000000000000004">
      <c r="A253">
        <f>FinalPayment!A251</f>
        <v>2021</v>
      </c>
      <c r="B253" t="str">
        <f>FinalPayment!B251</f>
        <v>15</v>
      </c>
      <c r="C253" t="str">
        <f>FinalPayment!C251</f>
        <v>5895</v>
      </c>
      <c r="D253" t="str">
        <f>FinalPayment!D251</f>
        <v/>
      </c>
      <c r="E253" t="str">
        <f>FinalPayment!E251</f>
        <v/>
      </c>
      <c r="F253" t="str">
        <f>FinalPayment!F251</f>
        <v>5895</v>
      </c>
      <c r="G253" s="28" t="str">
        <f>FinalPayment!G251</f>
        <v>Seymour</v>
      </c>
      <c r="H253" s="85">
        <f>SUMPRODUCT(SUMIFS(RawTransportationData!$D:$D,RawTransportationData!$A:$A,Compare!$H$2,RawTransportationData!$B:$B,Compare!$D253:$F253))</f>
        <v>274</v>
      </c>
      <c r="I253" s="86">
        <f>SUMPRODUCT(SUMIFS(RawTransportationData!$G:$G,RawTransportationData!$A:$A,Compare!$H$2,RawTransportationData!$B:$B,Compare!$D253:$F253))</f>
        <v>117046.04</v>
      </c>
      <c r="J253" s="32">
        <f t="shared" si="31"/>
        <v>427.17532846715324</v>
      </c>
      <c r="K253" s="32">
        <f>SUMPRODUCT(SUMIFS(RawTransportationData!$H:$H,RawTransportationData!$A:$A,Compare!$E$1,RawTransportationData!$B:$B,Compare!$D253:$F253))</f>
        <v>22015</v>
      </c>
      <c r="L253" s="32">
        <f t="shared" si="24"/>
        <v>95031.039999999994</v>
      </c>
      <c r="M253" s="70">
        <f t="shared" si="25"/>
        <v>1.8464196220808048E-2</v>
      </c>
      <c r="N253" s="70">
        <f t="shared" si="26"/>
        <v>-0.23587905391556849</v>
      </c>
      <c r="O253" s="45"/>
      <c r="P253" s="85">
        <f>SUMPRODUCT(SUMIFS(RawTransportationData!$D:$D,RawTransportationData!$A:$A,Compare!$P$2,RawTransportationData!$B:$B,Compare!$D253:$F253))</f>
        <v>280.10000000000002</v>
      </c>
      <c r="Q253" s="86">
        <f>SUMPRODUCT(SUMIFS(RawTransportationData!$G:$G,RawTransportationData!$A:$A,Compare!$P$2,RawTransportationData!$B:$B,Compare!$D253:$F253))</f>
        <v>130324.4</v>
      </c>
      <c r="R253" s="32">
        <f t="shared" si="27"/>
        <v>465.27811495894315</v>
      </c>
      <c r="S253" s="32">
        <f>SUMPRODUCT(SUMIFS(RawTransportationData!$H:$H,RawTransportationData!$A:$A,Compare!$P$1,RawTransportationData!$B:$B,Compare!$D253:$F253))</f>
        <v>23588</v>
      </c>
      <c r="T253" s="32">
        <f t="shared" si="28"/>
        <v>106736.4</v>
      </c>
      <c r="U253" s="45"/>
      <c r="V253" s="85">
        <f>SUMPRODUCT(SUMIFS(RawTransportationData!$D:$D,RawTransportationData!$A:$A,Compare!$V$2,RawTransportationData!$B:$B,Compare!$D253:$F253))</f>
        <v>299.60000000000002</v>
      </c>
      <c r="W253" s="86">
        <f>SUMPRODUCT(SUMIFS(RawTransportationData!$G:$G,RawTransportationData!$A:$A,Compare!$V$2,RawTransportationData!$B:$B,Compare!$D253:$F253))</f>
        <v>125661.49</v>
      </c>
      <c r="X253" s="32">
        <f t="shared" si="29"/>
        <v>419.43087449933245</v>
      </c>
      <c r="Y253" s="32">
        <f>SUMPRODUCT(SUMIFS(RawTransportationData!$H:$H,RawTransportationData!$A:$A,Compare!$V$1,RawTransportationData!$B:$B,Compare!$D253:$F253))</f>
        <v>1295</v>
      </c>
      <c r="Z253" s="32">
        <f t="shared" si="30"/>
        <v>124366.49</v>
      </c>
    </row>
    <row r="254" spans="1:26" x14ac:dyDescent="0.55000000000000004">
      <c r="A254">
        <f>FinalPayment!A252</f>
        <v>2021</v>
      </c>
      <c r="B254" t="str">
        <f>FinalPayment!B252</f>
        <v>12</v>
      </c>
      <c r="C254" t="str">
        <f>FinalPayment!C252</f>
        <v>5949</v>
      </c>
      <c r="D254" t="str">
        <f>FinalPayment!D252</f>
        <v/>
      </c>
      <c r="E254" t="str">
        <f>FinalPayment!E252</f>
        <v/>
      </c>
      <c r="F254" t="str">
        <f>FinalPayment!F252</f>
        <v>5949</v>
      </c>
      <c r="G254" s="28" t="str">
        <f>FinalPayment!G252</f>
        <v>Sheldon</v>
      </c>
      <c r="H254" s="85">
        <f>SUMPRODUCT(SUMIFS(RawTransportationData!$D:$D,RawTransportationData!$A:$A,Compare!$H$2,RawTransportationData!$B:$B,Compare!$D254:$F254))</f>
        <v>1083.9000000000001</v>
      </c>
      <c r="I254" s="86">
        <f>SUMPRODUCT(SUMIFS(RawTransportationData!$G:$G,RawTransportationData!$A:$A,Compare!$H$2,RawTransportationData!$B:$B,Compare!$D254:$F254))</f>
        <v>362615.19</v>
      </c>
      <c r="J254" s="32">
        <f t="shared" si="31"/>
        <v>334.54672017713807</v>
      </c>
      <c r="K254" s="32">
        <f>SUMPRODUCT(SUMIFS(RawTransportationData!$H:$H,RawTransportationData!$A:$A,Compare!$E$1,RawTransportationData!$B:$B,Compare!$D254:$F254))</f>
        <v>887</v>
      </c>
      <c r="L254" s="32">
        <f t="shared" si="24"/>
        <v>361728.19</v>
      </c>
      <c r="M254" s="70">
        <f t="shared" si="25"/>
        <v>0.38328332188889974</v>
      </c>
      <c r="N254" s="70">
        <f t="shared" si="26"/>
        <v>0.43304898553822774</v>
      </c>
      <c r="O254" s="45"/>
      <c r="P254" s="85">
        <f>SUMPRODUCT(SUMIFS(RawTransportationData!$D:$D,RawTransportationData!$A:$A,Compare!$P$2,RawTransportationData!$B:$B,Compare!$D254:$F254))</f>
        <v>1066.5999999999999</v>
      </c>
      <c r="Q254" s="86">
        <f>SUMPRODUCT(SUMIFS(RawTransportationData!$G:$G,RawTransportationData!$A:$A,Compare!$P$2,RawTransportationData!$B:$B,Compare!$D254:$F254))</f>
        <v>327899.46999999997</v>
      </c>
      <c r="R254" s="32">
        <f t="shared" si="27"/>
        <v>307.42496718544908</v>
      </c>
      <c r="S254" s="32">
        <f>SUMPRODUCT(SUMIFS(RawTransportationData!$H:$H,RawTransportationData!$A:$A,Compare!$P$1,RawTransportationData!$B:$B,Compare!$D254:$F254))</f>
        <v>0</v>
      </c>
      <c r="T254" s="32">
        <f t="shared" si="28"/>
        <v>327899.46999999997</v>
      </c>
      <c r="U254" s="45"/>
      <c r="V254" s="85">
        <f>SUMPRODUCT(SUMIFS(RawTransportationData!$D:$D,RawTransportationData!$A:$A,Compare!$V$2,RawTransportationData!$B:$B,Compare!$D254:$F254))</f>
        <v>1043.7</v>
      </c>
      <c r="W254" s="86">
        <f>SUMPRODUCT(SUMIFS(RawTransportationData!$G:$G,RawTransportationData!$A:$A,Compare!$V$2,RawTransportationData!$B:$B,Compare!$D254:$F254))</f>
        <v>252418.58000000002</v>
      </c>
      <c r="X254" s="32">
        <f t="shared" si="29"/>
        <v>241.84974609562136</v>
      </c>
      <c r="Y254" s="32">
        <f>SUMPRODUCT(SUMIFS(RawTransportationData!$H:$H,RawTransportationData!$A:$A,Compare!$V$1,RawTransportationData!$B:$B,Compare!$D254:$F254))</f>
        <v>0</v>
      </c>
      <c r="Z254" s="32">
        <f t="shared" si="30"/>
        <v>252418.58000000002</v>
      </c>
    </row>
    <row r="255" spans="1:26" x14ac:dyDescent="0.55000000000000004">
      <c r="A255">
        <f>FinalPayment!A253</f>
        <v>2021</v>
      </c>
      <c r="B255" t="str">
        <f>FinalPayment!B253</f>
        <v>13</v>
      </c>
      <c r="C255" t="str">
        <f>FinalPayment!C253</f>
        <v>5976</v>
      </c>
      <c r="D255" t="str">
        <f>FinalPayment!D253</f>
        <v/>
      </c>
      <c r="E255" t="str">
        <f>FinalPayment!E253</f>
        <v/>
      </c>
      <c r="F255" t="str">
        <f>FinalPayment!F253</f>
        <v>5976</v>
      </c>
      <c r="G255" s="28" t="str">
        <f>FinalPayment!G253</f>
        <v>Shenandoah</v>
      </c>
      <c r="H255" s="85">
        <f>SUMPRODUCT(SUMIFS(RawTransportationData!$D:$D,RawTransportationData!$A:$A,Compare!$H$2,RawTransportationData!$B:$B,Compare!$D255:$F255))</f>
        <v>1050.7</v>
      </c>
      <c r="I255" s="86">
        <f>SUMPRODUCT(SUMIFS(RawTransportationData!$G:$G,RawTransportationData!$A:$A,Compare!$H$2,RawTransportationData!$B:$B,Compare!$D255:$F255))</f>
        <v>379257.05</v>
      </c>
      <c r="J255" s="32">
        <f t="shared" si="31"/>
        <v>360.95655277434088</v>
      </c>
      <c r="K255" s="32">
        <f>SUMPRODUCT(SUMIFS(RawTransportationData!$H:$H,RawTransportationData!$A:$A,Compare!$E$1,RawTransportationData!$B:$B,Compare!$D255:$F255))</f>
        <v>14845</v>
      </c>
      <c r="L255" s="32">
        <f t="shared" si="24"/>
        <v>364412.05</v>
      </c>
      <c r="M255" s="70">
        <f t="shared" si="25"/>
        <v>0.24070746294281914</v>
      </c>
      <c r="N255" s="70">
        <f t="shared" si="26"/>
        <v>0.16443707560084611</v>
      </c>
      <c r="O255" s="45"/>
      <c r="P255" s="85">
        <f>SUMPRODUCT(SUMIFS(RawTransportationData!$D:$D,RawTransportationData!$A:$A,Compare!$P$2,RawTransportationData!$B:$B,Compare!$D255:$F255))</f>
        <v>1082.9000000000001</v>
      </c>
      <c r="Q255" s="86">
        <f>SUMPRODUCT(SUMIFS(RawTransportationData!$G:$G,RawTransportationData!$A:$A,Compare!$P$2,RawTransportationData!$B:$B,Compare!$D255:$F255))</f>
        <v>443404.04</v>
      </c>
      <c r="R255" s="32">
        <f t="shared" si="27"/>
        <v>409.45982085141742</v>
      </c>
      <c r="S255" s="32">
        <f>SUMPRODUCT(SUMIFS(RawTransportationData!$H:$H,RawTransportationData!$A:$A,Compare!$P$1,RawTransportationData!$B:$B,Compare!$D255:$F255))</f>
        <v>30746</v>
      </c>
      <c r="T255" s="32">
        <f t="shared" si="28"/>
        <v>412658.04</v>
      </c>
      <c r="U255" s="45"/>
      <c r="V255" s="85">
        <f>SUMPRODUCT(SUMIFS(RawTransportationData!$D:$D,RawTransportationData!$A:$A,Compare!$V$2,RawTransportationData!$B:$B,Compare!$D255:$F255))</f>
        <v>1075.7</v>
      </c>
      <c r="W255" s="86">
        <f>SUMPRODUCT(SUMIFS(RawTransportationData!$G:$G,RawTransportationData!$A:$A,Compare!$V$2,RawTransportationData!$B:$B,Compare!$D255:$F255))</f>
        <v>312951.25999999995</v>
      </c>
      <c r="X255" s="32">
        <f t="shared" si="29"/>
        <v>290.92800966812302</v>
      </c>
      <c r="Y255" s="32">
        <f>SUMPRODUCT(SUMIFS(RawTransportationData!$H:$H,RawTransportationData!$A:$A,Compare!$V$1,RawTransportationData!$B:$B,Compare!$D255:$F255))</f>
        <v>0</v>
      </c>
      <c r="Z255" s="32">
        <f t="shared" si="30"/>
        <v>312951.25999999995</v>
      </c>
    </row>
    <row r="256" spans="1:26" x14ac:dyDescent="0.55000000000000004">
      <c r="A256">
        <f>FinalPayment!A254</f>
        <v>2021</v>
      </c>
      <c r="B256" t="str">
        <f>FinalPayment!B254</f>
        <v>12</v>
      </c>
      <c r="C256" t="str">
        <f>FinalPayment!C254</f>
        <v>5994</v>
      </c>
      <c r="D256" t="str">
        <f>FinalPayment!D254</f>
        <v/>
      </c>
      <c r="E256" t="str">
        <f>FinalPayment!E254</f>
        <v/>
      </c>
      <c r="F256" t="str">
        <f>FinalPayment!F254</f>
        <v>5994</v>
      </c>
      <c r="G256" s="28" t="str">
        <f>FinalPayment!G254</f>
        <v>Sibley-Ocheyedan</v>
      </c>
      <c r="H256" s="85">
        <f>SUMPRODUCT(SUMIFS(RawTransportationData!$D:$D,RawTransportationData!$A:$A,Compare!$H$2,RawTransportationData!$B:$B,Compare!$D256:$F256))</f>
        <v>750.2</v>
      </c>
      <c r="I256" s="86">
        <f>SUMPRODUCT(SUMIFS(RawTransportationData!$G:$G,RawTransportationData!$A:$A,Compare!$H$2,RawTransportationData!$B:$B,Compare!$D256:$F256))</f>
        <v>357503.19</v>
      </c>
      <c r="J256" s="32">
        <f t="shared" si="31"/>
        <v>476.5438416422287</v>
      </c>
      <c r="K256" s="32">
        <f>SUMPRODUCT(SUMIFS(RawTransportationData!$H:$H,RawTransportationData!$A:$A,Compare!$E$1,RawTransportationData!$B:$B,Compare!$D256:$F256))</f>
        <v>97307</v>
      </c>
      <c r="L256" s="32">
        <f t="shared" si="24"/>
        <v>260196.19</v>
      </c>
      <c r="M256" s="70">
        <f t="shared" si="25"/>
        <v>0.43742046257035949</v>
      </c>
      <c r="N256" s="70">
        <f t="shared" si="26"/>
        <v>2.5132423084886141E-2</v>
      </c>
      <c r="O256" s="45"/>
      <c r="P256" s="85">
        <f>SUMPRODUCT(SUMIFS(RawTransportationData!$D:$D,RawTransportationData!$A:$A,Compare!$P$2,RawTransportationData!$B:$B,Compare!$D256:$F256))</f>
        <v>772.6</v>
      </c>
      <c r="Q256" s="86">
        <f>SUMPRODUCT(SUMIFS(RawTransportationData!$G:$G,RawTransportationData!$A:$A,Compare!$P$2,RawTransportationData!$B:$B,Compare!$D256:$F256))</f>
        <v>357129.04</v>
      </c>
      <c r="R256" s="32">
        <f t="shared" si="27"/>
        <v>462.24312710328758</v>
      </c>
      <c r="S256" s="32">
        <f>SUMPRODUCT(SUMIFS(RawTransportationData!$H:$H,RawTransportationData!$A:$A,Compare!$P$1,RawTransportationData!$B:$B,Compare!$D256:$F256))</f>
        <v>62714</v>
      </c>
      <c r="T256" s="32">
        <f t="shared" si="28"/>
        <v>294415.03999999998</v>
      </c>
      <c r="U256" s="45"/>
      <c r="V256" s="85">
        <f>SUMPRODUCT(SUMIFS(RawTransportationData!$D:$D,RawTransportationData!$A:$A,Compare!$V$2,RawTransportationData!$B:$B,Compare!$D256:$F256))</f>
        <v>765.6</v>
      </c>
      <c r="W256" s="86">
        <f>SUMPRODUCT(SUMIFS(RawTransportationData!$G:$G,RawTransportationData!$A:$A,Compare!$V$2,RawTransportationData!$B:$B,Compare!$D256:$F256))</f>
        <v>253817.15</v>
      </c>
      <c r="X256" s="32">
        <f t="shared" si="29"/>
        <v>331.5271029258098</v>
      </c>
      <c r="Y256" s="32">
        <f>SUMPRODUCT(SUMIFS(RawTransportationData!$H:$H,RawTransportationData!$A:$A,Compare!$V$1,RawTransportationData!$B:$B,Compare!$D256:$F256))</f>
        <v>0</v>
      </c>
      <c r="Z256" s="32">
        <f t="shared" si="30"/>
        <v>253817.15</v>
      </c>
    </row>
    <row r="257" spans="1:26" x14ac:dyDescent="0.55000000000000004">
      <c r="A257">
        <f>FinalPayment!A255</f>
        <v>2021</v>
      </c>
      <c r="B257" t="str">
        <f>FinalPayment!B255</f>
        <v>13</v>
      </c>
      <c r="C257" t="str">
        <f>FinalPayment!C255</f>
        <v>6003</v>
      </c>
      <c r="D257" t="str">
        <f>FinalPayment!D255</f>
        <v/>
      </c>
      <c r="E257" t="str">
        <f>FinalPayment!E255</f>
        <v/>
      </c>
      <c r="F257" t="str">
        <f>FinalPayment!F255</f>
        <v>6003</v>
      </c>
      <c r="G257" s="28" t="str">
        <f>FinalPayment!G255</f>
        <v>Sidney</v>
      </c>
      <c r="H257" s="85">
        <f>SUMPRODUCT(SUMIFS(RawTransportationData!$D:$D,RawTransportationData!$A:$A,Compare!$H$2,RawTransportationData!$B:$B,Compare!$D257:$F257))</f>
        <v>373.6</v>
      </c>
      <c r="I257" s="86">
        <f>SUMPRODUCT(SUMIFS(RawTransportationData!$G:$G,RawTransportationData!$A:$A,Compare!$H$2,RawTransportationData!$B:$B,Compare!$D257:$F257))</f>
        <v>266903.92</v>
      </c>
      <c r="J257" s="32">
        <f t="shared" si="31"/>
        <v>714.41092077087785</v>
      </c>
      <c r="K257" s="32">
        <f>SUMPRODUCT(SUMIFS(RawTransportationData!$H:$H,RawTransportationData!$A:$A,Compare!$E$1,RawTransportationData!$B:$B,Compare!$D257:$F257))</f>
        <v>137328</v>
      </c>
      <c r="L257" s="32">
        <f t="shared" si="24"/>
        <v>129575.91999999998</v>
      </c>
      <c r="M257" s="70">
        <f t="shared" si="25"/>
        <v>0.65179931815664616</v>
      </c>
      <c r="N257" s="70">
        <f t="shared" si="26"/>
        <v>-0.23661740755639429</v>
      </c>
      <c r="O257" s="45"/>
      <c r="P257" s="85">
        <f>SUMPRODUCT(SUMIFS(RawTransportationData!$D:$D,RawTransportationData!$A:$A,Compare!$P$2,RawTransportationData!$B:$B,Compare!$D257:$F257))</f>
        <v>393.7</v>
      </c>
      <c r="Q257" s="86">
        <f>SUMPRODUCT(SUMIFS(RawTransportationData!$G:$G,RawTransportationData!$A:$A,Compare!$P$2,RawTransportationData!$B:$B,Compare!$D257:$F257))</f>
        <v>257420.24</v>
      </c>
      <c r="R257" s="32">
        <f t="shared" si="27"/>
        <v>653.84871729743463</v>
      </c>
      <c r="S257" s="32">
        <f>SUMPRODUCT(SUMIFS(RawTransportationData!$H:$H,RawTransportationData!$A:$A,Compare!$P$1,RawTransportationData!$B:$B,Compare!$D257:$F257))</f>
        <v>107394</v>
      </c>
      <c r="T257" s="32">
        <f t="shared" si="28"/>
        <v>150026.23999999999</v>
      </c>
      <c r="U257" s="45"/>
      <c r="V257" s="85">
        <f>SUMPRODUCT(SUMIFS(RawTransportationData!$D:$D,RawTransportationData!$A:$A,Compare!$V$2,RawTransportationData!$B:$B,Compare!$D257:$F257))</f>
        <v>408.9</v>
      </c>
      <c r="W257" s="86">
        <f>SUMPRODUCT(SUMIFS(RawTransportationData!$G:$G,RawTransportationData!$A:$A,Compare!$V$2,RawTransportationData!$B:$B,Compare!$D257:$F257))</f>
        <v>176851.16</v>
      </c>
      <c r="X257" s="32">
        <f t="shared" si="29"/>
        <v>432.504671068721</v>
      </c>
      <c r="Y257" s="32">
        <f>SUMPRODUCT(SUMIFS(RawTransportationData!$H:$H,RawTransportationData!$A:$A,Compare!$V$1,RawTransportationData!$B:$B,Compare!$D257:$F257))</f>
        <v>7112</v>
      </c>
      <c r="Z257" s="32">
        <f t="shared" si="30"/>
        <v>169739.16</v>
      </c>
    </row>
    <row r="258" spans="1:26" x14ac:dyDescent="0.55000000000000004">
      <c r="A258">
        <f>FinalPayment!A256</f>
        <v>2021</v>
      </c>
      <c r="B258" t="str">
        <f>FinalPayment!B256</f>
        <v>15</v>
      </c>
      <c r="C258" t="str">
        <f>FinalPayment!C256</f>
        <v>6012</v>
      </c>
      <c r="D258" t="str">
        <f>FinalPayment!D256</f>
        <v/>
      </c>
      <c r="E258" t="str">
        <f>FinalPayment!E256</f>
        <v/>
      </c>
      <c r="F258" t="str">
        <f>FinalPayment!F256</f>
        <v>6012</v>
      </c>
      <c r="G258" s="28" t="str">
        <f>FinalPayment!G256</f>
        <v>Sigourney</v>
      </c>
      <c r="H258" s="85">
        <f>SUMPRODUCT(SUMIFS(RawTransportationData!$D:$D,RawTransportationData!$A:$A,Compare!$H$2,RawTransportationData!$B:$B,Compare!$D258:$F258))</f>
        <v>554.5</v>
      </c>
      <c r="I258" s="86">
        <f>SUMPRODUCT(SUMIFS(RawTransportationData!$G:$G,RawTransportationData!$A:$A,Compare!$H$2,RawTransportationData!$B:$B,Compare!$D258:$F258))</f>
        <v>192030.1</v>
      </c>
      <c r="J258" s="32">
        <f t="shared" si="31"/>
        <v>346.31217312894501</v>
      </c>
      <c r="K258" s="32">
        <f>SUMPRODUCT(SUMIFS(RawTransportationData!$H:$H,RawTransportationData!$A:$A,Compare!$E$1,RawTransportationData!$B:$B,Compare!$D258:$F258))</f>
        <v>454</v>
      </c>
      <c r="L258" s="32">
        <f t="shared" si="24"/>
        <v>191576.1</v>
      </c>
      <c r="M258" s="70">
        <f t="shared" si="25"/>
        <v>0.17982954003089663</v>
      </c>
      <c r="N258" s="70">
        <f t="shared" si="26"/>
        <v>0.21517180302550826</v>
      </c>
      <c r="O258" s="45"/>
      <c r="P258" s="85">
        <f>SUMPRODUCT(SUMIFS(RawTransportationData!$D:$D,RawTransportationData!$A:$A,Compare!$P$2,RawTransportationData!$B:$B,Compare!$D258:$F258))</f>
        <v>548.6</v>
      </c>
      <c r="Q258" s="86">
        <f>SUMPRODUCT(SUMIFS(RawTransportationData!$G:$G,RawTransportationData!$A:$A,Compare!$P$2,RawTransportationData!$B:$B,Compare!$D258:$F258))</f>
        <v>175627.04</v>
      </c>
      <c r="R258" s="32">
        <f t="shared" si="27"/>
        <v>320.13678454247173</v>
      </c>
      <c r="S258" s="32">
        <f>SUMPRODUCT(SUMIFS(RawTransportationData!$H:$H,RawTransportationData!$A:$A,Compare!$P$1,RawTransportationData!$B:$B,Compare!$D258:$F258))</f>
        <v>0</v>
      </c>
      <c r="T258" s="32">
        <f t="shared" si="28"/>
        <v>175627.04</v>
      </c>
      <c r="U258" s="45"/>
      <c r="V258" s="85">
        <f>SUMPRODUCT(SUMIFS(RawTransportationData!$D:$D,RawTransportationData!$A:$A,Compare!$V$2,RawTransportationData!$B:$B,Compare!$D258:$F258))</f>
        <v>537.1</v>
      </c>
      <c r="W258" s="86">
        <f>SUMPRODUCT(SUMIFS(RawTransportationData!$G:$G,RawTransportationData!$A:$A,Compare!$V$2,RawTransportationData!$B:$B,Compare!$D258:$F258))</f>
        <v>157653.51</v>
      </c>
      <c r="X258" s="32">
        <f t="shared" si="29"/>
        <v>293.52729473096258</v>
      </c>
      <c r="Y258" s="32">
        <f>SUMPRODUCT(SUMIFS(RawTransportationData!$H:$H,RawTransportationData!$A:$A,Compare!$V$1,RawTransportationData!$B:$B,Compare!$D258:$F258))</f>
        <v>0</v>
      </c>
      <c r="Z258" s="32">
        <f t="shared" si="30"/>
        <v>157653.51</v>
      </c>
    </row>
    <row r="259" spans="1:26" x14ac:dyDescent="0.55000000000000004">
      <c r="A259">
        <f>FinalPayment!A257</f>
        <v>2021</v>
      </c>
      <c r="B259" t="str">
        <f>FinalPayment!B257</f>
        <v>12</v>
      </c>
      <c r="C259" t="str">
        <f>FinalPayment!C257</f>
        <v>6030</v>
      </c>
      <c r="D259" t="str">
        <f>FinalPayment!D257</f>
        <v/>
      </c>
      <c r="E259" t="str">
        <f>FinalPayment!E257</f>
        <v/>
      </c>
      <c r="F259" t="str">
        <f>FinalPayment!F257</f>
        <v>6030</v>
      </c>
      <c r="G259" s="28" t="str">
        <f>FinalPayment!G257</f>
        <v>Sioux Center</v>
      </c>
      <c r="H259" s="85">
        <f>SUMPRODUCT(SUMIFS(RawTransportationData!$D:$D,RawTransportationData!$A:$A,Compare!$H$2,RawTransportationData!$B:$B,Compare!$D259:$F259))</f>
        <v>1334.7</v>
      </c>
      <c r="I259" s="86">
        <f>SUMPRODUCT(SUMIFS(RawTransportationData!$G:$G,RawTransportationData!$A:$A,Compare!$H$2,RawTransportationData!$B:$B,Compare!$D259:$F259))</f>
        <v>374848.36000000004</v>
      </c>
      <c r="J259" s="32">
        <f t="shared" si="31"/>
        <v>280.84840038960067</v>
      </c>
      <c r="K259" s="32">
        <f>SUMPRODUCT(SUMIFS(RawTransportationData!$H:$H,RawTransportationData!$A:$A,Compare!$E$1,RawTransportationData!$B:$B,Compare!$D259:$F259))</f>
        <v>1093</v>
      </c>
      <c r="L259" s="32">
        <f t="shared" si="24"/>
        <v>373755.36000000004</v>
      </c>
      <c r="M259" s="70">
        <f t="shared" si="25"/>
        <v>0.56551304124114354</v>
      </c>
      <c r="N259" s="70">
        <f t="shared" si="26"/>
        <v>0.67314296887810687</v>
      </c>
      <c r="O259" s="45"/>
      <c r="P259" s="85">
        <f>SUMPRODUCT(SUMIFS(RawTransportationData!$D:$D,RawTransportationData!$A:$A,Compare!$P$2,RawTransportationData!$B:$B,Compare!$D259:$F259))</f>
        <v>1302.5999999999999</v>
      </c>
      <c r="Q259" s="86">
        <f>SUMPRODUCT(SUMIFS(RawTransportationData!$G:$G,RawTransportationData!$A:$A,Compare!$P$2,RawTransportationData!$B:$B,Compare!$D259:$F259))</f>
        <v>349260.97</v>
      </c>
      <c r="R259" s="32">
        <f t="shared" si="27"/>
        <v>268.12603255028404</v>
      </c>
      <c r="S259" s="32">
        <f>SUMPRODUCT(SUMIFS(RawTransportationData!$H:$H,RawTransportationData!$A:$A,Compare!$P$1,RawTransportationData!$B:$B,Compare!$D259:$F259))</f>
        <v>0</v>
      </c>
      <c r="T259" s="32">
        <f t="shared" si="28"/>
        <v>349260.97</v>
      </c>
      <c r="U259" s="45"/>
      <c r="V259" s="85">
        <f>SUMPRODUCT(SUMIFS(RawTransportationData!$D:$D,RawTransportationData!$A:$A,Compare!$V$2,RawTransportationData!$B:$B,Compare!$D259:$F259))</f>
        <v>1245.2</v>
      </c>
      <c r="W259" s="86">
        <f>SUMPRODUCT(SUMIFS(RawTransportationData!$G:$G,RawTransportationData!$A:$A,Compare!$V$2,RawTransportationData!$B:$B,Compare!$D259:$F259))</f>
        <v>223385.19000000003</v>
      </c>
      <c r="X259" s="32">
        <f t="shared" si="29"/>
        <v>179.39703662062323</v>
      </c>
      <c r="Y259" s="32">
        <f>SUMPRODUCT(SUMIFS(RawTransportationData!$H:$H,RawTransportationData!$A:$A,Compare!$V$1,RawTransportationData!$B:$B,Compare!$D259:$F259))</f>
        <v>0</v>
      </c>
      <c r="Z259" s="32">
        <f t="shared" si="30"/>
        <v>223385.19000000003</v>
      </c>
    </row>
    <row r="260" spans="1:26" x14ac:dyDescent="0.55000000000000004">
      <c r="A260">
        <f>FinalPayment!A258</f>
        <v>2021</v>
      </c>
      <c r="B260" t="str">
        <f>FinalPayment!B258</f>
        <v>05</v>
      </c>
      <c r="C260" t="str">
        <f>FinalPayment!C258</f>
        <v>6048</v>
      </c>
      <c r="D260" t="str">
        <f>FinalPayment!D258</f>
        <v/>
      </c>
      <c r="E260" t="str">
        <f>FinalPayment!E258</f>
        <v/>
      </c>
      <c r="F260" t="str">
        <f>FinalPayment!F258</f>
        <v>6035</v>
      </c>
      <c r="G260" s="28" t="str">
        <f>FinalPayment!G258</f>
        <v>Sioux Central</v>
      </c>
      <c r="H260" s="85">
        <f>SUMPRODUCT(SUMIFS(RawTransportationData!$D:$D,RawTransportationData!$A:$A,Compare!$H$2,RawTransportationData!$B:$B,Compare!$D260:$F260))</f>
        <v>483</v>
      </c>
      <c r="I260" s="86">
        <f>SUMPRODUCT(SUMIFS(RawTransportationData!$G:$G,RawTransportationData!$A:$A,Compare!$H$2,RawTransportationData!$B:$B,Compare!$D260:$F260))</f>
        <v>283532.53999999998</v>
      </c>
      <c r="J260" s="32">
        <f t="shared" si="31"/>
        <v>587.02389233954443</v>
      </c>
      <c r="K260" s="32">
        <f>SUMPRODUCT(SUMIFS(RawTransportationData!$H:$H,RawTransportationData!$A:$A,Compare!$E$1,RawTransportationData!$B:$B,Compare!$D260:$F260))</f>
        <v>116011</v>
      </c>
      <c r="L260" s="32">
        <f t="shared" si="24"/>
        <v>167521.53999999998</v>
      </c>
      <c r="M260" s="70">
        <f t="shared" si="25"/>
        <v>-0.23223694101851591</v>
      </c>
      <c r="N260" s="70">
        <f t="shared" si="26"/>
        <v>-0.14680020166540525</v>
      </c>
      <c r="O260" s="45"/>
      <c r="P260" s="85">
        <f>SUMPRODUCT(SUMIFS(RawTransportationData!$D:$D,RawTransportationData!$A:$A,Compare!$P$2,RawTransportationData!$B:$B,Compare!$D260:$F260))</f>
        <v>491</v>
      </c>
      <c r="Q260" s="86">
        <f>SUMPRODUCT(SUMIFS(RawTransportationData!$G:$G,RawTransportationData!$A:$A,Compare!$P$2,RawTransportationData!$B:$B,Compare!$D260:$F260))</f>
        <v>349151.72</v>
      </c>
      <c r="R260" s="32">
        <f t="shared" si="27"/>
        <v>711.10329938900202</v>
      </c>
      <c r="S260" s="32">
        <f>SUMPRODUCT(SUMIFS(RawTransportationData!$H:$H,RawTransportationData!$A:$A,Compare!$P$1,RawTransportationData!$B:$B,Compare!$D260:$F260))</f>
        <v>162046</v>
      </c>
      <c r="T260" s="32">
        <f t="shared" si="28"/>
        <v>187105.71999999997</v>
      </c>
      <c r="U260" s="45"/>
      <c r="V260" s="85">
        <f>SUMPRODUCT(SUMIFS(RawTransportationData!$D:$D,RawTransportationData!$A:$A,Compare!$V$2,RawTransportationData!$B:$B,Compare!$D260:$F260))</f>
        <v>473</v>
      </c>
      <c r="W260" s="86">
        <f>SUMPRODUCT(SUMIFS(RawTransportationData!$G:$G,RawTransportationData!$A:$A,Compare!$V$2,RawTransportationData!$B:$B,Compare!$D260:$F260))</f>
        <v>361651.03</v>
      </c>
      <c r="X260" s="32">
        <f t="shared" si="29"/>
        <v>764.58991543340392</v>
      </c>
      <c r="Y260" s="32">
        <f>SUMPRODUCT(SUMIFS(RawTransportationData!$H:$H,RawTransportationData!$A:$A,Compare!$V$1,RawTransportationData!$B:$B,Compare!$D260:$F260))</f>
        <v>165306</v>
      </c>
      <c r="Z260" s="32">
        <f t="shared" si="30"/>
        <v>196345.03000000003</v>
      </c>
    </row>
    <row r="261" spans="1:26" x14ac:dyDescent="0.55000000000000004">
      <c r="A261">
        <f>FinalPayment!A259</f>
        <v>2021</v>
      </c>
      <c r="B261" t="str">
        <f>FinalPayment!B259</f>
        <v>12</v>
      </c>
      <c r="C261" t="str">
        <f>FinalPayment!C259</f>
        <v>6039</v>
      </c>
      <c r="D261" t="str">
        <f>FinalPayment!D259</f>
        <v/>
      </c>
      <c r="E261" t="str">
        <f>FinalPayment!E259</f>
        <v/>
      </c>
      <c r="F261" t="str">
        <f>FinalPayment!F259</f>
        <v>6039</v>
      </c>
      <c r="G261" s="28" t="str">
        <f>FinalPayment!G259</f>
        <v>Sioux City</v>
      </c>
      <c r="H261" s="85">
        <f>SUMPRODUCT(SUMIFS(RawTransportationData!$D:$D,RawTransportationData!$A:$A,Compare!$H$2,RawTransportationData!$B:$B,Compare!$D261:$F261))</f>
        <v>14556.300000000001</v>
      </c>
      <c r="I261" s="86">
        <f>SUMPRODUCT(SUMIFS(RawTransportationData!$G:$G,RawTransportationData!$A:$A,Compare!$H$2,RawTransportationData!$B:$B,Compare!$D261:$F261))</f>
        <v>2423135.44</v>
      </c>
      <c r="J261" s="32">
        <f t="shared" si="31"/>
        <v>166.46643996070429</v>
      </c>
      <c r="K261" s="32">
        <f>SUMPRODUCT(SUMIFS(RawTransportationData!$H:$H,RawTransportationData!$A:$A,Compare!$E$1,RawTransportationData!$B:$B,Compare!$D261:$F261))</f>
        <v>11915</v>
      </c>
      <c r="L261" s="32">
        <f t="shared" ref="L261:L324" si="32">I261-K261</f>
        <v>2411220.44</v>
      </c>
      <c r="M261" s="70">
        <f t="shared" ref="M261:M324" si="33">(J261-X261)/X261</f>
        <v>0.30529532065427656</v>
      </c>
      <c r="N261" s="70">
        <f t="shared" ref="N261:N324" si="34">(L261-Z261)/Z261</f>
        <v>0.30607293905947924</v>
      </c>
      <c r="O261" s="45"/>
      <c r="P261" s="85">
        <f>SUMPRODUCT(SUMIFS(RawTransportationData!$D:$D,RawTransportationData!$A:$A,Compare!$P$2,RawTransportationData!$B:$B,Compare!$D261:$F261))</f>
        <v>14509.5</v>
      </c>
      <c r="Q261" s="86">
        <f>SUMPRODUCT(SUMIFS(RawTransportationData!$G:$G,RawTransportationData!$A:$A,Compare!$P$2,RawTransportationData!$B:$B,Compare!$D261:$F261))</f>
        <v>2192405.34</v>
      </c>
      <c r="R261" s="32">
        <f t="shared" ref="R261:R324" si="35">Q261/P261</f>
        <v>151.10137082601054</v>
      </c>
      <c r="S261" s="32">
        <f>SUMPRODUCT(SUMIFS(RawTransportationData!$H:$H,RawTransportationData!$A:$A,Compare!$P$1,RawTransportationData!$B:$B,Compare!$D261:$F261))</f>
        <v>0</v>
      </c>
      <c r="T261" s="32">
        <f t="shared" ref="T261:T324" si="36">Q261-S261</f>
        <v>2192405.34</v>
      </c>
      <c r="U261" s="45"/>
      <c r="V261" s="85">
        <f>SUMPRODUCT(SUMIFS(RawTransportationData!$D:$D,RawTransportationData!$A:$A,Compare!$V$2,RawTransportationData!$B:$B,Compare!$D261:$F261))</f>
        <v>14476.1</v>
      </c>
      <c r="W261" s="86">
        <f>SUMPRODUCT(SUMIFS(RawTransportationData!$G:$G,RawTransportationData!$A:$A,Compare!$V$2,RawTransportationData!$B:$B,Compare!$D261:$F261))</f>
        <v>1846160.6300000001</v>
      </c>
      <c r="X261" s="32">
        <f t="shared" ref="X261:X324" si="37">W261/V261</f>
        <v>127.53163006610897</v>
      </c>
      <c r="Y261" s="32">
        <f>SUMPRODUCT(SUMIFS(RawTransportationData!$H:$H,RawTransportationData!$A:$A,Compare!$V$1,RawTransportationData!$B:$B,Compare!$D261:$F261))</f>
        <v>0</v>
      </c>
      <c r="Z261" s="32">
        <f t="shared" ref="Z261:Z324" si="38">W261-Y261</f>
        <v>1846160.6300000001</v>
      </c>
    </row>
    <row r="262" spans="1:26" x14ac:dyDescent="0.55000000000000004">
      <c r="A262">
        <f>FinalPayment!A260</f>
        <v>2021</v>
      </c>
      <c r="B262" t="str">
        <f>FinalPayment!B260</f>
        <v>10</v>
      </c>
      <c r="C262" t="str">
        <f>FinalPayment!C260</f>
        <v>6093</v>
      </c>
      <c r="D262" t="str">
        <f>FinalPayment!D260</f>
        <v/>
      </c>
      <c r="E262" t="str">
        <f>FinalPayment!E260</f>
        <v/>
      </c>
      <c r="F262" t="str">
        <f>FinalPayment!F260</f>
        <v>6093</v>
      </c>
      <c r="G262" s="28" t="str">
        <f>FinalPayment!G260</f>
        <v>Solon</v>
      </c>
      <c r="H262" s="85">
        <f>SUMPRODUCT(SUMIFS(RawTransportationData!$D:$D,RawTransportationData!$A:$A,Compare!$H$2,RawTransportationData!$B:$B,Compare!$D262:$F262))</f>
        <v>1397.1</v>
      </c>
      <c r="I262" s="86">
        <f>SUMPRODUCT(SUMIFS(RawTransportationData!$G:$G,RawTransportationData!$A:$A,Compare!$H$2,RawTransportationData!$B:$B,Compare!$D262:$F262))</f>
        <v>339190.02999999997</v>
      </c>
      <c r="J262" s="32">
        <f t="shared" ref="J262:J325" si="39">I262/H262</f>
        <v>242.78149738744543</v>
      </c>
      <c r="K262" s="32">
        <f>SUMPRODUCT(SUMIFS(RawTransportationData!$H:$H,RawTransportationData!$A:$A,Compare!$E$1,RawTransportationData!$B:$B,Compare!$D262:$F262))</f>
        <v>1144</v>
      </c>
      <c r="L262" s="32">
        <f t="shared" si="32"/>
        <v>338046.02999999997</v>
      </c>
      <c r="M262" s="70">
        <f t="shared" si="33"/>
        <v>9.8608761973554768E-2</v>
      </c>
      <c r="N262" s="70">
        <f t="shared" si="34"/>
        <v>0.15135450504032161</v>
      </c>
      <c r="O262" s="45"/>
      <c r="P262" s="85">
        <f>SUMPRODUCT(SUMIFS(RawTransportationData!$D:$D,RawTransportationData!$A:$A,Compare!$P$2,RawTransportationData!$B:$B,Compare!$D262:$F262))</f>
        <v>1351.8</v>
      </c>
      <c r="Q262" s="86">
        <f>SUMPRODUCT(SUMIFS(RawTransportationData!$G:$G,RawTransportationData!$A:$A,Compare!$P$2,RawTransportationData!$B:$B,Compare!$D262:$F262))</f>
        <v>319080.33999999997</v>
      </c>
      <c r="R262" s="32">
        <f t="shared" si="35"/>
        <v>236.04108595946144</v>
      </c>
      <c r="S262" s="32">
        <f>SUMPRODUCT(SUMIFS(RawTransportationData!$H:$H,RawTransportationData!$A:$A,Compare!$P$1,RawTransportationData!$B:$B,Compare!$D262:$F262))</f>
        <v>0</v>
      </c>
      <c r="T262" s="32">
        <f t="shared" si="36"/>
        <v>319080.33999999997</v>
      </c>
      <c r="U262" s="45"/>
      <c r="V262" s="85">
        <f>SUMPRODUCT(SUMIFS(RawTransportationData!$D:$D,RawTransportationData!$A:$A,Compare!$V$2,RawTransportationData!$B:$B,Compare!$D262:$F262))</f>
        <v>1328.6</v>
      </c>
      <c r="W262" s="86">
        <f>SUMPRODUCT(SUMIFS(RawTransportationData!$G:$G,RawTransportationData!$A:$A,Compare!$V$2,RawTransportationData!$B:$B,Compare!$D262:$F262))</f>
        <v>293607.25</v>
      </c>
      <c r="X262" s="32">
        <f t="shared" si="37"/>
        <v>220.98995182899293</v>
      </c>
      <c r="Y262" s="32">
        <f>SUMPRODUCT(SUMIFS(RawTransportationData!$H:$H,RawTransportationData!$A:$A,Compare!$V$1,RawTransportationData!$B:$B,Compare!$D262:$F262))</f>
        <v>0</v>
      </c>
      <c r="Z262" s="32">
        <f t="shared" si="38"/>
        <v>293607.25</v>
      </c>
    </row>
    <row r="263" spans="1:26" x14ac:dyDescent="0.55000000000000004">
      <c r="A263">
        <f>FinalPayment!A261</f>
        <v>2021</v>
      </c>
      <c r="B263" t="str">
        <f>FinalPayment!B261</f>
        <v>05</v>
      </c>
      <c r="C263" t="str">
        <f>FinalPayment!C261</f>
        <v>6091</v>
      </c>
      <c r="D263" t="str">
        <f>FinalPayment!D261</f>
        <v/>
      </c>
      <c r="E263" t="str">
        <f>FinalPayment!E261</f>
        <v/>
      </c>
      <c r="F263" t="str">
        <f>FinalPayment!F261</f>
        <v>6091</v>
      </c>
      <c r="G263" s="28" t="str">
        <f>FinalPayment!G261</f>
        <v>South Central Calhoun</v>
      </c>
      <c r="H263" s="85">
        <f>SUMPRODUCT(SUMIFS(RawTransportationData!$D:$D,RawTransportationData!$A:$A,Compare!$H$2,RawTransportationData!$B:$B,Compare!$D263:$F263))</f>
        <v>946.8</v>
      </c>
      <c r="I263" s="86">
        <f>SUMPRODUCT(SUMIFS(RawTransportationData!$G:$G,RawTransportationData!$A:$A,Compare!$H$2,RawTransportationData!$B:$B,Compare!$D263:$F263))</f>
        <v>524937.29999999993</v>
      </c>
      <c r="J263" s="32">
        <f t="shared" si="39"/>
        <v>554.43314321926482</v>
      </c>
      <c r="K263" s="32">
        <f>SUMPRODUCT(SUMIFS(RawTransportationData!$H:$H,RawTransportationData!$A:$A,Compare!$E$1,RawTransportationData!$B:$B,Compare!$D263:$F263))</f>
        <v>196554</v>
      </c>
      <c r="L263" s="32">
        <f t="shared" si="32"/>
        <v>328383.29999999993</v>
      </c>
      <c r="M263" s="70">
        <f t="shared" si="33"/>
        <v>0.10464027203751074</v>
      </c>
      <c r="N263" s="70">
        <f t="shared" si="34"/>
        <v>-0.14022733451080721</v>
      </c>
      <c r="O263" s="45"/>
      <c r="P263" s="85">
        <f>SUMPRODUCT(SUMIFS(RawTransportationData!$D:$D,RawTransportationData!$A:$A,Compare!$P$2,RawTransportationData!$B:$B,Compare!$D263:$F263))</f>
        <v>898.1</v>
      </c>
      <c r="Q263" s="86">
        <f>SUMPRODUCT(SUMIFS(RawTransportationData!$G:$G,RawTransportationData!$A:$A,Compare!$P$2,RawTransportationData!$B:$B,Compare!$D263:$F263))</f>
        <v>475251.14</v>
      </c>
      <c r="R263" s="32">
        <f t="shared" si="35"/>
        <v>529.17396726422453</v>
      </c>
      <c r="S263" s="32">
        <f>SUMPRODUCT(SUMIFS(RawTransportationData!$H:$H,RawTransportationData!$A:$A,Compare!$P$1,RawTransportationData!$B:$B,Compare!$D263:$F263))</f>
        <v>133011</v>
      </c>
      <c r="T263" s="32">
        <f t="shared" si="36"/>
        <v>342240.14</v>
      </c>
      <c r="U263" s="45"/>
      <c r="V263" s="85">
        <f>SUMPRODUCT(SUMIFS(RawTransportationData!$D:$D,RawTransportationData!$A:$A,Compare!$V$2,RawTransportationData!$B:$B,Compare!$D263:$F263))</f>
        <v>920.1</v>
      </c>
      <c r="W263" s="86">
        <f>SUMPRODUCT(SUMIFS(RawTransportationData!$G:$G,RawTransportationData!$A:$A,Compare!$V$2,RawTransportationData!$B:$B,Compare!$D263:$F263))</f>
        <v>461810.01</v>
      </c>
      <c r="X263" s="32">
        <f t="shared" si="37"/>
        <v>501.91284642973591</v>
      </c>
      <c r="Y263" s="32">
        <f>SUMPRODUCT(SUMIFS(RawTransportationData!$H:$H,RawTransportationData!$A:$A,Compare!$V$1,RawTransportationData!$B:$B,Compare!$D263:$F263))</f>
        <v>79868</v>
      </c>
      <c r="Z263" s="32">
        <f t="shared" si="38"/>
        <v>381942.01</v>
      </c>
    </row>
    <row r="264" spans="1:26" x14ac:dyDescent="0.55000000000000004">
      <c r="A264">
        <f>FinalPayment!A262</f>
        <v>2021</v>
      </c>
      <c r="B264" t="str">
        <f>FinalPayment!B262</f>
        <v>05</v>
      </c>
      <c r="C264" t="str">
        <f>FinalPayment!C262</f>
        <v>6095</v>
      </c>
      <c r="D264" t="str">
        <f>FinalPayment!D262</f>
        <v/>
      </c>
      <c r="E264" t="str">
        <f>FinalPayment!E262</f>
        <v/>
      </c>
      <c r="F264" t="str">
        <f>FinalPayment!F262</f>
        <v>6095</v>
      </c>
      <c r="G264" s="28" t="str">
        <f>FinalPayment!G262</f>
        <v>South Hamilton</v>
      </c>
      <c r="H264" s="85">
        <f>SUMPRODUCT(SUMIFS(RawTransportationData!$D:$D,RawTransportationData!$A:$A,Compare!$H$2,RawTransportationData!$B:$B,Compare!$D264:$F264))</f>
        <v>629.9</v>
      </c>
      <c r="I264" s="86">
        <f>SUMPRODUCT(SUMIFS(RawTransportationData!$G:$G,RawTransportationData!$A:$A,Compare!$H$2,RawTransportationData!$B:$B,Compare!$D264:$F264))</f>
        <v>366888.81999999995</v>
      </c>
      <c r="J264" s="32">
        <f t="shared" si="39"/>
        <v>582.45565962851242</v>
      </c>
      <c r="K264" s="32">
        <f>SUMPRODUCT(SUMIFS(RawTransportationData!$H:$H,RawTransportationData!$A:$A,Compare!$E$1,RawTransportationData!$B:$B,Compare!$D264:$F264))</f>
        <v>148423</v>
      </c>
      <c r="L264" s="32">
        <f t="shared" si="32"/>
        <v>218465.81999999995</v>
      </c>
      <c r="M264" s="70">
        <f t="shared" si="33"/>
        <v>0.29729079970042599</v>
      </c>
      <c r="N264" s="70">
        <f t="shared" si="34"/>
        <v>-0.17535194672113766</v>
      </c>
      <c r="O264" s="45"/>
      <c r="P264" s="85">
        <f>SUMPRODUCT(SUMIFS(RawTransportationData!$D:$D,RawTransportationData!$A:$A,Compare!$P$2,RawTransportationData!$B:$B,Compare!$D264:$F264))</f>
        <v>637.1</v>
      </c>
      <c r="Q264" s="86">
        <f>SUMPRODUCT(SUMIFS(RawTransportationData!$G:$G,RawTransportationData!$A:$A,Compare!$P$2,RawTransportationData!$B:$B,Compare!$D264:$F264))</f>
        <v>301573.25</v>
      </c>
      <c r="R264" s="32">
        <f t="shared" si="35"/>
        <v>473.35308428818081</v>
      </c>
      <c r="S264" s="32">
        <f>SUMPRODUCT(SUMIFS(RawTransportationData!$H:$H,RawTransportationData!$A:$A,Compare!$P$1,RawTransportationData!$B:$B,Compare!$D264:$F264))</f>
        <v>58793</v>
      </c>
      <c r="T264" s="32">
        <f t="shared" si="36"/>
        <v>242780.25</v>
      </c>
      <c r="U264" s="45"/>
      <c r="V264" s="85">
        <f>SUMPRODUCT(SUMIFS(RawTransportationData!$D:$D,RawTransportationData!$A:$A,Compare!$V$2,RawTransportationData!$B:$B,Compare!$D264:$F264))</f>
        <v>638.20000000000005</v>
      </c>
      <c r="W264" s="86">
        <f>SUMPRODUCT(SUMIFS(RawTransportationData!$G:$G,RawTransportationData!$A:$A,Compare!$V$2,RawTransportationData!$B:$B,Compare!$D264:$F264))</f>
        <v>286538.07</v>
      </c>
      <c r="X264" s="32">
        <f t="shared" si="37"/>
        <v>448.97848636790974</v>
      </c>
      <c r="Y264" s="32">
        <f>SUMPRODUCT(SUMIFS(RawTransportationData!$H:$H,RawTransportationData!$A:$A,Compare!$V$1,RawTransportationData!$B:$B,Compare!$D264:$F264))</f>
        <v>21618</v>
      </c>
      <c r="Z264" s="32">
        <f t="shared" si="38"/>
        <v>264920.07</v>
      </c>
    </row>
    <row r="265" spans="1:26" x14ac:dyDescent="0.55000000000000004">
      <c r="A265">
        <f>FinalPayment!A263</f>
        <v>2021</v>
      </c>
      <c r="B265" t="str">
        <f>FinalPayment!B263</f>
        <v>12</v>
      </c>
      <c r="C265" t="str">
        <f>FinalPayment!C263</f>
        <v>5157</v>
      </c>
      <c r="D265" t="str">
        <f>FinalPayment!D263</f>
        <v/>
      </c>
      <c r="E265" t="str">
        <f>FinalPayment!E263</f>
        <v/>
      </c>
      <c r="F265" t="str">
        <f>FinalPayment!F263</f>
        <v>6099</v>
      </c>
      <c r="G265" s="28" t="str">
        <f>FinalPayment!G263</f>
        <v>South O'Brien</v>
      </c>
      <c r="H265" s="85">
        <f>SUMPRODUCT(SUMIFS(RawTransportationData!$D:$D,RawTransportationData!$A:$A,Compare!$H$2,RawTransportationData!$B:$B,Compare!$D265:$F265))</f>
        <v>611.5</v>
      </c>
      <c r="I265" s="86">
        <f>SUMPRODUCT(SUMIFS(RawTransportationData!$G:$G,RawTransportationData!$A:$A,Compare!$H$2,RawTransportationData!$B:$B,Compare!$D265:$F265))</f>
        <v>274454.64999999997</v>
      </c>
      <c r="J265" s="32">
        <f t="shared" si="39"/>
        <v>448.82199509403102</v>
      </c>
      <c r="K265" s="32">
        <f>SUMPRODUCT(SUMIFS(RawTransportationData!$H:$H,RawTransportationData!$A:$A,Compare!$E$1,RawTransportationData!$B:$B,Compare!$D265:$F265))</f>
        <v>62366</v>
      </c>
      <c r="L265" s="32">
        <f t="shared" si="32"/>
        <v>212088.64999999997</v>
      </c>
      <c r="M265" s="70">
        <f t="shared" si="33"/>
        <v>0.20676606573125286</v>
      </c>
      <c r="N265" s="70">
        <f t="shared" si="34"/>
        <v>-6.4548174642191633E-2</v>
      </c>
      <c r="O265" s="45"/>
      <c r="P265" s="85">
        <f>SUMPRODUCT(SUMIFS(RawTransportationData!$D:$D,RawTransportationData!$A:$A,Compare!$P$2,RawTransportationData!$B:$B,Compare!$D265:$F265))</f>
        <v>586.5</v>
      </c>
      <c r="Q265" s="86">
        <f>SUMPRODUCT(SUMIFS(RawTransportationData!$G:$G,RawTransportationData!$A:$A,Compare!$P$2,RawTransportationData!$B:$B,Compare!$D265:$F265))</f>
        <v>268017.88</v>
      </c>
      <c r="R265" s="32">
        <f t="shared" si="35"/>
        <v>456.97848252344414</v>
      </c>
      <c r="S265" s="32">
        <f>SUMPRODUCT(SUMIFS(RawTransportationData!$H:$H,RawTransportationData!$A:$A,Compare!$P$1,RawTransportationData!$B:$B,Compare!$D265:$F265))</f>
        <v>44522</v>
      </c>
      <c r="T265" s="32">
        <f t="shared" si="36"/>
        <v>223495.88</v>
      </c>
      <c r="U265" s="45"/>
      <c r="V265" s="85">
        <f>SUMPRODUCT(SUMIFS(RawTransportationData!$D:$D,RawTransportationData!$A:$A,Compare!$V$2,RawTransportationData!$B:$B,Compare!$D265:$F265))</f>
        <v>609.6</v>
      </c>
      <c r="W265" s="86">
        <f>SUMPRODUCT(SUMIFS(RawTransportationData!$G:$G,RawTransportationData!$A:$A,Compare!$V$2,RawTransportationData!$B:$B,Compare!$D265:$F265))</f>
        <v>226723.22</v>
      </c>
      <c r="X265" s="32">
        <f t="shared" si="37"/>
        <v>371.92129265091864</v>
      </c>
      <c r="Y265" s="32">
        <f>SUMPRODUCT(SUMIFS(RawTransportationData!$H:$H,RawTransportationData!$A:$A,Compare!$V$1,RawTransportationData!$B:$B,Compare!$D265:$F265))</f>
        <v>0</v>
      </c>
      <c r="Z265" s="32">
        <f t="shared" si="38"/>
        <v>226723.22</v>
      </c>
    </row>
    <row r="266" spans="1:26" x14ac:dyDescent="0.55000000000000004">
      <c r="A266">
        <f>FinalPayment!A264</f>
        <v>2021</v>
      </c>
      <c r="B266" t="str">
        <f>FinalPayment!B264</f>
        <v>13</v>
      </c>
      <c r="C266" t="str">
        <f>FinalPayment!C264</f>
        <v>6097</v>
      </c>
      <c r="D266" t="str">
        <f>FinalPayment!D264</f>
        <v/>
      </c>
      <c r="E266" t="str">
        <f>FinalPayment!E264</f>
        <v/>
      </c>
      <c r="F266" t="str">
        <f>FinalPayment!F264</f>
        <v>6097</v>
      </c>
      <c r="G266" s="28" t="str">
        <f>FinalPayment!G264</f>
        <v>South Page</v>
      </c>
      <c r="H266" s="85">
        <f>SUMPRODUCT(SUMIFS(RawTransportationData!$D:$D,RawTransportationData!$A:$A,Compare!$H$2,RawTransportationData!$B:$B,Compare!$D266:$F266))</f>
        <v>195</v>
      </c>
      <c r="I266" s="86">
        <f>SUMPRODUCT(SUMIFS(RawTransportationData!$G:$G,RawTransportationData!$A:$A,Compare!$H$2,RawTransportationData!$B:$B,Compare!$D266:$F266))</f>
        <v>93950.28</v>
      </c>
      <c r="J266" s="32">
        <f t="shared" si="39"/>
        <v>481.79630769230766</v>
      </c>
      <c r="K266" s="32">
        <f>SUMPRODUCT(SUMIFS(RawTransportationData!$H:$H,RawTransportationData!$A:$A,Compare!$E$1,RawTransportationData!$B:$B,Compare!$D266:$F266))</f>
        <v>26319</v>
      </c>
      <c r="L266" s="32">
        <f t="shared" si="32"/>
        <v>67631.28</v>
      </c>
      <c r="M266" s="70">
        <f t="shared" si="33"/>
        <v>1.5990192237711625</v>
      </c>
      <c r="N266" s="70">
        <f t="shared" si="34"/>
        <v>0.84351993065465092</v>
      </c>
      <c r="O266" s="45"/>
      <c r="P266" s="85">
        <f>SUMPRODUCT(SUMIFS(RawTransportationData!$D:$D,RawTransportationData!$A:$A,Compare!$P$2,RawTransportationData!$B:$B,Compare!$D266:$F266))</f>
        <v>207.1</v>
      </c>
      <c r="Q266" s="86">
        <f>SUMPRODUCT(SUMIFS(RawTransportationData!$G:$G,RawTransportationData!$A:$A,Compare!$P$2,RawTransportationData!$B:$B,Compare!$D266:$F266))</f>
        <v>97893.39</v>
      </c>
      <c r="R266" s="32">
        <f t="shared" si="35"/>
        <v>472.68657653307582</v>
      </c>
      <c r="S266" s="32">
        <f>SUMPRODUCT(SUMIFS(RawTransportationData!$H:$H,RawTransportationData!$A:$A,Compare!$P$1,RawTransportationData!$B:$B,Compare!$D266:$F266))</f>
        <v>18975</v>
      </c>
      <c r="T266" s="32">
        <f t="shared" si="36"/>
        <v>78918.39</v>
      </c>
      <c r="U266" s="45"/>
      <c r="V266" s="85">
        <f>SUMPRODUCT(SUMIFS(RawTransportationData!$D:$D,RawTransportationData!$A:$A,Compare!$V$2,RawTransportationData!$B:$B,Compare!$D266:$F266))</f>
        <v>197.9</v>
      </c>
      <c r="W266" s="86">
        <f>SUMPRODUCT(SUMIFS(RawTransportationData!$G:$G,RawTransportationData!$A:$A,Compare!$V$2,RawTransportationData!$B:$B,Compare!$D266:$F266))</f>
        <v>36685.950000000004</v>
      </c>
      <c r="X266" s="32">
        <f t="shared" si="37"/>
        <v>185.37620010106116</v>
      </c>
      <c r="Y266" s="32">
        <f>SUMPRODUCT(SUMIFS(RawTransportationData!$H:$H,RawTransportationData!$A:$A,Compare!$V$1,RawTransportationData!$B:$B,Compare!$D266:$F266))</f>
        <v>0</v>
      </c>
      <c r="Z266" s="32">
        <f t="shared" si="38"/>
        <v>36685.950000000004</v>
      </c>
    </row>
    <row r="267" spans="1:26" x14ac:dyDescent="0.55000000000000004">
      <c r="A267">
        <f>FinalPayment!A265</f>
        <v>2021</v>
      </c>
      <c r="B267" t="str">
        <f>FinalPayment!B265</f>
        <v>07</v>
      </c>
      <c r="C267" t="str">
        <f>FinalPayment!C265</f>
        <v>6098</v>
      </c>
      <c r="D267" t="str">
        <f>FinalPayment!D265</f>
        <v/>
      </c>
      <c r="E267" t="str">
        <f>FinalPayment!E265</f>
        <v/>
      </c>
      <c r="F267" t="str">
        <f>FinalPayment!F265</f>
        <v>6098</v>
      </c>
      <c r="G267" s="28" t="str">
        <f>FinalPayment!G265</f>
        <v>South Tama</v>
      </c>
      <c r="H267" s="85">
        <f>SUMPRODUCT(SUMIFS(RawTransportationData!$D:$D,RawTransportationData!$A:$A,Compare!$H$2,RawTransportationData!$B:$B,Compare!$D267:$F267))</f>
        <v>1541.1</v>
      </c>
      <c r="I267" s="86">
        <f>SUMPRODUCT(SUMIFS(RawTransportationData!$G:$G,RawTransportationData!$A:$A,Compare!$H$2,RawTransportationData!$B:$B,Compare!$D267:$F267))</f>
        <v>640014.7300000001</v>
      </c>
      <c r="J267" s="32">
        <f t="shared" si="39"/>
        <v>415.29733956265017</v>
      </c>
      <c r="K267" s="32">
        <f>SUMPRODUCT(SUMIFS(RawTransportationData!$H:$H,RawTransportationData!$A:$A,Compare!$E$1,RawTransportationData!$B:$B,Compare!$D267:$F267))</f>
        <v>105517</v>
      </c>
      <c r="L267" s="32">
        <f t="shared" si="32"/>
        <v>534497.7300000001</v>
      </c>
      <c r="M267" s="70">
        <f t="shared" si="33"/>
        <v>-2.3783996834565536E-2</v>
      </c>
      <c r="N267" s="70">
        <f t="shared" si="34"/>
        <v>-0.17723394977115833</v>
      </c>
      <c r="O267" s="45"/>
      <c r="P267" s="85">
        <f>SUMPRODUCT(SUMIFS(RawTransportationData!$D:$D,RawTransportationData!$A:$A,Compare!$P$2,RawTransportationData!$B:$B,Compare!$D267:$F267))</f>
        <v>1541</v>
      </c>
      <c r="Q267" s="86">
        <f>SUMPRODUCT(SUMIFS(RawTransportationData!$G:$G,RawTransportationData!$A:$A,Compare!$P$2,RawTransportationData!$B:$B,Compare!$D267:$F267))</f>
        <v>634475.56999999995</v>
      </c>
      <c r="R267" s="32">
        <f t="shared" si="35"/>
        <v>411.72976638546396</v>
      </c>
      <c r="S267" s="32">
        <f>SUMPRODUCT(SUMIFS(RawTransportationData!$H:$H,RawTransportationData!$A:$A,Compare!$P$1,RawTransportationData!$B:$B,Compare!$D267:$F267))</f>
        <v>47250</v>
      </c>
      <c r="T267" s="32">
        <f t="shared" si="36"/>
        <v>587225.56999999995</v>
      </c>
      <c r="U267" s="45"/>
      <c r="V267" s="85">
        <f>SUMPRODUCT(SUMIFS(RawTransportationData!$D:$D,RawTransportationData!$A:$A,Compare!$V$2,RawTransportationData!$B:$B,Compare!$D267:$F267))</f>
        <v>1565</v>
      </c>
      <c r="W267" s="86">
        <f>SUMPRODUCT(SUMIFS(RawTransportationData!$G:$G,RawTransportationData!$A:$A,Compare!$V$2,RawTransportationData!$B:$B,Compare!$D267:$F267))</f>
        <v>665775.13</v>
      </c>
      <c r="X267" s="32">
        <f t="shared" si="37"/>
        <v>425.41541853035142</v>
      </c>
      <c r="Y267" s="32">
        <f>SUMPRODUCT(SUMIFS(RawTransportationData!$H:$H,RawTransportationData!$A:$A,Compare!$V$1,RawTransportationData!$B:$B,Compare!$D267:$F267))</f>
        <v>16140</v>
      </c>
      <c r="Z267" s="32">
        <f t="shared" si="38"/>
        <v>649635.13</v>
      </c>
    </row>
    <row r="268" spans="1:26" x14ac:dyDescent="0.55000000000000004">
      <c r="A268">
        <f>FinalPayment!A266</f>
        <v>2021</v>
      </c>
      <c r="B268" t="str">
        <f>FinalPayment!B266</f>
        <v>01</v>
      </c>
      <c r="C268" t="str">
        <f>FinalPayment!C266</f>
        <v>6100</v>
      </c>
      <c r="D268" t="str">
        <f>FinalPayment!D266</f>
        <v/>
      </c>
      <c r="E268" t="str">
        <f>FinalPayment!E266</f>
        <v/>
      </c>
      <c r="F268" t="str">
        <f>FinalPayment!F266</f>
        <v>6100</v>
      </c>
      <c r="G268" s="28" t="str">
        <f>FinalPayment!G266</f>
        <v>South Winneshiek</v>
      </c>
      <c r="H268" s="85">
        <f>SUMPRODUCT(SUMIFS(RawTransportationData!$D:$D,RawTransportationData!$A:$A,Compare!$H$2,RawTransportationData!$B:$B,Compare!$D268:$F268))</f>
        <v>499</v>
      </c>
      <c r="I268" s="86">
        <f>SUMPRODUCT(SUMIFS(RawTransportationData!$G:$G,RawTransportationData!$A:$A,Compare!$H$2,RawTransportationData!$B:$B,Compare!$D268:$F268))</f>
        <v>252497.41</v>
      </c>
      <c r="J268" s="32">
        <f t="shared" si="39"/>
        <v>506.00683366733466</v>
      </c>
      <c r="K268" s="32">
        <f>SUMPRODUCT(SUMIFS(RawTransportationData!$H:$H,RawTransportationData!$A:$A,Compare!$E$1,RawTransportationData!$B:$B,Compare!$D268:$F268))</f>
        <v>79430</v>
      </c>
      <c r="L268" s="32">
        <f t="shared" si="32"/>
        <v>173067.41</v>
      </c>
      <c r="M268" s="70">
        <f t="shared" si="33"/>
        <v>0.23910099360866979</v>
      </c>
      <c r="N268" s="70">
        <f t="shared" si="34"/>
        <v>-0.16409358485958445</v>
      </c>
      <c r="O268" s="45"/>
      <c r="P268" s="85">
        <f>SUMPRODUCT(SUMIFS(RawTransportationData!$D:$D,RawTransportationData!$A:$A,Compare!$P$2,RawTransportationData!$B:$B,Compare!$D268:$F268))</f>
        <v>494</v>
      </c>
      <c r="Q268" s="86">
        <f>SUMPRODUCT(SUMIFS(RawTransportationData!$G:$G,RawTransportationData!$A:$A,Compare!$P$2,RawTransportationData!$B:$B,Compare!$D268:$F268))</f>
        <v>232026.93</v>
      </c>
      <c r="R268" s="32">
        <f t="shared" si="35"/>
        <v>469.69014170040487</v>
      </c>
      <c r="S268" s="32">
        <f>SUMPRODUCT(SUMIFS(RawTransportationData!$H:$H,RawTransportationData!$A:$A,Compare!$P$1,RawTransportationData!$B:$B,Compare!$D268:$F268))</f>
        <v>43779</v>
      </c>
      <c r="T268" s="32">
        <f t="shared" si="36"/>
        <v>188247.93</v>
      </c>
      <c r="U268" s="45"/>
      <c r="V268" s="85">
        <f>SUMPRODUCT(SUMIFS(RawTransportationData!$D:$D,RawTransportationData!$A:$A,Compare!$V$2,RawTransportationData!$B:$B,Compare!$D268:$F268))</f>
        <v>507</v>
      </c>
      <c r="W268" s="86">
        <f>SUMPRODUCT(SUMIFS(RawTransportationData!$G:$G,RawTransportationData!$A:$A,Compare!$V$2,RawTransportationData!$B:$B,Compare!$D268:$F268))</f>
        <v>207041.61</v>
      </c>
      <c r="X268" s="32">
        <f t="shared" si="37"/>
        <v>408.36609467455617</v>
      </c>
      <c r="Y268" s="32">
        <f>SUMPRODUCT(SUMIFS(RawTransportationData!$H:$H,RawTransportationData!$A:$A,Compare!$V$1,RawTransportationData!$B:$B,Compare!$D268:$F268))</f>
        <v>0</v>
      </c>
      <c r="Z268" s="32">
        <f t="shared" si="38"/>
        <v>207041.61</v>
      </c>
    </row>
    <row r="269" spans="1:26" x14ac:dyDescent="0.55000000000000004">
      <c r="A269">
        <f>FinalPayment!A267</f>
        <v>2021</v>
      </c>
      <c r="B269" t="str">
        <f>FinalPayment!B267</f>
        <v>11</v>
      </c>
      <c r="C269" t="str">
        <f>FinalPayment!C267</f>
        <v>6101</v>
      </c>
      <c r="D269" t="str">
        <f>FinalPayment!D267</f>
        <v/>
      </c>
      <c r="E269" t="str">
        <f>FinalPayment!E267</f>
        <v/>
      </c>
      <c r="F269" t="str">
        <f>FinalPayment!F267</f>
        <v>6101</v>
      </c>
      <c r="G269" s="28" t="str">
        <f>FinalPayment!G267</f>
        <v>Southeast Polk</v>
      </c>
      <c r="H269" s="85">
        <f>SUMPRODUCT(SUMIFS(RawTransportationData!$D:$D,RawTransportationData!$A:$A,Compare!$H$2,RawTransportationData!$B:$B,Compare!$D269:$F269))</f>
        <v>6894.4</v>
      </c>
      <c r="I269" s="86">
        <f>SUMPRODUCT(SUMIFS(RawTransportationData!$G:$G,RawTransportationData!$A:$A,Compare!$H$2,RawTransportationData!$B:$B,Compare!$D269:$F269))</f>
        <v>2362308.58</v>
      </c>
      <c r="J269" s="32">
        <f t="shared" si="39"/>
        <v>342.64164829426784</v>
      </c>
      <c r="K269" s="32">
        <f>SUMPRODUCT(SUMIFS(RawTransportationData!$H:$H,RawTransportationData!$A:$A,Compare!$E$1,RawTransportationData!$B:$B,Compare!$D269:$F269))</f>
        <v>5644</v>
      </c>
      <c r="L269" s="32">
        <f t="shared" si="32"/>
        <v>2356664.58</v>
      </c>
      <c r="M269" s="70">
        <f t="shared" si="33"/>
        <v>0.16114336257952225</v>
      </c>
      <c r="N269" s="70">
        <f t="shared" si="34"/>
        <v>0.17493385843583653</v>
      </c>
      <c r="O269" s="45"/>
      <c r="P269" s="85">
        <f>SUMPRODUCT(SUMIFS(RawTransportationData!$D:$D,RawTransportationData!$A:$A,Compare!$P$2,RawTransportationData!$B:$B,Compare!$D269:$F269))</f>
        <v>6843.1</v>
      </c>
      <c r="Q269" s="86">
        <f>SUMPRODUCT(SUMIFS(RawTransportationData!$G:$G,RawTransportationData!$A:$A,Compare!$P$2,RawTransportationData!$B:$B,Compare!$D269:$F269))</f>
        <v>2099749.92</v>
      </c>
      <c r="R269" s="32">
        <f t="shared" si="35"/>
        <v>306.84191667519104</v>
      </c>
      <c r="S269" s="32">
        <f>SUMPRODUCT(SUMIFS(RawTransportationData!$H:$H,RawTransportationData!$A:$A,Compare!$P$1,RawTransportationData!$B:$B,Compare!$D269:$F269))</f>
        <v>0</v>
      </c>
      <c r="T269" s="32">
        <f t="shared" si="36"/>
        <v>2099749.92</v>
      </c>
      <c r="U269" s="45"/>
      <c r="V269" s="85">
        <f>SUMPRODUCT(SUMIFS(RawTransportationData!$D:$D,RawTransportationData!$A:$A,Compare!$V$2,RawTransportationData!$B:$B,Compare!$D269:$F269))</f>
        <v>6797.2</v>
      </c>
      <c r="W269" s="86">
        <f>SUMPRODUCT(SUMIFS(RawTransportationData!$G:$G,RawTransportationData!$A:$A,Compare!$V$2,RawTransportationData!$B:$B,Compare!$D269:$F269))</f>
        <v>2005784.8900000001</v>
      </c>
      <c r="X269" s="32">
        <f t="shared" si="37"/>
        <v>295.08987377155302</v>
      </c>
      <c r="Y269" s="32">
        <f>SUMPRODUCT(SUMIFS(RawTransportationData!$H:$H,RawTransportationData!$A:$A,Compare!$V$1,RawTransportationData!$B:$B,Compare!$D269:$F269))</f>
        <v>0</v>
      </c>
      <c r="Z269" s="32">
        <f t="shared" si="38"/>
        <v>2005784.8900000001</v>
      </c>
    </row>
    <row r="270" spans="1:26" x14ac:dyDescent="0.55000000000000004">
      <c r="A270">
        <f>FinalPayment!A268</f>
        <v>2021</v>
      </c>
      <c r="B270" t="str">
        <f>FinalPayment!B268</f>
        <v>11</v>
      </c>
      <c r="C270" t="str">
        <f>FinalPayment!C268</f>
        <v>6094</v>
      </c>
      <c r="D270" t="str">
        <f>FinalPayment!D268</f>
        <v/>
      </c>
      <c r="E270" t="str">
        <f>FinalPayment!E268</f>
        <v/>
      </c>
      <c r="F270" t="str">
        <f>FinalPayment!F268</f>
        <v>6094</v>
      </c>
      <c r="G270" s="28" t="str">
        <f>FinalPayment!G268</f>
        <v>Southeast Warren</v>
      </c>
      <c r="H270" s="85">
        <f>SUMPRODUCT(SUMIFS(RawTransportationData!$D:$D,RawTransportationData!$A:$A,Compare!$H$2,RawTransportationData!$B:$B,Compare!$D270:$F270))</f>
        <v>540.9</v>
      </c>
      <c r="I270" s="86">
        <f>SUMPRODUCT(SUMIFS(RawTransportationData!$G:$G,RawTransportationData!$A:$A,Compare!$H$2,RawTransportationData!$B:$B,Compare!$D270:$F270))</f>
        <v>280291.74</v>
      </c>
      <c r="J270" s="32">
        <f t="shared" si="39"/>
        <v>518.19511924570156</v>
      </c>
      <c r="K270" s="32">
        <f>SUMPRODUCT(SUMIFS(RawTransportationData!$H:$H,RawTransportationData!$A:$A,Compare!$E$1,RawTransportationData!$B:$B,Compare!$D270:$F270))</f>
        <v>92693</v>
      </c>
      <c r="L270" s="32">
        <f t="shared" si="32"/>
        <v>187598.74</v>
      </c>
      <c r="M270" s="70">
        <f t="shared" si="33"/>
        <v>0.18968441986998386</v>
      </c>
      <c r="N270" s="70">
        <f t="shared" si="34"/>
        <v>-0.22309441089702722</v>
      </c>
      <c r="O270" s="45"/>
      <c r="P270" s="85">
        <f>SUMPRODUCT(SUMIFS(RawTransportationData!$D:$D,RawTransportationData!$A:$A,Compare!$P$2,RawTransportationData!$B:$B,Compare!$D270:$F270))</f>
        <v>552.70000000000005</v>
      </c>
      <c r="Q270" s="86">
        <f>SUMPRODUCT(SUMIFS(RawTransportationData!$G:$G,RawTransportationData!$A:$A,Compare!$P$2,RawTransportationData!$B:$B,Compare!$D270:$F270))</f>
        <v>314048.34000000003</v>
      </c>
      <c r="R270" s="32">
        <f t="shared" si="35"/>
        <v>568.20759905916407</v>
      </c>
      <c r="S270" s="32">
        <f>SUMPRODUCT(SUMIFS(RawTransportationData!$H:$H,RawTransportationData!$A:$A,Compare!$P$1,RawTransportationData!$B:$B,Compare!$D270:$F270))</f>
        <v>103433</v>
      </c>
      <c r="T270" s="32">
        <f t="shared" si="36"/>
        <v>210615.34000000003</v>
      </c>
      <c r="U270" s="45"/>
      <c r="V270" s="85">
        <f>SUMPRODUCT(SUMIFS(RawTransportationData!$D:$D,RawTransportationData!$A:$A,Compare!$V$2,RawTransportationData!$B:$B,Compare!$D270:$F270))</f>
        <v>581.70000000000005</v>
      </c>
      <c r="W270" s="86">
        <f>SUMPRODUCT(SUMIFS(RawTransportationData!$G:$G,RawTransportationData!$A:$A,Compare!$V$2,RawTransportationData!$B:$B,Compare!$D270:$F270))</f>
        <v>253373.16</v>
      </c>
      <c r="X270" s="32">
        <f t="shared" si="37"/>
        <v>435.57359463641052</v>
      </c>
      <c r="Y270" s="32">
        <f>SUMPRODUCT(SUMIFS(RawTransportationData!$H:$H,RawTransportationData!$A:$A,Compare!$V$1,RawTransportationData!$B:$B,Compare!$D270:$F270))</f>
        <v>11904</v>
      </c>
      <c r="Z270" s="32">
        <f t="shared" si="38"/>
        <v>241469.16</v>
      </c>
    </row>
    <row r="271" spans="1:26" x14ac:dyDescent="0.55000000000000004">
      <c r="A271">
        <f>FinalPayment!A269</f>
        <v>2021</v>
      </c>
      <c r="B271" t="str">
        <f>FinalPayment!B269</f>
        <v>05</v>
      </c>
      <c r="C271" t="str">
        <f>FinalPayment!C269</f>
        <v>6096</v>
      </c>
      <c r="D271" t="str">
        <f>FinalPayment!D269</f>
        <v/>
      </c>
      <c r="E271" t="str">
        <f>FinalPayment!E269</f>
        <v/>
      </c>
      <c r="F271" t="str">
        <f>FinalPayment!F269</f>
        <v>6096</v>
      </c>
      <c r="G271" s="28" t="str">
        <f>FinalPayment!G269</f>
        <v>Southeast Webster-Grand</v>
      </c>
      <c r="H271" s="85">
        <f>SUMPRODUCT(SUMIFS(RawTransportationData!$D:$D,RawTransportationData!$A:$A,Compare!$H$2,RawTransportationData!$B:$B,Compare!$D271:$F271))</f>
        <v>573.70000000000005</v>
      </c>
      <c r="I271" s="86">
        <f>SUMPRODUCT(SUMIFS(RawTransportationData!$G:$G,RawTransportationData!$A:$A,Compare!$H$2,RawTransportationData!$B:$B,Compare!$D271:$F271))</f>
        <v>444531.09</v>
      </c>
      <c r="J271" s="32">
        <f t="shared" si="39"/>
        <v>774.8493812096915</v>
      </c>
      <c r="K271" s="32">
        <f>SUMPRODUCT(SUMIFS(RawTransportationData!$H:$H,RawTransportationData!$A:$A,Compare!$E$1,RawTransportationData!$B:$B,Compare!$D271:$F271))</f>
        <v>245555</v>
      </c>
      <c r="L271" s="32">
        <f t="shared" si="32"/>
        <v>198976.09000000003</v>
      </c>
      <c r="M271" s="70">
        <f t="shared" si="33"/>
        <v>6.7134765815419314E-2</v>
      </c>
      <c r="N271" s="70">
        <f t="shared" si="34"/>
        <v>-0.12402203908414158</v>
      </c>
      <c r="O271" s="45"/>
      <c r="P271" s="85">
        <f>SUMPRODUCT(SUMIFS(RawTransportationData!$D:$D,RawTransportationData!$A:$A,Compare!$P$2,RawTransportationData!$B:$B,Compare!$D271:$F271))</f>
        <v>550</v>
      </c>
      <c r="Q271" s="86">
        <f>SUMPRODUCT(SUMIFS(RawTransportationData!$G:$G,RawTransportationData!$A:$A,Compare!$P$2,RawTransportationData!$B:$B,Compare!$D271:$F271))</f>
        <v>459337.8</v>
      </c>
      <c r="R271" s="32">
        <f t="shared" si="35"/>
        <v>835.15963636363631</v>
      </c>
      <c r="S271" s="32">
        <f>SUMPRODUCT(SUMIFS(RawTransportationData!$H:$H,RawTransportationData!$A:$A,Compare!$P$1,RawTransportationData!$B:$B,Compare!$D271:$F271))</f>
        <v>249751</v>
      </c>
      <c r="T271" s="32">
        <f t="shared" si="36"/>
        <v>209586.8</v>
      </c>
      <c r="U271" s="45"/>
      <c r="V271" s="85">
        <f>SUMPRODUCT(SUMIFS(RawTransportationData!$D:$D,RawTransportationData!$A:$A,Compare!$V$2,RawTransportationData!$B:$B,Compare!$D271:$F271))</f>
        <v>547.20000000000005</v>
      </c>
      <c r="W271" s="86">
        <f>SUMPRODUCT(SUMIFS(RawTransportationData!$G:$G,RawTransportationData!$A:$A,Compare!$V$2,RawTransportationData!$B:$B,Compare!$D271:$F271))</f>
        <v>397323.37</v>
      </c>
      <c r="X271" s="32">
        <f t="shared" si="37"/>
        <v>726.10264985380115</v>
      </c>
      <c r="Y271" s="32">
        <f>SUMPRODUCT(SUMIFS(RawTransportationData!$H:$H,RawTransportationData!$A:$A,Compare!$V$1,RawTransportationData!$B:$B,Compare!$D271:$F271))</f>
        <v>170176</v>
      </c>
      <c r="Z271" s="32">
        <f t="shared" si="38"/>
        <v>227147.37</v>
      </c>
    </row>
    <row r="272" spans="1:26" x14ac:dyDescent="0.55000000000000004">
      <c r="A272">
        <f>FinalPayment!A270</f>
        <v>2021</v>
      </c>
      <c r="B272" t="str">
        <f>FinalPayment!B270</f>
        <v>05</v>
      </c>
      <c r="C272" t="str">
        <f>FinalPayment!C270</f>
        <v>6102</v>
      </c>
      <c r="D272" t="str">
        <f>FinalPayment!D270</f>
        <v/>
      </c>
      <c r="E272" t="str">
        <f>FinalPayment!E270</f>
        <v/>
      </c>
      <c r="F272" t="str">
        <f>FinalPayment!F270</f>
        <v>6102</v>
      </c>
      <c r="G272" s="28" t="str">
        <f>FinalPayment!G270</f>
        <v>Spencer</v>
      </c>
      <c r="H272" s="85">
        <f>SUMPRODUCT(SUMIFS(RawTransportationData!$D:$D,RawTransportationData!$A:$A,Compare!$H$2,RawTransportationData!$B:$B,Compare!$D272:$F272))</f>
        <v>1957.5</v>
      </c>
      <c r="I272" s="86">
        <f>SUMPRODUCT(SUMIFS(RawTransportationData!$G:$G,RawTransportationData!$A:$A,Compare!$H$2,RawTransportationData!$B:$B,Compare!$D272:$F272))</f>
        <v>397337.35</v>
      </c>
      <c r="J272" s="32">
        <f t="shared" si="39"/>
        <v>202.98204342273306</v>
      </c>
      <c r="K272" s="32">
        <f>SUMPRODUCT(SUMIFS(RawTransportationData!$H:$H,RawTransportationData!$A:$A,Compare!$E$1,RawTransportationData!$B:$B,Compare!$D272:$F272))</f>
        <v>1602</v>
      </c>
      <c r="L272" s="32">
        <f t="shared" si="32"/>
        <v>395735.35</v>
      </c>
      <c r="M272" s="70">
        <f t="shared" si="33"/>
        <v>0.45519898928202612</v>
      </c>
      <c r="N272" s="70">
        <f t="shared" si="34"/>
        <v>0.53537564671000171</v>
      </c>
      <c r="O272" s="45"/>
      <c r="P272" s="85">
        <f>SUMPRODUCT(SUMIFS(RawTransportationData!$D:$D,RawTransportationData!$A:$A,Compare!$P$2,RawTransportationData!$B:$B,Compare!$D272:$F272))</f>
        <v>1896.6</v>
      </c>
      <c r="Q272" s="86">
        <f>SUMPRODUCT(SUMIFS(RawTransportationData!$G:$G,RawTransportationData!$A:$A,Compare!$P$2,RawTransportationData!$B:$B,Compare!$D272:$F272))</f>
        <v>338725.59</v>
      </c>
      <c r="R272" s="32">
        <f t="shared" si="35"/>
        <v>178.59621955077509</v>
      </c>
      <c r="S272" s="32">
        <f>SUMPRODUCT(SUMIFS(RawTransportationData!$H:$H,RawTransportationData!$A:$A,Compare!$P$1,RawTransportationData!$B:$B,Compare!$D272:$F272))</f>
        <v>0</v>
      </c>
      <c r="T272" s="32">
        <f t="shared" si="36"/>
        <v>338725.59</v>
      </c>
      <c r="U272" s="45"/>
      <c r="V272" s="85">
        <f>SUMPRODUCT(SUMIFS(RawTransportationData!$D:$D,RawTransportationData!$A:$A,Compare!$V$2,RawTransportationData!$B:$B,Compare!$D272:$F272))</f>
        <v>1847.8</v>
      </c>
      <c r="W272" s="86">
        <f>SUMPRODUCT(SUMIFS(RawTransportationData!$G:$G,RawTransportationData!$A:$A,Compare!$V$2,RawTransportationData!$B:$B,Compare!$D272:$F272))</f>
        <v>257744.97</v>
      </c>
      <c r="X272" s="32">
        <f t="shared" si="37"/>
        <v>139.4874824115164</v>
      </c>
      <c r="Y272" s="32">
        <f>SUMPRODUCT(SUMIFS(RawTransportationData!$H:$H,RawTransportationData!$A:$A,Compare!$V$1,RawTransportationData!$B:$B,Compare!$D272:$F272))</f>
        <v>0</v>
      </c>
      <c r="Z272" s="32">
        <f t="shared" si="38"/>
        <v>257744.97</v>
      </c>
    </row>
    <row r="273" spans="1:26" x14ac:dyDescent="0.55000000000000004">
      <c r="A273">
        <f>FinalPayment!A271</f>
        <v>2021</v>
      </c>
      <c r="B273" t="str">
        <f>FinalPayment!B271</f>
        <v>05</v>
      </c>
      <c r="C273" t="str">
        <f>FinalPayment!C271</f>
        <v>6120</v>
      </c>
      <c r="D273" t="str">
        <f>FinalPayment!D271</f>
        <v/>
      </c>
      <c r="E273" t="str">
        <f>FinalPayment!E271</f>
        <v/>
      </c>
      <c r="F273" t="str">
        <f>FinalPayment!F271</f>
        <v>6120</v>
      </c>
      <c r="G273" s="28" t="str">
        <f>FinalPayment!G271</f>
        <v>Spirit Lake</v>
      </c>
      <c r="H273" s="85">
        <f>SUMPRODUCT(SUMIFS(RawTransportationData!$D:$D,RawTransportationData!$A:$A,Compare!$H$2,RawTransportationData!$B:$B,Compare!$D273:$F273))</f>
        <v>1167.7</v>
      </c>
      <c r="I273" s="86">
        <f>SUMPRODUCT(SUMIFS(RawTransportationData!$G:$G,RawTransportationData!$A:$A,Compare!$H$2,RawTransportationData!$B:$B,Compare!$D273:$F273))</f>
        <v>396477.36000000004</v>
      </c>
      <c r="J273" s="32">
        <f t="shared" si="39"/>
        <v>339.5370043675602</v>
      </c>
      <c r="K273" s="32">
        <f>SUMPRODUCT(SUMIFS(RawTransportationData!$H:$H,RawTransportationData!$A:$A,Compare!$E$1,RawTransportationData!$B:$B,Compare!$D273:$F273))</f>
        <v>956</v>
      </c>
      <c r="L273" s="32">
        <f t="shared" si="32"/>
        <v>395521.36000000004</v>
      </c>
      <c r="M273" s="70">
        <f t="shared" si="33"/>
        <v>6.6422268993775554E-2</v>
      </c>
      <c r="N273" s="70">
        <f t="shared" si="34"/>
        <v>6.8058349399700041E-2</v>
      </c>
      <c r="O273" s="45"/>
      <c r="P273" s="85">
        <f>SUMPRODUCT(SUMIFS(RawTransportationData!$D:$D,RawTransportationData!$A:$A,Compare!$P$2,RawTransportationData!$B:$B,Compare!$D273:$F273))</f>
        <v>1161</v>
      </c>
      <c r="Q273" s="86">
        <f>SUMPRODUCT(SUMIFS(RawTransportationData!$G:$G,RawTransportationData!$A:$A,Compare!$P$2,RawTransportationData!$B:$B,Compare!$D273:$F273))</f>
        <v>318720.23</v>
      </c>
      <c r="R273" s="32">
        <f t="shared" si="35"/>
        <v>274.52216192937124</v>
      </c>
      <c r="S273" s="32">
        <f>SUMPRODUCT(SUMIFS(RawTransportationData!$H:$H,RawTransportationData!$A:$A,Compare!$P$1,RawTransportationData!$B:$B,Compare!$D273:$F273))</f>
        <v>0</v>
      </c>
      <c r="T273" s="32">
        <f t="shared" si="36"/>
        <v>318720.23</v>
      </c>
      <c r="U273" s="45"/>
      <c r="V273" s="85">
        <f>SUMPRODUCT(SUMIFS(RawTransportationData!$D:$D,RawTransportationData!$A:$A,Compare!$V$2,RawTransportationData!$B:$B,Compare!$D273:$F273))</f>
        <v>1163.0999999999999</v>
      </c>
      <c r="W273" s="86">
        <f>SUMPRODUCT(SUMIFS(RawTransportationData!$G:$G,RawTransportationData!$A:$A,Compare!$V$2,RawTransportationData!$B:$B,Compare!$D273:$F273))</f>
        <v>370318.12</v>
      </c>
      <c r="X273" s="32">
        <f t="shared" si="37"/>
        <v>318.38889175479324</v>
      </c>
      <c r="Y273" s="32">
        <f>SUMPRODUCT(SUMIFS(RawTransportationData!$H:$H,RawTransportationData!$A:$A,Compare!$V$1,RawTransportationData!$B:$B,Compare!$D273:$F273))</f>
        <v>0</v>
      </c>
      <c r="Z273" s="32">
        <f t="shared" si="38"/>
        <v>370318.12</v>
      </c>
    </row>
    <row r="274" spans="1:26" x14ac:dyDescent="0.55000000000000004">
      <c r="A274">
        <f>FinalPayment!A272</f>
        <v>2021</v>
      </c>
      <c r="B274" t="str">
        <f>FinalPayment!B272</f>
        <v>10</v>
      </c>
      <c r="C274" t="str">
        <f>FinalPayment!C272</f>
        <v>6138</v>
      </c>
      <c r="D274" t="str">
        <f>FinalPayment!D272</f>
        <v/>
      </c>
      <c r="E274" t="str">
        <f>FinalPayment!E272</f>
        <v/>
      </c>
      <c r="F274" t="str">
        <f>FinalPayment!F272</f>
        <v>6138</v>
      </c>
      <c r="G274" s="28" t="str">
        <f>FinalPayment!G272</f>
        <v>Springville</v>
      </c>
      <c r="H274" s="85">
        <f>SUMPRODUCT(SUMIFS(RawTransportationData!$D:$D,RawTransportationData!$A:$A,Compare!$H$2,RawTransportationData!$B:$B,Compare!$D274:$F274))</f>
        <v>382.1</v>
      </c>
      <c r="I274" s="86">
        <f>SUMPRODUCT(SUMIFS(RawTransportationData!$G:$G,RawTransportationData!$A:$A,Compare!$H$2,RawTransportationData!$B:$B,Compare!$D274:$F274))</f>
        <v>113512.92</v>
      </c>
      <c r="J274" s="32">
        <f t="shared" si="39"/>
        <v>297.07647212771525</v>
      </c>
      <c r="K274" s="32">
        <f>SUMPRODUCT(SUMIFS(RawTransportationData!$H:$H,RawTransportationData!$A:$A,Compare!$E$1,RawTransportationData!$B:$B,Compare!$D274:$F274))</f>
        <v>313</v>
      </c>
      <c r="L274" s="32">
        <f t="shared" si="32"/>
        <v>113199.92</v>
      </c>
      <c r="M274" s="70">
        <f t="shared" si="33"/>
        <v>0.20006851232072381</v>
      </c>
      <c r="N274" s="70">
        <f t="shared" si="34"/>
        <v>0.23991807334120574</v>
      </c>
      <c r="O274" s="45"/>
      <c r="P274" s="85">
        <f>SUMPRODUCT(SUMIFS(RawTransportationData!$D:$D,RawTransportationData!$A:$A,Compare!$P$2,RawTransportationData!$B:$B,Compare!$D274:$F274))</f>
        <v>390.1</v>
      </c>
      <c r="Q274" s="86">
        <f>SUMPRODUCT(SUMIFS(RawTransportationData!$G:$G,RawTransportationData!$A:$A,Compare!$P$2,RawTransportationData!$B:$B,Compare!$D274:$F274))</f>
        <v>106372.67</v>
      </c>
      <c r="R274" s="32">
        <f t="shared" si="35"/>
        <v>272.6805178159446</v>
      </c>
      <c r="S274" s="32">
        <f>SUMPRODUCT(SUMIFS(RawTransportationData!$H:$H,RawTransportationData!$A:$A,Compare!$P$1,RawTransportationData!$B:$B,Compare!$D274:$F274))</f>
        <v>0</v>
      </c>
      <c r="T274" s="32">
        <f t="shared" si="36"/>
        <v>106372.67</v>
      </c>
      <c r="U274" s="45"/>
      <c r="V274" s="85">
        <f>SUMPRODUCT(SUMIFS(RawTransportationData!$D:$D,RawTransportationData!$A:$A,Compare!$V$2,RawTransportationData!$B:$B,Compare!$D274:$F274))</f>
        <v>368.8</v>
      </c>
      <c r="W274" s="86">
        <f>SUMPRODUCT(SUMIFS(RawTransportationData!$G:$G,RawTransportationData!$A:$A,Compare!$V$2,RawTransportationData!$B:$B,Compare!$D274:$F274))</f>
        <v>91296.290000000008</v>
      </c>
      <c r="X274" s="32">
        <f t="shared" si="37"/>
        <v>247.54959327548809</v>
      </c>
      <c r="Y274" s="32">
        <f>SUMPRODUCT(SUMIFS(RawTransportationData!$H:$H,RawTransportationData!$A:$A,Compare!$V$1,RawTransportationData!$B:$B,Compare!$D274:$F274))</f>
        <v>0</v>
      </c>
      <c r="Z274" s="32">
        <f t="shared" si="38"/>
        <v>91296.290000000008</v>
      </c>
    </row>
    <row r="275" spans="1:26" x14ac:dyDescent="0.55000000000000004">
      <c r="A275">
        <f>FinalPayment!A273</f>
        <v>2021</v>
      </c>
      <c r="B275" t="str">
        <f>FinalPayment!B273</f>
        <v>07</v>
      </c>
      <c r="C275" t="str">
        <f>FinalPayment!C273</f>
        <v>5751</v>
      </c>
      <c r="D275" t="str">
        <f>FinalPayment!D273</f>
        <v/>
      </c>
      <c r="E275" t="str">
        <f>FinalPayment!E273</f>
        <v/>
      </c>
      <c r="F275" t="str">
        <f>FinalPayment!F273</f>
        <v>5751</v>
      </c>
      <c r="G275" s="28" t="str">
        <f>FinalPayment!G273</f>
        <v>St Ansgar</v>
      </c>
      <c r="H275" s="85">
        <f>SUMPRODUCT(SUMIFS(RawTransportationData!$D:$D,RawTransportationData!$A:$A,Compare!$H$2,RawTransportationData!$B:$B,Compare!$D275:$F275))</f>
        <v>577.79999999999995</v>
      </c>
      <c r="I275" s="86">
        <f>SUMPRODUCT(SUMIFS(RawTransportationData!$G:$G,RawTransportationData!$A:$A,Compare!$H$2,RawTransportationData!$B:$B,Compare!$D275:$F275))</f>
        <v>343202.9</v>
      </c>
      <c r="J275" s="32">
        <f t="shared" si="39"/>
        <v>593.98217376254763</v>
      </c>
      <c r="K275" s="32">
        <f>SUMPRODUCT(SUMIFS(RawTransportationData!$H:$H,RawTransportationData!$A:$A,Compare!$E$1,RawTransportationData!$B:$B,Compare!$D275:$F275))</f>
        <v>142802</v>
      </c>
      <c r="L275" s="32">
        <f t="shared" si="32"/>
        <v>200400.90000000002</v>
      </c>
      <c r="M275" s="70">
        <f t="shared" si="33"/>
        <v>-6.6644175497209635E-2</v>
      </c>
      <c r="N275" s="70">
        <f t="shared" si="34"/>
        <v>-0.195795280254455</v>
      </c>
      <c r="O275" s="45"/>
      <c r="P275" s="85">
        <f>SUMPRODUCT(SUMIFS(RawTransportationData!$D:$D,RawTransportationData!$A:$A,Compare!$P$2,RawTransportationData!$B:$B,Compare!$D275:$F275))</f>
        <v>594.4</v>
      </c>
      <c r="Q275" s="86">
        <f>SUMPRODUCT(SUMIFS(RawTransportationData!$G:$G,RawTransportationData!$A:$A,Compare!$P$2,RawTransportationData!$B:$B,Compare!$D275:$F275))</f>
        <v>392382.32</v>
      </c>
      <c r="R275" s="32">
        <f t="shared" si="35"/>
        <v>660.13176312247651</v>
      </c>
      <c r="S275" s="32">
        <f>SUMPRODUCT(SUMIFS(RawTransportationData!$H:$H,RawTransportationData!$A:$A,Compare!$P$1,RawTransportationData!$B:$B,Compare!$D275:$F275))</f>
        <v>165875</v>
      </c>
      <c r="T275" s="32">
        <f t="shared" si="36"/>
        <v>226507.32</v>
      </c>
      <c r="U275" s="45"/>
      <c r="V275" s="85">
        <f>SUMPRODUCT(SUMIFS(RawTransportationData!$D:$D,RawTransportationData!$A:$A,Compare!$V$2,RawTransportationData!$B:$B,Compare!$D275:$F275))</f>
        <v>600.29999999999995</v>
      </c>
      <c r="W275" s="86">
        <f>SUMPRODUCT(SUMIFS(RawTransportationData!$G:$G,RawTransportationData!$A:$A,Compare!$V$2,RawTransportationData!$B:$B,Compare!$D275:$F275))</f>
        <v>382027.4</v>
      </c>
      <c r="X275" s="32">
        <f t="shared" si="37"/>
        <v>636.39413626520081</v>
      </c>
      <c r="Y275" s="32">
        <f>SUMPRODUCT(SUMIFS(RawTransportationData!$H:$H,RawTransportationData!$A:$A,Compare!$V$1,RawTransportationData!$B:$B,Compare!$D275:$F275))</f>
        <v>132836</v>
      </c>
      <c r="Z275" s="32">
        <f t="shared" si="38"/>
        <v>249191.40000000002</v>
      </c>
    </row>
    <row r="276" spans="1:26" x14ac:dyDescent="0.55000000000000004">
      <c r="A276">
        <f>FinalPayment!A274</f>
        <v>2021</v>
      </c>
      <c r="B276" t="str">
        <f>FinalPayment!B274</f>
        <v>13</v>
      </c>
      <c r="C276" t="str">
        <f>FinalPayment!C274</f>
        <v>6165</v>
      </c>
      <c r="D276" t="str">
        <f>FinalPayment!D274</f>
        <v/>
      </c>
      <c r="E276" t="str">
        <f>FinalPayment!E274</f>
        <v/>
      </c>
      <c r="F276" t="str">
        <f>FinalPayment!F274</f>
        <v>6165</v>
      </c>
      <c r="G276" s="28" t="str">
        <f>FinalPayment!G274</f>
        <v>Stanton</v>
      </c>
      <c r="H276" s="85">
        <f>SUMPRODUCT(SUMIFS(RawTransportationData!$D:$D,RawTransportationData!$A:$A,Compare!$H$2,RawTransportationData!$B:$B,Compare!$D276:$F276))</f>
        <v>172.1</v>
      </c>
      <c r="I276" s="86">
        <f>SUMPRODUCT(SUMIFS(RawTransportationData!$G:$G,RawTransportationData!$A:$A,Compare!$H$2,RawTransportationData!$B:$B,Compare!$D276:$F276))</f>
        <v>58151.73</v>
      </c>
      <c r="J276" s="32">
        <f t="shared" si="39"/>
        <v>337.89500290528764</v>
      </c>
      <c r="K276" s="32">
        <f>SUMPRODUCT(SUMIFS(RawTransportationData!$H:$H,RawTransportationData!$A:$A,Compare!$E$1,RawTransportationData!$B:$B,Compare!$D276:$F276))</f>
        <v>141</v>
      </c>
      <c r="L276" s="32">
        <f t="shared" si="32"/>
        <v>58010.73</v>
      </c>
      <c r="M276" s="70">
        <f t="shared" si="33"/>
        <v>-0.14654911885209715</v>
      </c>
      <c r="N276" s="70">
        <f t="shared" si="34"/>
        <v>-0.28210308355182856</v>
      </c>
      <c r="O276" s="45"/>
      <c r="P276" s="85">
        <f>SUMPRODUCT(SUMIFS(RawTransportationData!$D:$D,RawTransportationData!$A:$A,Compare!$P$2,RawTransportationData!$B:$B,Compare!$D276:$F276))</f>
        <v>190.1</v>
      </c>
      <c r="Q276" s="86">
        <f>SUMPRODUCT(SUMIFS(RawTransportationData!$G:$G,RawTransportationData!$A:$A,Compare!$P$2,RawTransportationData!$B:$B,Compare!$D276:$F276))</f>
        <v>83233.070000000007</v>
      </c>
      <c r="R276" s="32">
        <f t="shared" si="35"/>
        <v>437.83834823776965</v>
      </c>
      <c r="S276" s="32">
        <f>SUMPRODUCT(SUMIFS(RawTransportationData!$H:$H,RawTransportationData!$A:$A,Compare!$P$1,RawTransportationData!$B:$B,Compare!$D276:$F276))</f>
        <v>10792</v>
      </c>
      <c r="T276" s="32">
        <f t="shared" si="36"/>
        <v>72441.070000000007</v>
      </c>
      <c r="U276" s="45"/>
      <c r="V276" s="85">
        <f>SUMPRODUCT(SUMIFS(RawTransportationData!$D:$D,RawTransportationData!$A:$A,Compare!$V$2,RawTransportationData!$B:$B,Compare!$D276:$F276))</f>
        <v>204.1</v>
      </c>
      <c r="W276" s="86">
        <f>SUMPRODUCT(SUMIFS(RawTransportationData!$G:$G,RawTransportationData!$A:$A,Compare!$V$2,RawTransportationData!$B:$B,Compare!$D276:$F276))</f>
        <v>80806.490000000005</v>
      </c>
      <c r="X276" s="32">
        <f t="shared" si="37"/>
        <v>395.91616854483101</v>
      </c>
      <c r="Y276" s="32">
        <f>SUMPRODUCT(SUMIFS(RawTransportationData!$H:$H,RawTransportationData!$A:$A,Compare!$V$1,RawTransportationData!$B:$B,Compare!$D276:$F276))</f>
        <v>0</v>
      </c>
      <c r="Z276" s="32">
        <f t="shared" si="38"/>
        <v>80806.490000000005</v>
      </c>
    </row>
    <row r="277" spans="1:26" x14ac:dyDescent="0.55000000000000004">
      <c r="A277">
        <f>FinalPayment!A275</f>
        <v>2021</v>
      </c>
      <c r="B277" t="str">
        <f>FinalPayment!B275</f>
        <v>01</v>
      </c>
      <c r="C277" t="str">
        <f>FinalPayment!C275</f>
        <v>6175</v>
      </c>
      <c r="D277" t="str">
        <f>FinalPayment!D275</f>
        <v/>
      </c>
      <c r="E277" t="str">
        <f>FinalPayment!E275</f>
        <v/>
      </c>
      <c r="F277" t="str">
        <f>FinalPayment!F275</f>
        <v>6175</v>
      </c>
      <c r="G277" s="28" t="str">
        <f>FinalPayment!G275</f>
        <v>Starmont</v>
      </c>
      <c r="H277" s="85">
        <f>SUMPRODUCT(SUMIFS(RawTransportationData!$D:$D,RawTransportationData!$A:$A,Compare!$H$2,RawTransportationData!$B:$B,Compare!$D277:$F277))</f>
        <v>599</v>
      </c>
      <c r="I277" s="86">
        <f>SUMPRODUCT(SUMIFS(RawTransportationData!$G:$G,RawTransportationData!$A:$A,Compare!$H$2,RawTransportationData!$B:$B,Compare!$D277:$F277))</f>
        <v>235585.59</v>
      </c>
      <c r="J277" s="32">
        <f t="shared" si="39"/>
        <v>393.29814691151921</v>
      </c>
      <c r="K277" s="32">
        <f>SUMPRODUCT(SUMIFS(RawTransportationData!$H:$H,RawTransportationData!$A:$A,Compare!$E$1,RawTransportationData!$B:$B,Compare!$D277:$F277))</f>
        <v>27834</v>
      </c>
      <c r="L277" s="32">
        <f t="shared" si="32"/>
        <v>207751.59</v>
      </c>
      <c r="M277" s="70">
        <f t="shared" si="33"/>
        <v>0.19502283743915347</v>
      </c>
      <c r="N277" s="70">
        <f t="shared" si="34"/>
        <v>-3.4006444098831114E-3</v>
      </c>
      <c r="O277" s="45"/>
      <c r="P277" s="85">
        <f>SUMPRODUCT(SUMIFS(RawTransportationData!$D:$D,RawTransportationData!$A:$A,Compare!$P$2,RawTransportationData!$B:$B,Compare!$D277:$F277))</f>
        <v>619.4</v>
      </c>
      <c r="Q277" s="86">
        <f>SUMPRODUCT(SUMIFS(RawTransportationData!$G:$G,RawTransportationData!$A:$A,Compare!$P$2,RawTransportationData!$B:$B,Compare!$D277:$F277))</f>
        <v>228270.88</v>
      </c>
      <c r="R277" s="32">
        <f t="shared" si="35"/>
        <v>368.53548595414918</v>
      </c>
      <c r="S277" s="32">
        <f>SUMPRODUCT(SUMIFS(RawTransportationData!$H:$H,RawTransportationData!$A:$A,Compare!$P$1,RawTransportationData!$B:$B,Compare!$D277:$F277))</f>
        <v>0</v>
      </c>
      <c r="T277" s="32">
        <f t="shared" si="36"/>
        <v>228270.88</v>
      </c>
      <c r="U277" s="45"/>
      <c r="V277" s="85">
        <f>SUMPRODUCT(SUMIFS(RawTransportationData!$D:$D,RawTransportationData!$A:$A,Compare!$V$2,RawTransportationData!$B:$B,Compare!$D277:$F277))</f>
        <v>633.4</v>
      </c>
      <c r="W277" s="86">
        <f>SUMPRODUCT(SUMIFS(RawTransportationData!$G:$G,RawTransportationData!$A:$A,Compare!$V$2,RawTransportationData!$B:$B,Compare!$D277:$F277))</f>
        <v>208460.49</v>
      </c>
      <c r="X277" s="32">
        <f t="shared" si="37"/>
        <v>329.11349857909693</v>
      </c>
      <c r="Y277" s="32">
        <f>SUMPRODUCT(SUMIFS(RawTransportationData!$H:$H,RawTransportationData!$A:$A,Compare!$V$1,RawTransportationData!$B:$B,Compare!$D277:$F277))</f>
        <v>0</v>
      </c>
      <c r="Z277" s="32">
        <f t="shared" si="38"/>
        <v>208460.49</v>
      </c>
    </row>
    <row r="278" spans="1:26" x14ac:dyDescent="0.55000000000000004">
      <c r="A278">
        <f>FinalPayment!A276</f>
        <v>2021</v>
      </c>
      <c r="B278" t="str">
        <f>FinalPayment!B276</f>
        <v>05</v>
      </c>
      <c r="C278" t="str">
        <f>FinalPayment!C276</f>
        <v>6219</v>
      </c>
      <c r="D278" t="str">
        <f>FinalPayment!D276</f>
        <v/>
      </c>
      <c r="E278" t="str">
        <f>FinalPayment!E276</f>
        <v/>
      </c>
      <c r="F278" t="str">
        <f>FinalPayment!F276</f>
        <v>6219</v>
      </c>
      <c r="G278" s="28" t="str">
        <f>FinalPayment!G276</f>
        <v>Storm Lake</v>
      </c>
      <c r="H278" s="85">
        <f>SUMPRODUCT(SUMIFS(RawTransportationData!$D:$D,RawTransportationData!$A:$A,Compare!$H$2,RawTransportationData!$B:$B,Compare!$D278:$F278))</f>
        <v>2385.5</v>
      </c>
      <c r="I278" s="86">
        <f>SUMPRODUCT(SUMIFS(RawTransportationData!$G:$G,RawTransportationData!$A:$A,Compare!$H$2,RawTransportationData!$B:$B,Compare!$D278:$F278))</f>
        <v>394940.59</v>
      </c>
      <c r="J278" s="32">
        <f t="shared" si="39"/>
        <v>165.55883043387132</v>
      </c>
      <c r="K278" s="32">
        <f>SUMPRODUCT(SUMIFS(RawTransportationData!$H:$H,RawTransportationData!$A:$A,Compare!$E$1,RawTransportationData!$B:$B,Compare!$D278:$F278))</f>
        <v>1953</v>
      </c>
      <c r="L278" s="32">
        <f t="shared" si="32"/>
        <v>392987.59</v>
      </c>
      <c r="M278" s="70">
        <f t="shared" si="33"/>
        <v>-4.9749997675964004E-3</v>
      </c>
      <c r="N278" s="70">
        <f t="shared" si="34"/>
        <v>3.1980781337585085E-2</v>
      </c>
      <c r="O278" s="45"/>
      <c r="P278" s="85">
        <f>SUMPRODUCT(SUMIFS(RawTransportationData!$D:$D,RawTransportationData!$A:$A,Compare!$P$2,RawTransportationData!$B:$B,Compare!$D278:$F278))</f>
        <v>2348.1999999999998</v>
      </c>
      <c r="Q278" s="86">
        <f>SUMPRODUCT(SUMIFS(RawTransportationData!$G:$G,RawTransportationData!$A:$A,Compare!$P$2,RawTransportationData!$B:$B,Compare!$D278:$F278))</f>
        <v>385075.09</v>
      </c>
      <c r="R278" s="32">
        <f t="shared" si="35"/>
        <v>163.98734775572782</v>
      </c>
      <c r="S278" s="32">
        <f>SUMPRODUCT(SUMIFS(RawTransportationData!$H:$H,RawTransportationData!$A:$A,Compare!$P$1,RawTransportationData!$B:$B,Compare!$D278:$F278))</f>
        <v>0</v>
      </c>
      <c r="T278" s="32">
        <f t="shared" si="36"/>
        <v>385075.09</v>
      </c>
      <c r="U278" s="45"/>
      <c r="V278" s="85">
        <f>SUMPRODUCT(SUMIFS(RawTransportationData!$D:$D,RawTransportationData!$A:$A,Compare!$V$2,RawTransportationData!$B:$B,Compare!$D278:$F278))</f>
        <v>2288.7000000000003</v>
      </c>
      <c r="W278" s="86">
        <f>SUMPRODUCT(SUMIFS(RawTransportationData!$G:$G,RawTransportationData!$A:$A,Compare!$V$2,RawTransportationData!$B:$B,Compare!$D278:$F278))</f>
        <v>380809.01999999996</v>
      </c>
      <c r="X278" s="32">
        <f t="shared" si="37"/>
        <v>166.38660374885302</v>
      </c>
      <c r="Y278" s="32">
        <f>SUMPRODUCT(SUMIFS(RawTransportationData!$H:$H,RawTransportationData!$A:$A,Compare!$V$1,RawTransportationData!$B:$B,Compare!$D278:$F278))</f>
        <v>0</v>
      </c>
      <c r="Z278" s="32">
        <f t="shared" si="38"/>
        <v>380809.01999999996</v>
      </c>
    </row>
    <row r="279" spans="1:26" x14ac:dyDescent="0.55000000000000004">
      <c r="A279">
        <f>FinalPayment!A277</f>
        <v>2021</v>
      </c>
      <c r="B279" t="str">
        <f>FinalPayment!B277</f>
        <v>05</v>
      </c>
      <c r="C279" t="str">
        <f>FinalPayment!C277</f>
        <v>6246</v>
      </c>
      <c r="D279" t="str">
        <f>FinalPayment!D277</f>
        <v/>
      </c>
      <c r="E279" t="str">
        <f>FinalPayment!E277</f>
        <v/>
      </c>
      <c r="F279" t="str">
        <f>FinalPayment!F277</f>
        <v>6246</v>
      </c>
      <c r="G279" s="28" t="str">
        <f>FinalPayment!G277</f>
        <v>Stratford</v>
      </c>
      <c r="H279" s="85">
        <f>SUMPRODUCT(SUMIFS(RawTransportationData!$D:$D,RawTransportationData!$A:$A,Compare!$H$2,RawTransportationData!$B:$B,Compare!$D279:$F279))</f>
        <v>141.69999999999999</v>
      </c>
      <c r="I279" s="86">
        <f>SUMPRODUCT(SUMIFS(RawTransportationData!$G:$G,RawTransportationData!$A:$A,Compare!$H$2,RawTransportationData!$B:$B,Compare!$D279:$F279))</f>
        <v>77796</v>
      </c>
      <c r="J279" s="32">
        <f t="shared" si="39"/>
        <v>549.01905434015532</v>
      </c>
      <c r="K279" s="32">
        <f>SUMPRODUCT(SUMIFS(RawTransportationData!$H:$H,RawTransportationData!$A:$A,Compare!$E$1,RawTransportationData!$B:$B,Compare!$D279:$F279))</f>
        <v>28650</v>
      </c>
      <c r="L279" s="32">
        <f t="shared" si="32"/>
        <v>49146</v>
      </c>
      <c r="M279" s="70">
        <f t="shared" si="33"/>
        <v>0.14263396767145348</v>
      </c>
      <c r="N279" s="70">
        <f t="shared" si="34"/>
        <v>-0.26325595117275502</v>
      </c>
      <c r="O279" s="45"/>
      <c r="P279" s="85">
        <f>SUMPRODUCT(SUMIFS(RawTransportationData!$D:$D,RawTransportationData!$A:$A,Compare!$P$2,RawTransportationData!$B:$B,Compare!$D279:$F279))</f>
        <v>150.80000000000001</v>
      </c>
      <c r="Q279" s="86">
        <f>SUMPRODUCT(SUMIFS(RawTransportationData!$G:$G,RawTransportationData!$A:$A,Compare!$P$2,RawTransportationData!$B:$B,Compare!$D279:$F279))</f>
        <v>72404.789999999994</v>
      </c>
      <c r="R279" s="32">
        <f t="shared" si="35"/>
        <v>480.13786472148536</v>
      </c>
      <c r="S279" s="32">
        <f>SUMPRODUCT(SUMIFS(RawTransportationData!$H:$H,RawTransportationData!$A:$A,Compare!$P$1,RawTransportationData!$B:$B,Compare!$D279:$F279))</f>
        <v>14940</v>
      </c>
      <c r="T279" s="32">
        <f t="shared" si="36"/>
        <v>57464.789999999994</v>
      </c>
      <c r="U279" s="45"/>
      <c r="V279" s="85">
        <f>SUMPRODUCT(SUMIFS(RawTransportationData!$D:$D,RawTransportationData!$A:$A,Compare!$V$2,RawTransportationData!$B:$B,Compare!$D279:$F279))</f>
        <v>160.69999999999999</v>
      </c>
      <c r="W279" s="86">
        <f>SUMPRODUCT(SUMIFS(RawTransportationData!$G:$G,RawTransportationData!$A:$A,Compare!$V$2,RawTransportationData!$B:$B,Compare!$D279:$F279))</f>
        <v>77214.01999999999</v>
      </c>
      <c r="X279" s="32">
        <f t="shared" si="37"/>
        <v>480.48550093341629</v>
      </c>
      <c r="Y279" s="32">
        <f>SUMPRODUCT(SUMIFS(RawTransportationData!$H:$H,RawTransportationData!$A:$A,Compare!$V$1,RawTransportationData!$B:$B,Compare!$D279:$F279))</f>
        <v>10507</v>
      </c>
      <c r="Z279" s="32">
        <f t="shared" si="38"/>
        <v>66707.01999999999</v>
      </c>
    </row>
    <row r="280" spans="1:26" x14ac:dyDescent="0.55000000000000004">
      <c r="A280">
        <f>FinalPayment!A278</f>
        <v>2021</v>
      </c>
      <c r="B280" t="str">
        <f>FinalPayment!B278</f>
        <v>07</v>
      </c>
      <c r="C280" t="str">
        <f>FinalPayment!C278</f>
        <v>6273</v>
      </c>
      <c r="D280" t="str">
        <f>FinalPayment!D278</f>
        <v/>
      </c>
      <c r="E280" t="str">
        <f>FinalPayment!E278</f>
        <v/>
      </c>
      <c r="F280" t="str">
        <f>FinalPayment!F278</f>
        <v>6273</v>
      </c>
      <c r="G280" s="28" t="str">
        <f>FinalPayment!G278</f>
        <v>Sumner-Fredericksburg</v>
      </c>
      <c r="H280" s="85">
        <f>SUMPRODUCT(SUMIFS(RawTransportationData!$D:$D,RawTransportationData!$A:$A,Compare!$H$2,RawTransportationData!$B:$B,Compare!$D280:$F280))</f>
        <v>818.8</v>
      </c>
      <c r="I280" s="86">
        <f>SUMPRODUCT(SUMIFS(RawTransportationData!$G:$G,RawTransportationData!$A:$A,Compare!$H$2,RawTransportationData!$B:$B,Compare!$D280:$F280))</f>
        <v>445240.08999999997</v>
      </c>
      <c r="J280" s="32">
        <f t="shared" si="39"/>
        <v>543.77148265754761</v>
      </c>
      <c r="K280" s="32">
        <f>SUMPRODUCT(SUMIFS(RawTransportationData!$H:$H,RawTransportationData!$A:$A,Compare!$E$1,RawTransportationData!$B:$B,Compare!$D280:$F280))</f>
        <v>161253</v>
      </c>
      <c r="L280" s="32">
        <f t="shared" si="32"/>
        <v>283987.08999999997</v>
      </c>
      <c r="M280" s="70">
        <f t="shared" si="33"/>
        <v>0.40145328121360385</v>
      </c>
      <c r="N280" s="70">
        <f t="shared" si="34"/>
        <v>-0.10894174931346177</v>
      </c>
      <c r="O280" s="45"/>
      <c r="P280" s="85">
        <f>SUMPRODUCT(SUMIFS(RawTransportationData!$D:$D,RawTransportationData!$A:$A,Compare!$P$2,RawTransportationData!$B:$B,Compare!$D280:$F280))</f>
        <v>809.4</v>
      </c>
      <c r="Q280" s="86">
        <f>SUMPRODUCT(SUMIFS(RawTransportationData!$G:$G,RawTransportationData!$A:$A,Compare!$P$2,RawTransportationData!$B:$B,Compare!$D280:$F280))</f>
        <v>380250.34</v>
      </c>
      <c r="R280" s="32">
        <f t="shared" si="35"/>
        <v>469.79285890783302</v>
      </c>
      <c r="S280" s="32">
        <f>SUMPRODUCT(SUMIFS(RawTransportationData!$H:$H,RawTransportationData!$A:$A,Compare!$P$1,RawTransportationData!$B:$B,Compare!$D280:$F280))</f>
        <v>71812</v>
      </c>
      <c r="T280" s="32">
        <f t="shared" si="36"/>
        <v>308438.34000000003</v>
      </c>
      <c r="U280" s="45"/>
      <c r="V280" s="85">
        <f>SUMPRODUCT(SUMIFS(RawTransportationData!$D:$D,RawTransportationData!$A:$A,Compare!$V$2,RawTransportationData!$B:$B,Compare!$D280:$F280))</f>
        <v>821.4</v>
      </c>
      <c r="W280" s="86">
        <f>SUMPRODUCT(SUMIFS(RawTransportationData!$G:$G,RawTransportationData!$A:$A,Compare!$V$2,RawTransportationData!$B:$B,Compare!$D280:$F280))</f>
        <v>318707.65999999997</v>
      </c>
      <c r="X280" s="32">
        <f t="shared" si="37"/>
        <v>388.00542975407836</v>
      </c>
      <c r="Y280" s="32">
        <f>SUMPRODUCT(SUMIFS(RawTransportationData!$H:$H,RawTransportationData!$A:$A,Compare!$V$1,RawTransportationData!$B:$B,Compare!$D280:$F280))</f>
        <v>0</v>
      </c>
      <c r="Z280" s="32">
        <f t="shared" si="38"/>
        <v>318707.65999999997</v>
      </c>
    </row>
    <row r="281" spans="1:26" x14ac:dyDescent="0.55000000000000004">
      <c r="A281">
        <f>FinalPayment!A279</f>
        <v>2021</v>
      </c>
      <c r="B281" t="str">
        <f>FinalPayment!B279</f>
        <v>10</v>
      </c>
      <c r="C281" t="str">
        <f>FinalPayment!C279</f>
        <v>6408</v>
      </c>
      <c r="D281" t="str">
        <f>FinalPayment!D279</f>
        <v/>
      </c>
      <c r="E281" t="str">
        <f>FinalPayment!E279</f>
        <v/>
      </c>
      <c r="F281" t="str">
        <f>FinalPayment!F279</f>
        <v>6408</v>
      </c>
      <c r="G281" s="28" t="str">
        <f>FinalPayment!G279</f>
        <v>Tipton</v>
      </c>
      <c r="H281" s="85">
        <f>SUMPRODUCT(SUMIFS(RawTransportationData!$D:$D,RawTransportationData!$A:$A,Compare!$H$2,RawTransportationData!$B:$B,Compare!$D281:$F281))</f>
        <v>877.1</v>
      </c>
      <c r="I281" s="86">
        <f>SUMPRODUCT(SUMIFS(RawTransportationData!$G:$G,RawTransportationData!$A:$A,Compare!$H$2,RawTransportationData!$B:$B,Compare!$D281:$F281))</f>
        <v>296033.61</v>
      </c>
      <c r="J281" s="32">
        <f t="shared" si="39"/>
        <v>337.51409189374073</v>
      </c>
      <c r="K281" s="32">
        <f>SUMPRODUCT(SUMIFS(RawTransportationData!$H:$H,RawTransportationData!$A:$A,Compare!$E$1,RawTransportationData!$B:$B,Compare!$D281:$F281))</f>
        <v>718</v>
      </c>
      <c r="L281" s="32">
        <f t="shared" si="32"/>
        <v>295315.61</v>
      </c>
      <c r="M281" s="70">
        <f t="shared" si="33"/>
        <v>5.5217092830963585E-2</v>
      </c>
      <c r="N281" s="70">
        <f t="shared" si="34"/>
        <v>2.6900377255536304E-2</v>
      </c>
      <c r="O281" s="45"/>
      <c r="P281" s="85">
        <f>SUMPRODUCT(SUMIFS(RawTransportationData!$D:$D,RawTransportationData!$A:$A,Compare!$P$2,RawTransportationData!$B:$B,Compare!$D281:$F281))</f>
        <v>883.2</v>
      </c>
      <c r="Q281" s="86">
        <f>SUMPRODUCT(SUMIFS(RawTransportationData!$G:$G,RawTransportationData!$A:$A,Compare!$P$2,RawTransportationData!$B:$B,Compare!$D281:$F281))</f>
        <v>299194.38</v>
      </c>
      <c r="R281" s="32">
        <f t="shared" si="35"/>
        <v>338.76175271739129</v>
      </c>
      <c r="S281" s="32">
        <f>SUMPRODUCT(SUMIFS(RawTransportationData!$H:$H,RawTransportationData!$A:$A,Compare!$P$1,RawTransportationData!$B:$B,Compare!$D281:$F281))</f>
        <v>0</v>
      </c>
      <c r="T281" s="32">
        <f t="shared" si="36"/>
        <v>299194.38</v>
      </c>
      <c r="U281" s="45"/>
      <c r="V281" s="85">
        <f>SUMPRODUCT(SUMIFS(RawTransportationData!$D:$D,RawTransportationData!$A:$A,Compare!$V$2,RawTransportationData!$B:$B,Compare!$D281:$F281))</f>
        <v>899.1</v>
      </c>
      <c r="W281" s="86">
        <f>SUMPRODUCT(SUMIFS(RawTransportationData!$G:$G,RawTransportationData!$A:$A,Compare!$V$2,RawTransportationData!$B:$B,Compare!$D281:$F281))</f>
        <v>287579.61</v>
      </c>
      <c r="X281" s="32">
        <f t="shared" si="37"/>
        <v>319.85275275275274</v>
      </c>
      <c r="Y281" s="32">
        <f>SUMPRODUCT(SUMIFS(RawTransportationData!$H:$H,RawTransportationData!$A:$A,Compare!$V$1,RawTransportationData!$B:$B,Compare!$D281:$F281))</f>
        <v>0</v>
      </c>
      <c r="Z281" s="32">
        <f t="shared" si="38"/>
        <v>287579.61</v>
      </c>
    </row>
    <row r="282" spans="1:26" x14ac:dyDescent="0.55000000000000004">
      <c r="A282">
        <f>FinalPayment!A280</f>
        <v>2021</v>
      </c>
      <c r="B282" t="str">
        <f>FinalPayment!B280</f>
        <v>13</v>
      </c>
      <c r="C282" t="str">
        <f>FinalPayment!C280</f>
        <v>6453</v>
      </c>
      <c r="D282" t="str">
        <f>FinalPayment!D280</f>
        <v/>
      </c>
      <c r="E282" t="str">
        <f>FinalPayment!E280</f>
        <v/>
      </c>
      <c r="F282" t="str">
        <f>FinalPayment!F280</f>
        <v>6453</v>
      </c>
      <c r="G282" s="28" t="str">
        <f>FinalPayment!G280</f>
        <v>Treynor</v>
      </c>
      <c r="H282" s="85">
        <f>SUMPRODUCT(SUMIFS(RawTransportationData!$D:$D,RawTransportationData!$A:$A,Compare!$H$2,RawTransportationData!$B:$B,Compare!$D282:$F282))</f>
        <v>631.1</v>
      </c>
      <c r="I282" s="86">
        <f>SUMPRODUCT(SUMIFS(RawTransportationData!$G:$G,RawTransportationData!$A:$A,Compare!$H$2,RawTransportationData!$B:$B,Compare!$D282:$F282))</f>
        <v>297053.57</v>
      </c>
      <c r="J282" s="32">
        <f t="shared" si="39"/>
        <v>470.69176041831724</v>
      </c>
      <c r="K282" s="32">
        <f>SUMPRODUCT(SUMIFS(RawTransportationData!$H:$H,RawTransportationData!$A:$A,Compare!$E$1,RawTransportationData!$B:$B,Compare!$D282:$F282))</f>
        <v>78168</v>
      </c>
      <c r="L282" s="32">
        <f t="shared" si="32"/>
        <v>218885.57</v>
      </c>
      <c r="M282" s="70">
        <f t="shared" si="33"/>
        <v>-3.3270078422148845E-2</v>
      </c>
      <c r="N282" s="70">
        <f t="shared" si="34"/>
        <v>-0.10201230197071036</v>
      </c>
      <c r="O282" s="45"/>
      <c r="P282" s="85">
        <f>SUMPRODUCT(SUMIFS(RawTransportationData!$D:$D,RawTransportationData!$A:$A,Compare!$P$2,RawTransportationData!$B:$B,Compare!$D282:$F282))</f>
        <v>608.29999999999995</v>
      </c>
      <c r="Q282" s="86">
        <f>SUMPRODUCT(SUMIFS(RawTransportationData!$G:$G,RawTransportationData!$A:$A,Compare!$P$2,RawTransportationData!$B:$B,Compare!$D282:$F282))</f>
        <v>305514.68</v>
      </c>
      <c r="R282" s="32">
        <f t="shared" si="35"/>
        <v>502.24343251685025</v>
      </c>
      <c r="S282" s="32">
        <f>SUMPRODUCT(SUMIFS(RawTransportationData!$H:$H,RawTransportationData!$A:$A,Compare!$P$1,RawTransportationData!$B:$B,Compare!$D282:$F282))</f>
        <v>73709</v>
      </c>
      <c r="T282" s="32">
        <f t="shared" si="36"/>
        <v>231805.68</v>
      </c>
      <c r="U282" s="45"/>
      <c r="V282" s="85">
        <f>SUMPRODUCT(SUMIFS(RawTransportationData!$D:$D,RawTransportationData!$A:$A,Compare!$V$2,RawTransportationData!$B:$B,Compare!$D282:$F282))</f>
        <v>587.20000000000005</v>
      </c>
      <c r="W282" s="86">
        <f>SUMPRODUCT(SUMIFS(RawTransportationData!$G:$G,RawTransportationData!$A:$A,Compare!$V$2,RawTransportationData!$B:$B,Compare!$D282:$F282))</f>
        <v>285902.19</v>
      </c>
      <c r="X282" s="32">
        <f t="shared" si="37"/>
        <v>486.8906505449591</v>
      </c>
      <c r="Y282" s="32">
        <f>SUMPRODUCT(SUMIFS(RawTransportationData!$H:$H,RawTransportationData!$A:$A,Compare!$V$1,RawTransportationData!$B:$B,Compare!$D282:$F282))</f>
        <v>42151</v>
      </c>
      <c r="Z282" s="32">
        <f t="shared" si="38"/>
        <v>243751.19</v>
      </c>
    </row>
    <row r="283" spans="1:26" x14ac:dyDescent="0.55000000000000004">
      <c r="A283">
        <f>FinalPayment!A281</f>
        <v>2021</v>
      </c>
      <c r="B283" t="str">
        <f>FinalPayment!B281</f>
        <v>13</v>
      </c>
      <c r="C283" t="str">
        <f>FinalPayment!C281</f>
        <v>6460</v>
      </c>
      <c r="D283" t="str">
        <f>FinalPayment!D281</f>
        <v/>
      </c>
      <c r="E283" t="str">
        <f>FinalPayment!E281</f>
        <v/>
      </c>
      <c r="F283" t="str">
        <f>FinalPayment!F281</f>
        <v>6460</v>
      </c>
      <c r="G283" s="28" t="str">
        <f>FinalPayment!G281</f>
        <v>Tri-Center</v>
      </c>
      <c r="H283" s="85">
        <f>SUMPRODUCT(SUMIFS(RawTransportationData!$D:$D,RawTransportationData!$A:$A,Compare!$H$2,RawTransportationData!$B:$B,Compare!$D283:$F283))</f>
        <v>641</v>
      </c>
      <c r="I283" s="86">
        <f>SUMPRODUCT(SUMIFS(RawTransportationData!$G:$G,RawTransportationData!$A:$A,Compare!$H$2,RawTransportationData!$B:$B,Compare!$D283:$F283))</f>
        <v>356508.05000000005</v>
      </c>
      <c r="J283" s="32">
        <f t="shared" si="39"/>
        <v>556.17480499219971</v>
      </c>
      <c r="K283" s="32">
        <f>SUMPRODUCT(SUMIFS(RawTransportationData!$H:$H,RawTransportationData!$A:$A,Compare!$E$1,RawTransportationData!$B:$B,Compare!$D283:$F283))</f>
        <v>134186</v>
      </c>
      <c r="L283" s="32">
        <f t="shared" si="32"/>
        <v>222322.05000000005</v>
      </c>
      <c r="M283" s="70">
        <f t="shared" si="33"/>
        <v>0.30582488953607034</v>
      </c>
      <c r="N283" s="70">
        <f t="shared" si="34"/>
        <v>-0.15269734134182947</v>
      </c>
      <c r="O283" s="45"/>
      <c r="P283" s="85">
        <f>SUMPRODUCT(SUMIFS(RawTransportationData!$D:$D,RawTransportationData!$A:$A,Compare!$P$2,RawTransportationData!$B:$B,Compare!$D283:$F283))</f>
        <v>645.1</v>
      </c>
      <c r="Q283" s="86">
        <f>SUMPRODUCT(SUMIFS(RawTransportationData!$G:$G,RawTransportationData!$A:$A,Compare!$P$2,RawTransportationData!$B:$B,Compare!$D283:$F283))</f>
        <v>318134.92000000004</v>
      </c>
      <c r="R283" s="32">
        <f t="shared" si="35"/>
        <v>493.15597581770271</v>
      </c>
      <c r="S283" s="32">
        <f>SUMPRODUCT(SUMIFS(RawTransportationData!$H:$H,RawTransportationData!$A:$A,Compare!$P$1,RawTransportationData!$B:$B,Compare!$D283:$F283))</f>
        <v>72311</v>
      </c>
      <c r="T283" s="32">
        <f t="shared" si="36"/>
        <v>245823.92000000004</v>
      </c>
      <c r="U283" s="45"/>
      <c r="V283" s="85">
        <f>SUMPRODUCT(SUMIFS(RawTransportationData!$D:$D,RawTransportationData!$A:$A,Compare!$V$2,RawTransportationData!$B:$B,Compare!$D283:$F283))</f>
        <v>632.1</v>
      </c>
      <c r="W283" s="86">
        <f>SUMPRODUCT(SUMIFS(RawTransportationData!$G:$G,RawTransportationData!$A:$A,Compare!$V$2,RawTransportationData!$B:$B,Compare!$D283:$F283))</f>
        <v>269223</v>
      </c>
      <c r="X283" s="32">
        <f t="shared" si="37"/>
        <v>425.91836734693874</v>
      </c>
      <c r="Y283" s="32">
        <f>SUMPRODUCT(SUMIFS(RawTransportationData!$H:$H,RawTransportationData!$A:$A,Compare!$V$1,RawTransportationData!$B:$B,Compare!$D283:$F283))</f>
        <v>6835</v>
      </c>
      <c r="Z283" s="32">
        <f t="shared" si="38"/>
        <v>262388</v>
      </c>
    </row>
    <row r="284" spans="1:26" x14ac:dyDescent="0.55000000000000004">
      <c r="A284">
        <f>FinalPayment!A282</f>
        <v>2021</v>
      </c>
      <c r="B284" t="str">
        <f>FinalPayment!B282</f>
        <v>15</v>
      </c>
      <c r="C284" t="str">
        <f>FinalPayment!C282</f>
        <v>6462</v>
      </c>
      <c r="D284" t="str">
        <f>FinalPayment!D282</f>
        <v/>
      </c>
      <c r="E284" t="str">
        <f>FinalPayment!E282</f>
        <v/>
      </c>
      <c r="F284" t="str">
        <f>FinalPayment!F282</f>
        <v>6462</v>
      </c>
      <c r="G284" s="28" t="str">
        <f>FinalPayment!G282</f>
        <v>Tri-County</v>
      </c>
      <c r="H284" s="85">
        <f>SUMPRODUCT(SUMIFS(RawTransportationData!$D:$D,RawTransportationData!$A:$A,Compare!$H$2,RawTransportationData!$B:$B,Compare!$D284:$F284))</f>
        <v>285.8</v>
      </c>
      <c r="I284" s="86">
        <f>SUMPRODUCT(SUMIFS(RawTransportationData!$G:$G,RawTransportationData!$A:$A,Compare!$H$2,RawTransportationData!$B:$B,Compare!$D284:$F284))</f>
        <v>155179.23000000001</v>
      </c>
      <c r="J284" s="32">
        <f t="shared" si="39"/>
        <v>542.96441567529746</v>
      </c>
      <c r="K284" s="32">
        <f>SUMPRODUCT(SUMIFS(RawTransportationData!$H:$H,RawTransportationData!$A:$A,Compare!$E$1,RawTransportationData!$B:$B,Compare!$D284:$F284))</f>
        <v>56054</v>
      </c>
      <c r="L284" s="32">
        <f t="shared" si="32"/>
        <v>99125.23000000001</v>
      </c>
      <c r="M284" s="70">
        <f t="shared" si="33"/>
        <v>-0.10722372570283849</v>
      </c>
      <c r="N284" s="70">
        <f t="shared" si="34"/>
        <v>-0.15619136182013324</v>
      </c>
      <c r="O284" s="45"/>
      <c r="P284" s="85">
        <f>SUMPRODUCT(SUMIFS(RawTransportationData!$D:$D,RawTransportationData!$A:$A,Compare!$P$2,RawTransportationData!$B:$B,Compare!$D284:$F284))</f>
        <v>275.39999999999998</v>
      </c>
      <c r="Q284" s="86">
        <f>SUMPRODUCT(SUMIFS(RawTransportationData!$G:$G,RawTransportationData!$A:$A,Compare!$P$2,RawTransportationData!$B:$B,Compare!$D284:$F284))</f>
        <v>174258.99</v>
      </c>
      <c r="R284" s="32">
        <f t="shared" si="35"/>
        <v>632.74869281045756</v>
      </c>
      <c r="S284" s="32">
        <f>SUMPRODUCT(SUMIFS(RawTransportationData!$H:$H,RawTransportationData!$A:$A,Compare!$P$1,RawTransportationData!$B:$B,Compare!$D284:$F284))</f>
        <v>69313</v>
      </c>
      <c r="T284" s="32">
        <f t="shared" si="36"/>
        <v>104945.98999999999</v>
      </c>
      <c r="U284" s="45"/>
      <c r="V284" s="85">
        <f>SUMPRODUCT(SUMIFS(RawTransportationData!$D:$D,RawTransportationData!$A:$A,Compare!$V$2,RawTransportationData!$B:$B,Compare!$D284:$F284))</f>
        <v>283</v>
      </c>
      <c r="W284" s="86">
        <f>SUMPRODUCT(SUMIFS(RawTransportationData!$G:$G,RawTransportationData!$A:$A,Compare!$V$2,RawTransportationData!$B:$B,Compare!$D284:$F284))</f>
        <v>172113.59</v>
      </c>
      <c r="X284" s="32">
        <f t="shared" si="37"/>
        <v>608.17522968197875</v>
      </c>
      <c r="Y284" s="32">
        <f>SUMPRODUCT(SUMIFS(RawTransportationData!$H:$H,RawTransportationData!$A:$A,Compare!$V$1,RawTransportationData!$B:$B,Compare!$D284:$F284))</f>
        <v>54640</v>
      </c>
      <c r="Z284" s="32">
        <f t="shared" si="38"/>
        <v>117473.59</v>
      </c>
    </row>
    <row r="285" spans="1:26" x14ac:dyDescent="0.55000000000000004">
      <c r="A285">
        <f>FinalPayment!A283</f>
        <v>2021</v>
      </c>
      <c r="B285" t="str">
        <f>FinalPayment!B283</f>
        <v>07</v>
      </c>
      <c r="C285" t="str">
        <f>FinalPayment!C283</f>
        <v>6471</v>
      </c>
      <c r="D285" t="str">
        <f>FinalPayment!D283</f>
        <v/>
      </c>
      <c r="E285" t="str">
        <f>FinalPayment!E283</f>
        <v/>
      </c>
      <c r="F285" t="str">
        <f>FinalPayment!F283</f>
        <v>6471</v>
      </c>
      <c r="G285" s="28" t="str">
        <f>FinalPayment!G283</f>
        <v>Tripoli</v>
      </c>
      <c r="H285" s="85">
        <f>SUMPRODUCT(SUMIFS(RawTransportationData!$D:$D,RawTransportationData!$A:$A,Compare!$H$2,RawTransportationData!$B:$B,Compare!$D285:$F285))</f>
        <v>410</v>
      </c>
      <c r="I285" s="86">
        <f>SUMPRODUCT(SUMIFS(RawTransportationData!$G:$G,RawTransportationData!$A:$A,Compare!$H$2,RawTransportationData!$B:$B,Compare!$D285:$F285))</f>
        <v>118595.77</v>
      </c>
      <c r="J285" s="32">
        <f t="shared" si="39"/>
        <v>289.2579756097561</v>
      </c>
      <c r="K285" s="32">
        <f>SUMPRODUCT(SUMIFS(RawTransportationData!$H:$H,RawTransportationData!$A:$A,Compare!$E$1,RawTransportationData!$B:$B,Compare!$D285:$F285))</f>
        <v>336</v>
      </c>
      <c r="L285" s="32">
        <f t="shared" si="32"/>
        <v>118259.77</v>
      </c>
      <c r="M285" s="70">
        <f t="shared" si="33"/>
        <v>0.33266873721516727</v>
      </c>
      <c r="N285" s="70">
        <f t="shared" si="34"/>
        <v>0.24678756010179273</v>
      </c>
      <c r="O285" s="45"/>
      <c r="P285" s="85">
        <f>SUMPRODUCT(SUMIFS(RawTransportationData!$D:$D,RawTransportationData!$A:$A,Compare!$P$2,RawTransportationData!$B:$B,Compare!$D285:$F285))</f>
        <v>422</v>
      </c>
      <c r="Q285" s="86">
        <f>SUMPRODUCT(SUMIFS(RawTransportationData!$G:$G,RawTransportationData!$A:$A,Compare!$P$2,RawTransportationData!$B:$B,Compare!$D285:$F285))</f>
        <v>106994.1</v>
      </c>
      <c r="R285" s="32">
        <f t="shared" si="35"/>
        <v>253.54052132701423</v>
      </c>
      <c r="S285" s="32">
        <f>SUMPRODUCT(SUMIFS(RawTransportationData!$H:$H,RawTransportationData!$A:$A,Compare!$P$1,RawTransportationData!$B:$B,Compare!$D285:$F285))</f>
        <v>0</v>
      </c>
      <c r="T285" s="32">
        <f t="shared" si="36"/>
        <v>106994.1</v>
      </c>
      <c r="U285" s="45"/>
      <c r="V285" s="85">
        <f>SUMPRODUCT(SUMIFS(RawTransportationData!$D:$D,RawTransportationData!$A:$A,Compare!$V$2,RawTransportationData!$B:$B,Compare!$D285:$F285))</f>
        <v>437</v>
      </c>
      <c r="W285" s="86">
        <f>SUMPRODUCT(SUMIFS(RawTransportationData!$G:$G,RawTransportationData!$A:$A,Compare!$V$2,RawTransportationData!$B:$B,Compare!$D285:$F285))</f>
        <v>94851.58</v>
      </c>
      <c r="X285" s="32">
        <f t="shared" si="37"/>
        <v>217.05167048054921</v>
      </c>
      <c r="Y285" s="32">
        <f>SUMPRODUCT(SUMIFS(RawTransportationData!$H:$H,RawTransportationData!$A:$A,Compare!$V$1,RawTransportationData!$B:$B,Compare!$D285:$F285))</f>
        <v>0</v>
      </c>
      <c r="Z285" s="32">
        <f t="shared" si="38"/>
        <v>94851.58</v>
      </c>
    </row>
    <row r="286" spans="1:26" x14ac:dyDescent="0.55000000000000004">
      <c r="A286">
        <f>FinalPayment!A284</f>
        <v>2021</v>
      </c>
      <c r="B286" t="str">
        <f>FinalPayment!B284</f>
        <v>01</v>
      </c>
      <c r="C286" t="str">
        <f>FinalPayment!C284</f>
        <v>6509</v>
      </c>
      <c r="D286" t="str">
        <f>FinalPayment!D284</f>
        <v/>
      </c>
      <c r="E286" t="str">
        <f>FinalPayment!E284</f>
        <v/>
      </c>
      <c r="F286" t="str">
        <f>FinalPayment!F284</f>
        <v>6509</v>
      </c>
      <c r="G286" s="28" t="str">
        <f>FinalPayment!G284</f>
        <v>Turkey Valley</v>
      </c>
      <c r="H286" s="85">
        <f>SUMPRODUCT(SUMIFS(RawTransportationData!$D:$D,RawTransportationData!$A:$A,Compare!$H$2,RawTransportationData!$B:$B,Compare!$D286:$F286))</f>
        <v>343</v>
      </c>
      <c r="I286" s="86">
        <f>SUMPRODUCT(SUMIFS(RawTransportationData!$G:$G,RawTransportationData!$A:$A,Compare!$H$2,RawTransportationData!$B:$B,Compare!$D286:$F286))</f>
        <v>244639.47999999998</v>
      </c>
      <c r="J286" s="32">
        <f t="shared" si="39"/>
        <v>713.23463556851311</v>
      </c>
      <c r="K286" s="32">
        <f>SUMPRODUCT(SUMIFS(RawTransportationData!$H:$H,RawTransportationData!$A:$A,Compare!$E$1,RawTransportationData!$B:$B,Compare!$D286:$F286))</f>
        <v>125675</v>
      </c>
      <c r="L286" s="32">
        <f t="shared" si="32"/>
        <v>118964.47999999998</v>
      </c>
      <c r="M286" s="70">
        <f t="shared" si="33"/>
        <v>0.42360097583006218</v>
      </c>
      <c r="N286" s="70">
        <f t="shared" si="34"/>
        <v>-0.19270382663383964</v>
      </c>
      <c r="O286" s="45"/>
      <c r="P286" s="85">
        <f>SUMPRODUCT(SUMIFS(RawTransportationData!$D:$D,RawTransportationData!$A:$A,Compare!$P$2,RawTransportationData!$B:$B,Compare!$D286:$F286))</f>
        <v>360.7</v>
      </c>
      <c r="Q286" s="86">
        <f>SUMPRODUCT(SUMIFS(RawTransportationData!$G:$G,RawTransportationData!$A:$A,Compare!$P$2,RawTransportationData!$B:$B,Compare!$D286:$F286))</f>
        <v>203419.88</v>
      </c>
      <c r="R286" s="32">
        <f t="shared" si="35"/>
        <v>563.95863598558367</v>
      </c>
      <c r="S286" s="32">
        <f>SUMPRODUCT(SUMIFS(RawTransportationData!$H:$H,RawTransportationData!$A:$A,Compare!$P$1,RawTransportationData!$B:$B,Compare!$D286:$F286))</f>
        <v>65969</v>
      </c>
      <c r="T286" s="32">
        <f t="shared" si="36"/>
        <v>137450.88</v>
      </c>
      <c r="U286" s="45"/>
      <c r="V286" s="85">
        <f>SUMPRODUCT(SUMIFS(RawTransportationData!$D:$D,RawTransportationData!$A:$A,Compare!$V$2,RawTransportationData!$B:$B,Compare!$D286:$F286))</f>
        <v>355</v>
      </c>
      <c r="W286" s="86">
        <f>SUMPRODUCT(SUMIFS(RawTransportationData!$G:$G,RawTransportationData!$A:$A,Compare!$V$2,RawTransportationData!$B:$B,Compare!$D286:$F286))</f>
        <v>177857.63</v>
      </c>
      <c r="X286" s="32">
        <f t="shared" si="37"/>
        <v>501.00740845070425</v>
      </c>
      <c r="Y286" s="32">
        <f>SUMPRODUCT(SUMIFS(RawTransportationData!$H:$H,RawTransportationData!$A:$A,Compare!$V$1,RawTransportationData!$B:$B,Compare!$D286:$F286))</f>
        <v>30496</v>
      </c>
      <c r="Z286" s="32">
        <f t="shared" si="38"/>
        <v>147361.63</v>
      </c>
    </row>
    <row r="287" spans="1:26" x14ac:dyDescent="0.55000000000000004">
      <c r="A287">
        <f>FinalPayment!A285</f>
        <v>2021</v>
      </c>
      <c r="B287" t="str">
        <f>FinalPayment!B285</f>
        <v>11</v>
      </c>
      <c r="C287" t="str">
        <f>FinalPayment!C285</f>
        <v>6512</v>
      </c>
      <c r="D287" t="str">
        <f>FinalPayment!D285</f>
        <v/>
      </c>
      <c r="E287" t="str">
        <f>FinalPayment!E285</f>
        <v/>
      </c>
      <c r="F287" t="str">
        <f>FinalPayment!F285</f>
        <v>6512</v>
      </c>
      <c r="G287" s="28" t="str">
        <f>FinalPayment!G285</f>
        <v>Twin Cedars</v>
      </c>
      <c r="H287" s="85">
        <f>SUMPRODUCT(SUMIFS(RawTransportationData!$D:$D,RawTransportationData!$A:$A,Compare!$H$2,RawTransportationData!$B:$B,Compare!$D287:$F287))</f>
        <v>332.4</v>
      </c>
      <c r="I287" s="86">
        <f>SUMPRODUCT(SUMIFS(RawTransportationData!$G:$G,RawTransportationData!$A:$A,Compare!$H$2,RawTransportationData!$B:$B,Compare!$D287:$F287))</f>
        <v>172450.08</v>
      </c>
      <c r="J287" s="32">
        <f t="shared" si="39"/>
        <v>518.80288808664261</v>
      </c>
      <c r="K287" s="32">
        <f>SUMPRODUCT(SUMIFS(RawTransportationData!$H:$H,RawTransportationData!$A:$A,Compare!$E$1,RawTransportationData!$B:$B,Compare!$D287:$F287))</f>
        <v>57162</v>
      </c>
      <c r="L287" s="32">
        <f t="shared" si="32"/>
        <v>115288.07999999999</v>
      </c>
      <c r="M287" s="70">
        <f t="shared" si="33"/>
        <v>0.13953903020175867</v>
      </c>
      <c r="N287" s="70">
        <f t="shared" si="34"/>
        <v>-0.20307472150872102</v>
      </c>
      <c r="O287" s="45"/>
      <c r="P287" s="85">
        <f>SUMPRODUCT(SUMIFS(RawTransportationData!$D:$D,RawTransportationData!$A:$A,Compare!$P$2,RawTransportationData!$B:$B,Compare!$D287:$F287))</f>
        <v>339.5</v>
      </c>
      <c r="Q287" s="86">
        <f>SUMPRODUCT(SUMIFS(RawTransportationData!$G:$G,RawTransportationData!$A:$A,Compare!$P$2,RawTransportationData!$B:$B,Compare!$D287:$F287))</f>
        <v>164844.31</v>
      </c>
      <c r="R287" s="32">
        <f t="shared" si="35"/>
        <v>485.55025036818853</v>
      </c>
      <c r="S287" s="32">
        <f>SUMPRODUCT(SUMIFS(RawTransportationData!$H:$H,RawTransportationData!$A:$A,Compare!$P$1,RawTransportationData!$B:$B,Compare!$D287:$F287))</f>
        <v>35472</v>
      </c>
      <c r="T287" s="32">
        <f t="shared" si="36"/>
        <v>129372.31</v>
      </c>
      <c r="U287" s="45"/>
      <c r="V287" s="85">
        <f>SUMPRODUCT(SUMIFS(RawTransportationData!$D:$D,RawTransportationData!$A:$A,Compare!$V$2,RawTransportationData!$B:$B,Compare!$D287:$F287))</f>
        <v>348.5</v>
      </c>
      <c r="W287" s="86">
        <f>SUMPRODUCT(SUMIFS(RawTransportationData!$G:$G,RawTransportationData!$A:$A,Compare!$V$2,RawTransportationData!$B:$B,Compare!$D287:$F287))</f>
        <v>158663.10999999999</v>
      </c>
      <c r="X287" s="32">
        <f t="shared" si="37"/>
        <v>455.27434720229553</v>
      </c>
      <c r="Y287" s="32">
        <f>SUMPRODUCT(SUMIFS(RawTransportationData!$H:$H,RawTransportationData!$A:$A,Compare!$V$1,RawTransportationData!$B:$B,Compare!$D287:$F287))</f>
        <v>13997</v>
      </c>
      <c r="Z287" s="32">
        <f t="shared" si="38"/>
        <v>144666.10999999999</v>
      </c>
    </row>
    <row r="288" spans="1:26" x14ac:dyDescent="0.55000000000000004">
      <c r="A288">
        <f>FinalPayment!A286</f>
        <v>2021</v>
      </c>
      <c r="B288" t="str">
        <f>FinalPayment!B286</f>
        <v>05</v>
      </c>
      <c r="C288" t="str">
        <f>FinalPayment!C286</f>
        <v>6516</v>
      </c>
      <c r="D288" t="str">
        <f>FinalPayment!D286</f>
        <v/>
      </c>
      <c r="E288" t="str">
        <f>FinalPayment!E286</f>
        <v/>
      </c>
      <c r="F288" t="str">
        <f>FinalPayment!F286</f>
        <v>6516</v>
      </c>
      <c r="G288" s="28" t="str">
        <f>FinalPayment!G286</f>
        <v>Twin Rivers</v>
      </c>
      <c r="H288" s="85">
        <f>SUMPRODUCT(SUMIFS(RawTransportationData!$D:$D,RawTransportationData!$A:$A,Compare!$H$2,RawTransportationData!$B:$B,Compare!$D288:$F288))</f>
        <v>135</v>
      </c>
      <c r="I288" s="86">
        <f>SUMPRODUCT(SUMIFS(RawTransportationData!$G:$G,RawTransportationData!$A:$A,Compare!$H$2,RawTransportationData!$B:$B,Compare!$D288:$F288))</f>
        <v>114610.44</v>
      </c>
      <c r="J288" s="32">
        <f t="shared" si="39"/>
        <v>848.9662222222222</v>
      </c>
      <c r="K288" s="32">
        <f>SUMPRODUCT(SUMIFS(RawTransportationData!$H:$H,RawTransportationData!$A:$A,Compare!$E$1,RawTransportationData!$B:$B,Compare!$D288:$F288))</f>
        <v>67789</v>
      </c>
      <c r="L288" s="32">
        <f t="shared" si="32"/>
        <v>46821.440000000002</v>
      </c>
      <c r="M288" s="70">
        <f t="shared" si="33"/>
        <v>1.1346270718446418</v>
      </c>
      <c r="N288" s="70">
        <f t="shared" si="34"/>
        <v>-0.27328963685776503</v>
      </c>
      <c r="O288" s="45"/>
      <c r="P288" s="85">
        <f>SUMPRODUCT(SUMIFS(RawTransportationData!$D:$D,RawTransportationData!$A:$A,Compare!$P$2,RawTransportationData!$B:$B,Compare!$D288:$F288))</f>
        <v>143</v>
      </c>
      <c r="Q288" s="86">
        <f>SUMPRODUCT(SUMIFS(RawTransportationData!$G:$G,RawTransportationData!$A:$A,Compare!$P$2,RawTransportationData!$B:$B,Compare!$D288:$F288))</f>
        <v>74731.429999999993</v>
      </c>
      <c r="R288" s="32">
        <f t="shared" si="35"/>
        <v>522.59741258741258</v>
      </c>
      <c r="S288" s="32">
        <f>SUMPRODUCT(SUMIFS(RawTransportationData!$H:$H,RawTransportationData!$A:$A,Compare!$P$1,RawTransportationData!$B:$B,Compare!$D288:$F288))</f>
        <v>20239</v>
      </c>
      <c r="T288" s="32">
        <f t="shared" si="36"/>
        <v>54492.429999999993</v>
      </c>
      <c r="U288" s="45"/>
      <c r="V288" s="85">
        <f>SUMPRODUCT(SUMIFS(RawTransportationData!$D:$D,RawTransportationData!$A:$A,Compare!$V$2,RawTransportationData!$B:$B,Compare!$D288:$F288))</f>
        <v>162</v>
      </c>
      <c r="W288" s="86">
        <f>SUMPRODUCT(SUMIFS(RawTransportationData!$G:$G,RawTransportationData!$A:$A,Compare!$V$2,RawTransportationData!$B:$B,Compare!$D288:$F288))</f>
        <v>64429.3</v>
      </c>
      <c r="X288" s="32">
        <f t="shared" si="37"/>
        <v>397.71172839506175</v>
      </c>
      <c r="Y288" s="32">
        <f>SUMPRODUCT(SUMIFS(RawTransportationData!$H:$H,RawTransportationData!$A:$A,Compare!$V$1,RawTransportationData!$B:$B,Compare!$D288:$F288))</f>
        <v>0</v>
      </c>
      <c r="Z288" s="32">
        <f t="shared" si="38"/>
        <v>64429.3</v>
      </c>
    </row>
    <row r="289" spans="1:26" x14ac:dyDescent="0.55000000000000004">
      <c r="A289">
        <f>FinalPayment!A287</f>
        <v>2021</v>
      </c>
      <c r="B289" t="str">
        <f>FinalPayment!B287</f>
        <v>13</v>
      </c>
      <c r="C289" t="str">
        <f>FinalPayment!C287</f>
        <v>6534</v>
      </c>
      <c r="D289" t="str">
        <f>FinalPayment!D287</f>
        <v/>
      </c>
      <c r="E289" t="str">
        <f>FinalPayment!E287</f>
        <v/>
      </c>
      <c r="F289" t="str">
        <f>FinalPayment!F287</f>
        <v>6534</v>
      </c>
      <c r="G289" s="28" t="str">
        <f>FinalPayment!G287</f>
        <v>Underwood</v>
      </c>
      <c r="H289" s="85">
        <f>SUMPRODUCT(SUMIFS(RawTransportationData!$D:$D,RawTransportationData!$A:$A,Compare!$H$2,RawTransportationData!$B:$B,Compare!$D289:$F289))</f>
        <v>719</v>
      </c>
      <c r="I289" s="86">
        <f>SUMPRODUCT(SUMIFS(RawTransportationData!$G:$G,RawTransportationData!$A:$A,Compare!$H$2,RawTransportationData!$B:$B,Compare!$D289:$F289))</f>
        <v>342994.27999999997</v>
      </c>
      <c r="J289" s="32">
        <f t="shared" si="39"/>
        <v>477.043504867872</v>
      </c>
      <c r="K289" s="32">
        <f>SUMPRODUCT(SUMIFS(RawTransportationData!$H:$H,RawTransportationData!$A:$A,Compare!$E$1,RawTransportationData!$B:$B,Compare!$D289:$F289))</f>
        <v>93620</v>
      </c>
      <c r="L289" s="32">
        <f t="shared" si="32"/>
        <v>249374.27999999997</v>
      </c>
      <c r="M289" s="70">
        <f t="shared" si="33"/>
        <v>0.14383507364761358</v>
      </c>
      <c r="N289" s="70">
        <f t="shared" si="34"/>
        <v>-0.12311707418618011</v>
      </c>
      <c r="O289" s="45"/>
      <c r="P289" s="85">
        <f>SUMPRODUCT(SUMIFS(RawTransportationData!$D:$D,RawTransportationData!$A:$A,Compare!$P$2,RawTransportationData!$B:$B,Compare!$D289:$F289))</f>
        <v>701</v>
      </c>
      <c r="Q289" s="86">
        <f>SUMPRODUCT(SUMIFS(RawTransportationData!$G:$G,RawTransportationData!$A:$A,Compare!$P$2,RawTransportationData!$B:$B,Compare!$D289:$F289))</f>
        <v>298194.17</v>
      </c>
      <c r="R289" s="32">
        <f t="shared" si="35"/>
        <v>425.38398002853063</v>
      </c>
      <c r="S289" s="32">
        <f>SUMPRODUCT(SUMIFS(RawTransportationData!$H:$H,RawTransportationData!$A:$A,Compare!$P$1,RawTransportationData!$B:$B,Compare!$D289:$F289))</f>
        <v>31063</v>
      </c>
      <c r="T289" s="32">
        <f t="shared" si="36"/>
        <v>267131.17</v>
      </c>
      <c r="U289" s="45"/>
      <c r="V289" s="85">
        <f>SUMPRODUCT(SUMIFS(RawTransportationData!$D:$D,RawTransportationData!$A:$A,Compare!$V$2,RawTransportationData!$B:$B,Compare!$D289:$F289))</f>
        <v>685.1</v>
      </c>
      <c r="W289" s="86">
        <f>SUMPRODUCT(SUMIFS(RawTransportationData!$G:$G,RawTransportationData!$A:$A,Compare!$V$2,RawTransportationData!$B:$B,Compare!$D289:$F289))</f>
        <v>285725.2</v>
      </c>
      <c r="X289" s="32">
        <f t="shared" si="37"/>
        <v>417.05619617574075</v>
      </c>
      <c r="Y289" s="32">
        <f>SUMPRODUCT(SUMIFS(RawTransportationData!$H:$H,RawTransportationData!$A:$A,Compare!$V$1,RawTransportationData!$B:$B,Compare!$D289:$F289))</f>
        <v>1338</v>
      </c>
      <c r="Z289" s="32">
        <f t="shared" si="38"/>
        <v>284387.20000000001</v>
      </c>
    </row>
    <row r="290" spans="1:26" x14ac:dyDescent="0.55000000000000004">
      <c r="A290">
        <f>FinalPayment!A288</f>
        <v>2021</v>
      </c>
      <c r="B290" t="str">
        <f>FinalPayment!B288</f>
        <v>07</v>
      </c>
      <c r="C290" t="str">
        <f>FinalPayment!C288</f>
        <v>1935</v>
      </c>
      <c r="D290" t="str">
        <f>FinalPayment!D288</f>
        <v/>
      </c>
      <c r="E290" t="str">
        <f>FinalPayment!E288</f>
        <v/>
      </c>
      <c r="F290" t="str">
        <f>FinalPayment!F288</f>
        <v>6536</v>
      </c>
      <c r="G290" s="28" t="str">
        <f>FinalPayment!G288</f>
        <v>Union</v>
      </c>
      <c r="H290" s="85">
        <f>SUMPRODUCT(SUMIFS(RawTransportationData!$D:$D,RawTransportationData!$A:$A,Compare!$H$2,RawTransportationData!$B:$B,Compare!$D290:$F290))</f>
        <v>1054.4000000000001</v>
      </c>
      <c r="I290" s="86">
        <f>SUMPRODUCT(SUMIFS(RawTransportationData!$G:$G,RawTransportationData!$A:$A,Compare!$H$2,RawTransportationData!$B:$B,Compare!$D290:$F290))</f>
        <v>449571.51999999996</v>
      </c>
      <c r="J290" s="32">
        <f t="shared" si="39"/>
        <v>426.37663125948399</v>
      </c>
      <c r="K290" s="32">
        <f>SUMPRODUCT(SUMIFS(RawTransportationData!$H:$H,RawTransportationData!$A:$A,Compare!$E$1,RawTransportationData!$B:$B,Compare!$D290:$F290))</f>
        <v>83876</v>
      </c>
      <c r="L290" s="32">
        <f t="shared" si="32"/>
        <v>365695.51999999996</v>
      </c>
      <c r="M290" s="70">
        <f t="shared" si="33"/>
        <v>2.7664860825965268E-2</v>
      </c>
      <c r="N290" s="70">
        <f t="shared" si="34"/>
        <v>-0.20046303311835512</v>
      </c>
      <c r="O290" s="45"/>
      <c r="P290" s="85">
        <f>SUMPRODUCT(SUMIFS(RawTransportationData!$D:$D,RawTransportationData!$A:$A,Compare!$P$2,RawTransportationData!$B:$B,Compare!$D290:$F290))</f>
        <v>1053.5999999999999</v>
      </c>
      <c r="Q290" s="86">
        <f>SUMPRODUCT(SUMIFS(RawTransportationData!$G:$G,RawTransportationData!$A:$A,Compare!$P$2,RawTransportationData!$B:$B,Compare!$D290:$F290))</f>
        <v>472970.2</v>
      </c>
      <c r="R290" s="32">
        <f t="shared" si="35"/>
        <v>448.90869400151865</v>
      </c>
      <c r="S290" s="32">
        <f>SUMPRODUCT(SUMIFS(RawTransportationData!$H:$H,RawTransportationData!$A:$A,Compare!$P$1,RawTransportationData!$B:$B,Compare!$D290:$F290))</f>
        <v>71479</v>
      </c>
      <c r="T290" s="32">
        <f t="shared" si="36"/>
        <v>401491.20000000001</v>
      </c>
      <c r="U290" s="45"/>
      <c r="V290" s="85">
        <f>SUMPRODUCT(SUMIFS(RawTransportationData!$D:$D,RawTransportationData!$A:$A,Compare!$V$2,RawTransportationData!$B:$B,Compare!$D290:$F290))</f>
        <v>1102.4000000000001</v>
      </c>
      <c r="W290" s="86">
        <f>SUMPRODUCT(SUMIFS(RawTransportationData!$G:$G,RawTransportationData!$A:$A,Compare!$V$2,RawTransportationData!$B:$B,Compare!$D290:$F290))</f>
        <v>457384.13</v>
      </c>
      <c r="X290" s="32">
        <f t="shared" si="37"/>
        <v>414.89852140783739</v>
      </c>
      <c r="Y290" s="32">
        <f>SUMPRODUCT(SUMIFS(RawTransportationData!$H:$H,RawTransportationData!$A:$A,Compare!$V$1,RawTransportationData!$B:$B,Compare!$D290:$F290))</f>
        <v>0</v>
      </c>
      <c r="Z290" s="32">
        <f t="shared" si="38"/>
        <v>457384.13</v>
      </c>
    </row>
    <row r="291" spans="1:26" x14ac:dyDescent="0.55000000000000004">
      <c r="A291">
        <f>FinalPayment!A289</f>
        <v>2021</v>
      </c>
      <c r="B291" t="str">
        <f>FinalPayment!B289</f>
        <v>11</v>
      </c>
      <c r="C291" t="str">
        <f>FinalPayment!C289</f>
        <v>6561</v>
      </c>
      <c r="D291" t="str">
        <f>FinalPayment!D289</f>
        <v/>
      </c>
      <c r="E291" t="str">
        <f>FinalPayment!E289</f>
        <v/>
      </c>
      <c r="F291" t="str">
        <f>FinalPayment!F289</f>
        <v>6561</v>
      </c>
      <c r="G291" s="28" t="str">
        <f>FinalPayment!G289</f>
        <v>United</v>
      </c>
      <c r="H291" s="85">
        <f>SUMPRODUCT(SUMIFS(RawTransportationData!$D:$D,RawTransportationData!$A:$A,Compare!$H$2,RawTransportationData!$B:$B,Compare!$D291:$F291))</f>
        <v>393.4</v>
      </c>
      <c r="I291" s="86">
        <f>SUMPRODUCT(SUMIFS(RawTransportationData!$G:$G,RawTransportationData!$A:$A,Compare!$H$2,RawTransportationData!$B:$B,Compare!$D291:$F291))</f>
        <v>217618.79</v>
      </c>
      <c r="J291" s="32">
        <f t="shared" si="39"/>
        <v>553.17435180477889</v>
      </c>
      <c r="K291" s="32">
        <f>SUMPRODUCT(SUMIFS(RawTransportationData!$H:$H,RawTransportationData!$A:$A,Compare!$E$1,RawTransportationData!$B:$B,Compare!$D291:$F291))</f>
        <v>81174</v>
      </c>
      <c r="L291" s="32">
        <f t="shared" si="32"/>
        <v>136444.79</v>
      </c>
      <c r="M291" s="70">
        <f t="shared" si="33"/>
        <v>-0.11876591869539541</v>
      </c>
      <c r="N291" s="70">
        <f t="shared" si="34"/>
        <v>-9.073347057595782E-2</v>
      </c>
      <c r="O291" s="45"/>
      <c r="P291" s="85">
        <f>SUMPRODUCT(SUMIFS(RawTransportationData!$D:$D,RawTransportationData!$A:$A,Compare!$P$2,RawTransportationData!$B:$B,Compare!$D291:$F291))</f>
        <v>373.1</v>
      </c>
      <c r="Q291" s="86">
        <f>SUMPRODUCT(SUMIFS(RawTransportationData!$G:$G,RawTransportationData!$A:$A,Compare!$P$2,RawTransportationData!$B:$B,Compare!$D291:$F291))</f>
        <v>249110.06999999998</v>
      </c>
      <c r="R291" s="32">
        <f t="shared" si="35"/>
        <v>667.67641383007231</v>
      </c>
      <c r="S291" s="32">
        <f>SUMPRODUCT(SUMIFS(RawTransportationData!$H:$H,RawTransportationData!$A:$A,Compare!$P$1,RawTransportationData!$B:$B,Compare!$D291:$F291))</f>
        <v>106935</v>
      </c>
      <c r="T291" s="32">
        <f t="shared" si="36"/>
        <v>142175.06999999998</v>
      </c>
      <c r="U291" s="45"/>
      <c r="V291" s="85">
        <f>SUMPRODUCT(SUMIFS(RawTransportationData!$D:$D,RawTransportationData!$A:$A,Compare!$V$2,RawTransportationData!$B:$B,Compare!$D291:$F291))</f>
        <v>361.5</v>
      </c>
      <c r="W291" s="86">
        <f>SUMPRODUCT(SUMIFS(RawTransportationData!$G:$G,RawTransportationData!$A:$A,Compare!$V$2,RawTransportationData!$B:$B,Compare!$D291:$F291))</f>
        <v>226923.28</v>
      </c>
      <c r="X291" s="32">
        <f t="shared" si="37"/>
        <v>627.72691562932232</v>
      </c>
      <c r="Y291" s="32">
        <f>SUMPRODUCT(SUMIFS(RawTransportationData!$H:$H,RawTransportationData!$A:$A,Compare!$V$1,RawTransportationData!$B:$B,Compare!$D291:$F291))</f>
        <v>76863</v>
      </c>
      <c r="Z291" s="32">
        <f t="shared" si="38"/>
        <v>150060.28</v>
      </c>
    </row>
    <row r="292" spans="1:26" x14ac:dyDescent="0.55000000000000004">
      <c r="A292">
        <f>FinalPayment!A290</f>
        <v>2021</v>
      </c>
      <c r="B292" t="str">
        <f>FinalPayment!B290</f>
        <v>11</v>
      </c>
      <c r="C292" t="str">
        <f>FinalPayment!C290</f>
        <v>6579</v>
      </c>
      <c r="D292" t="str">
        <f>FinalPayment!D290</f>
        <v/>
      </c>
      <c r="E292" t="str">
        <f>FinalPayment!E290</f>
        <v/>
      </c>
      <c r="F292" t="str">
        <f>FinalPayment!F290</f>
        <v>6579</v>
      </c>
      <c r="G292" s="28" t="str">
        <f>FinalPayment!G290</f>
        <v>Urbandale</v>
      </c>
      <c r="H292" s="85">
        <f>SUMPRODUCT(SUMIFS(RawTransportationData!$D:$D,RawTransportationData!$A:$A,Compare!$H$2,RawTransportationData!$B:$B,Compare!$D292:$F292))</f>
        <v>3372.5</v>
      </c>
      <c r="I292" s="86">
        <f>SUMPRODUCT(SUMIFS(RawTransportationData!$G:$G,RawTransportationData!$A:$A,Compare!$H$2,RawTransportationData!$B:$B,Compare!$D292:$F292))</f>
        <v>872417.42</v>
      </c>
      <c r="J292" s="32">
        <f t="shared" si="39"/>
        <v>258.68566938472947</v>
      </c>
      <c r="K292" s="32">
        <f>SUMPRODUCT(SUMIFS(RawTransportationData!$H:$H,RawTransportationData!$A:$A,Compare!$E$1,RawTransportationData!$B:$B,Compare!$D292:$F292))</f>
        <v>2761</v>
      </c>
      <c r="L292" s="32">
        <f t="shared" si="32"/>
        <v>869656.42</v>
      </c>
      <c r="M292" s="70">
        <f t="shared" si="33"/>
        <v>0.27876099149340078</v>
      </c>
      <c r="N292" s="70">
        <f t="shared" si="34"/>
        <v>0.26611680250017972</v>
      </c>
      <c r="O292" s="45"/>
      <c r="P292" s="85">
        <f>SUMPRODUCT(SUMIFS(RawTransportationData!$D:$D,RawTransportationData!$A:$A,Compare!$P$2,RawTransportationData!$B:$B,Compare!$D292:$F292))</f>
        <v>3404.2000000000003</v>
      </c>
      <c r="Q292" s="86">
        <f>SUMPRODUCT(SUMIFS(RawTransportationData!$G:$G,RawTransportationData!$A:$A,Compare!$P$2,RawTransportationData!$B:$B,Compare!$D292:$F292))</f>
        <v>877057.79999999993</v>
      </c>
      <c r="R292" s="32">
        <f t="shared" si="35"/>
        <v>257.63991539862519</v>
      </c>
      <c r="S292" s="32">
        <f>SUMPRODUCT(SUMIFS(RawTransportationData!$H:$H,RawTransportationData!$A:$A,Compare!$P$1,RawTransportationData!$B:$B,Compare!$D292:$F292))</f>
        <v>0</v>
      </c>
      <c r="T292" s="32">
        <f t="shared" si="36"/>
        <v>877057.79999999993</v>
      </c>
      <c r="U292" s="45"/>
      <c r="V292" s="85">
        <f>SUMPRODUCT(SUMIFS(RawTransportationData!$D:$D,RawTransportationData!$A:$A,Compare!$V$2,RawTransportationData!$B:$B,Compare!$D292:$F292))</f>
        <v>3395.4</v>
      </c>
      <c r="W292" s="86">
        <f>SUMPRODUCT(SUMIFS(RawTransportationData!$G:$G,RawTransportationData!$A:$A,Compare!$V$2,RawTransportationData!$B:$B,Compare!$D292:$F292))</f>
        <v>686869.03</v>
      </c>
      <c r="X292" s="32">
        <f t="shared" si="37"/>
        <v>202.29399481651646</v>
      </c>
      <c r="Y292" s="32">
        <f>SUMPRODUCT(SUMIFS(RawTransportationData!$H:$H,RawTransportationData!$A:$A,Compare!$V$1,RawTransportationData!$B:$B,Compare!$D292:$F292))</f>
        <v>0</v>
      </c>
      <c r="Z292" s="32">
        <f t="shared" si="38"/>
        <v>686869.03</v>
      </c>
    </row>
    <row r="293" spans="1:26" x14ac:dyDescent="0.55000000000000004">
      <c r="A293">
        <f>FinalPayment!A291</f>
        <v>2021</v>
      </c>
      <c r="B293" t="str">
        <f>FinalPayment!B291</f>
        <v>15</v>
      </c>
      <c r="C293" t="str">
        <f>FinalPayment!C291</f>
        <v>6592</v>
      </c>
      <c r="D293" t="str">
        <f>FinalPayment!D291</f>
        <v>2834</v>
      </c>
      <c r="E293" t="str">
        <f>FinalPayment!E291</f>
        <v/>
      </c>
      <c r="F293" t="str">
        <f>FinalPayment!F291</f>
        <v>6592</v>
      </c>
      <c r="G293" s="28" t="str">
        <f>FinalPayment!G291</f>
        <v>Van Buren County</v>
      </c>
      <c r="H293" s="85">
        <f>SUMPRODUCT(SUMIFS(RawTransportationData!$D:$D,RawTransportationData!$A:$A,Compare!$H$2,RawTransportationData!$B:$B,Compare!$D293:$F293))</f>
        <v>999.2</v>
      </c>
      <c r="I293" s="86">
        <f>SUMPRODUCT(SUMIFS(RawTransportationData!$G:$G,RawTransportationData!$A:$A,Compare!$H$2,RawTransportationData!$B:$B,Compare!$D293:$F293))</f>
        <v>912463.12</v>
      </c>
      <c r="J293" s="32">
        <f t="shared" si="39"/>
        <v>913.19367493995196</v>
      </c>
      <c r="K293" s="32">
        <f>SUMPRODUCT(SUMIFS(RawTransportationData!$H:$H,RawTransportationData!$A:$A,Compare!$E$1,RawTransportationData!$B:$B,Compare!$D293:$F293))</f>
        <v>565906</v>
      </c>
      <c r="L293" s="32">
        <f t="shared" si="32"/>
        <v>346557.12</v>
      </c>
      <c r="M293" s="70">
        <f t="shared" si="33"/>
        <v>0.23824773053160445</v>
      </c>
      <c r="N293" s="70">
        <f t="shared" si="34"/>
        <v>-0.13950056700421573</v>
      </c>
      <c r="O293" s="45"/>
      <c r="P293" s="85">
        <f>SUMPRODUCT(SUMIFS(RawTransportationData!$D:$D,RawTransportationData!$A:$A,Compare!$P$2,RawTransportationData!$B:$B,Compare!$D293:$F293))</f>
        <v>983.8</v>
      </c>
      <c r="Q293" s="86">
        <f>SUMPRODUCT(SUMIFS(RawTransportationData!$G:$G,RawTransportationData!$A:$A,Compare!$P$2,RawTransportationData!$B:$B,Compare!$D293:$F293))</f>
        <v>701855.99</v>
      </c>
      <c r="R293" s="32">
        <f t="shared" si="35"/>
        <v>713.41328522057336</v>
      </c>
      <c r="S293" s="32">
        <f>SUMPRODUCT(SUMIFS(RawTransportationData!$H:$H,RawTransportationData!$A:$A,Compare!$P$1,RawTransportationData!$B:$B,Compare!$D293:$F293))</f>
        <v>326963</v>
      </c>
      <c r="T293" s="32">
        <f t="shared" si="36"/>
        <v>374892.99</v>
      </c>
      <c r="U293" s="45"/>
      <c r="V293" s="85">
        <f>SUMPRODUCT(SUMIFS(RawTransportationData!$D:$D,RawTransportationData!$A:$A,Compare!$V$2,RawTransportationData!$B:$B,Compare!$D293:$F293))</f>
        <v>970.2</v>
      </c>
      <c r="W293" s="86">
        <f>SUMPRODUCT(SUMIFS(RawTransportationData!$G:$G,RawTransportationData!$A:$A,Compare!$V$2,RawTransportationData!$B:$B,Compare!$D293:$F293))</f>
        <v>715511.51</v>
      </c>
      <c r="X293" s="32">
        <f t="shared" si="37"/>
        <v>737.48867243867244</v>
      </c>
      <c r="Y293" s="32">
        <f>SUMPRODUCT(SUMIFS(RawTransportationData!$H:$H,RawTransportationData!$A:$A,Compare!$V$1,RawTransportationData!$B:$B,Compare!$D293:$F293))</f>
        <v>312772</v>
      </c>
      <c r="Z293" s="32">
        <f t="shared" si="38"/>
        <v>402739.51</v>
      </c>
    </row>
    <row r="294" spans="1:26" x14ac:dyDescent="0.55000000000000004">
      <c r="A294">
        <f>FinalPayment!A292</f>
        <v>2021</v>
      </c>
      <c r="B294" t="str">
        <f>FinalPayment!B292</f>
        <v>11</v>
      </c>
      <c r="C294" t="str">
        <f>FinalPayment!C292</f>
        <v>6615</v>
      </c>
      <c r="D294" t="str">
        <f>FinalPayment!D292</f>
        <v/>
      </c>
      <c r="E294" t="str">
        <f>FinalPayment!E292</f>
        <v/>
      </c>
      <c r="F294" t="str">
        <f>FinalPayment!F292</f>
        <v>6615</v>
      </c>
      <c r="G294" s="28" t="str">
        <f>FinalPayment!G292</f>
        <v>Van Meter</v>
      </c>
      <c r="H294" s="85">
        <f>SUMPRODUCT(SUMIFS(RawTransportationData!$D:$D,RawTransportationData!$A:$A,Compare!$H$2,RawTransportationData!$B:$B,Compare!$D294:$F294))</f>
        <v>724.3</v>
      </c>
      <c r="I294" s="86">
        <f>SUMPRODUCT(SUMIFS(RawTransportationData!$G:$G,RawTransportationData!$A:$A,Compare!$H$2,RawTransportationData!$B:$B,Compare!$D294:$F294))</f>
        <v>229965.36</v>
      </c>
      <c r="J294" s="32">
        <f t="shared" si="39"/>
        <v>317.50015187077179</v>
      </c>
      <c r="K294" s="32">
        <f>SUMPRODUCT(SUMIFS(RawTransportationData!$H:$H,RawTransportationData!$A:$A,Compare!$E$1,RawTransportationData!$B:$B,Compare!$D294:$F294))</f>
        <v>593</v>
      </c>
      <c r="L294" s="32">
        <f t="shared" si="32"/>
        <v>229372.36</v>
      </c>
      <c r="M294" s="70">
        <f t="shared" si="33"/>
        <v>0.25775650171860881</v>
      </c>
      <c r="N294" s="70">
        <f t="shared" si="34"/>
        <v>0.4617823402552243</v>
      </c>
      <c r="O294" s="45"/>
      <c r="P294" s="85">
        <f>SUMPRODUCT(SUMIFS(RawTransportationData!$D:$D,RawTransportationData!$A:$A,Compare!$P$2,RawTransportationData!$B:$B,Compare!$D294:$F294))</f>
        <v>692.3</v>
      </c>
      <c r="Q294" s="86">
        <f>SUMPRODUCT(SUMIFS(RawTransportationData!$G:$G,RawTransportationData!$A:$A,Compare!$P$2,RawTransportationData!$B:$B,Compare!$D294:$F294))</f>
        <v>168941.23</v>
      </c>
      <c r="R294" s="32">
        <f t="shared" si="35"/>
        <v>244.02893254369496</v>
      </c>
      <c r="S294" s="32">
        <f>SUMPRODUCT(SUMIFS(RawTransportationData!$H:$H,RawTransportationData!$A:$A,Compare!$P$1,RawTransportationData!$B:$B,Compare!$D294:$F294))</f>
        <v>0</v>
      </c>
      <c r="T294" s="32">
        <f t="shared" si="36"/>
        <v>168941.23</v>
      </c>
      <c r="U294" s="45"/>
      <c r="V294" s="85">
        <f>SUMPRODUCT(SUMIFS(RawTransportationData!$D:$D,RawTransportationData!$A:$A,Compare!$V$2,RawTransportationData!$B:$B,Compare!$D294:$F294))</f>
        <v>621.6</v>
      </c>
      <c r="W294" s="86">
        <f>SUMPRODUCT(SUMIFS(RawTransportationData!$G:$G,RawTransportationData!$A:$A,Compare!$V$2,RawTransportationData!$B:$B,Compare!$D294:$F294))</f>
        <v>156912.80000000002</v>
      </c>
      <c r="X294" s="32">
        <f t="shared" si="37"/>
        <v>252.43371943371946</v>
      </c>
      <c r="Y294" s="32">
        <f>SUMPRODUCT(SUMIFS(RawTransportationData!$H:$H,RawTransportationData!$A:$A,Compare!$V$1,RawTransportationData!$B:$B,Compare!$D294:$F294))</f>
        <v>0</v>
      </c>
      <c r="Z294" s="32">
        <f t="shared" si="38"/>
        <v>156912.80000000002</v>
      </c>
    </row>
    <row r="295" spans="1:26" x14ac:dyDescent="0.55000000000000004">
      <c r="A295">
        <f>FinalPayment!A293</f>
        <v>2021</v>
      </c>
      <c r="B295" t="str">
        <f>FinalPayment!B293</f>
        <v>13</v>
      </c>
      <c r="C295" t="str">
        <f>FinalPayment!C293</f>
        <v>6651</v>
      </c>
      <c r="D295" t="str">
        <f>FinalPayment!D293</f>
        <v/>
      </c>
      <c r="E295" t="str">
        <f>FinalPayment!E293</f>
        <v/>
      </c>
      <c r="F295" t="str">
        <f>FinalPayment!F293</f>
        <v>6651</v>
      </c>
      <c r="G295" s="28" t="str">
        <f>FinalPayment!G293</f>
        <v>Villisca</v>
      </c>
      <c r="H295" s="85">
        <f>SUMPRODUCT(SUMIFS(RawTransportationData!$D:$D,RawTransportationData!$A:$A,Compare!$H$2,RawTransportationData!$B:$B,Compare!$D295:$F295))</f>
        <v>303</v>
      </c>
      <c r="I295" s="86">
        <f>SUMPRODUCT(SUMIFS(RawTransportationData!$G:$G,RawTransportationData!$A:$A,Compare!$H$2,RawTransportationData!$B:$B,Compare!$D295:$F295))</f>
        <v>268278.43</v>
      </c>
      <c r="J295" s="32">
        <f t="shared" si="39"/>
        <v>885.40735973597361</v>
      </c>
      <c r="K295" s="32">
        <f>SUMPRODUCT(SUMIFS(RawTransportationData!$H:$H,RawTransportationData!$A:$A,Compare!$E$1,RawTransportationData!$B:$B,Compare!$D295:$F295))</f>
        <v>163189</v>
      </c>
      <c r="L295" s="32">
        <f t="shared" si="32"/>
        <v>105089.43</v>
      </c>
      <c r="M295" s="70">
        <f t="shared" si="33"/>
        <v>0.13484875965166762</v>
      </c>
      <c r="N295" s="70">
        <f t="shared" si="34"/>
        <v>-0.16722826960364318</v>
      </c>
      <c r="O295" s="45"/>
      <c r="P295" s="85">
        <f>SUMPRODUCT(SUMIFS(RawTransportationData!$D:$D,RawTransportationData!$A:$A,Compare!$P$2,RawTransportationData!$B:$B,Compare!$D295:$F295))</f>
        <v>298</v>
      </c>
      <c r="Q295" s="86">
        <f>SUMPRODUCT(SUMIFS(RawTransportationData!$G:$G,RawTransportationData!$A:$A,Compare!$P$2,RawTransportationData!$B:$B,Compare!$D295:$F295))</f>
        <v>249508.62</v>
      </c>
      <c r="R295" s="32">
        <f t="shared" si="35"/>
        <v>837.27724832214767</v>
      </c>
      <c r="S295" s="32">
        <f>SUMPRODUCT(SUMIFS(RawTransportationData!$H:$H,RawTransportationData!$A:$A,Compare!$P$1,RawTransportationData!$B:$B,Compare!$D295:$F295))</f>
        <v>135951</v>
      </c>
      <c r="T295" s="32">
        <f t="shared" si="36"/>
        <v>113557.62</v>
      </c>
      <c r="U295" s="45"/>
      <c r="V295" s="85">
        <f>SUMPRODUCT(SUMIFS(RawTransportationData!$D:$D,RawTransportationData!$A:$A,Compare!$V$2,RawTransportationData!$B:$B,Compare!$D295:$F295))</f>
        <v>304</v>
      </c>
      <c r="W295" s="86">
        <f>SUMPRODUCT(SUMIFS(RawTransportationData!$G:$G,RawTransportationData!$A:$A,Compare!$V$2,RawTransportationData!$B:$B,Compare!$D295:$F295))</f>
        <v>237180.36</v>
      </c>
      <c r="X295" s="32">
        <f t="shared" si="37"/>
        <v>780.19855263157888</v>
      </c>
      <c r="Y295" s="32">
        <f>SUMPRODUCT(SUMIFS(RawTransportationData!$H:$H,RawTransportationData!$A:$A,Compare!$V$1,RawTransportationData!$B:$B,Compare!$D295:$F295))</f>
        <v>110988</v>
      </c>
      <c r="Z295" s="32">
        <f t="shared" si="38"/>
        <v>126192.35999999999</v>
      </c>
    </row>
    <row r="296" spans="1:26" x14ac:dyDescent="0.55000000000000004">
      <c r="A296">
        <f>FinalPayment!A294</f>
        <v>2021</v>
      </c>
      <c r="B296" t="str">
        <f>FinalPayment!B294</f>
        <v>10</v>
      </c>
      <c r="C296" t="str">
        <f>FinalPayment!C294</f>
        <v>6660</v>
      </c>
      <c r="D296" t="str">
        <f>FinalPayment!D294</f>
        <v/>
      </c>
      <c r="E296" t="str">
        <f>FinalPayment!E294</f>
        <v/>
      </c>
      <c r="F296" t="str">
        <f>FinalPayment!F294</f>
        <v>6660</v>
      </c>
      <c r="G296" s="28" t="str">
        <f>FinalPayment!G294</f>
        <v>Vinton-Shellsburg</v>
      </c>
      <c r="H296" s="85">
        <f>SUMPRODUCT(SUMIFS(RawTransportationData!$D:$D,RawTransportationData!$A:$A,Compare!$H$2,RawTransportationData!$B:$B,Compare!$D296:$F296))</f>
        <v>1505.6</v>
      </c>
      <c r="I296" s="86">
        <f>SUMPRODUCT(SUMIFS(RawTransportationData!$G:$G,RawTransportationData!$A:$A,Compare!$H$2,RawTransportationData!$B:$B,Compare!$D296:$F296))</f>
        <v>451528.91</v>
      </c>
      <c r="J296" s="32">
        <f t="shared" si="39"/>
        <v>299.89964798087141</v>
      </c>
      <c r="K296" s="32">
        <f>SUMPRODUCT(SUMIFS(RawTransportationData!$H:$H,RawTransportationData!$A:$A,Compare!$E$1,RawTransportationData!$B:$B,Compare!$D296:$F296))</f>
        <v>1232</v>
      </c>
      <c r="L296" s="32">
        <f t="shared" si="32"/>
        <v>450296.91</v>
      </c>
      <c r="M296" s="70">
        <f t="shared" si="33"/>
        <v>4.8861076340557072E-2</v>
      </c>
      <c r="N296" s="70">
        <f t="shared" si="34"/>
        <v>2.6299428092257538E-2</v>
      </c>
      <c r="O296" s="45"/>
      <c r="P296" s="85">
        <f>SUMPRODUCT(SUMIFS(RawTransportationData!$D:$D,RawTransportationData!$A:$A,Compare!$P$2,RawTransportationData!$B:$B,Compare!$D296:$F296))</f>
        <v>1544</v>
      </c>
      <c r="Q296" s="86">
        <f>SUMPRODUCT(SUMIFS(RawTransportationData!$G:$G,RawTransportationData!$A:$A,Compare!$P$2,RawTransportationData!$B:$B,Compare!$D296:$F296))</f>
        <v>451523.85000000003</v>
      </c>
      <c r="R296" s="32">
        <f t="shared" si="35"/>
        <v>292.43772668393785</v>
      </c>
      <c r="S296" s="32">
        <f>SUMPRODUCT(SUMIFS(RawTransportationData!$H:$H,RawTransportationData!$A:$A,Compare!$P$1,RawTransportationData!$B:$B,Compare!$D296:$F296))</f>
        <v>0</v>
      </c>
      <c r="T296" s="32">
        <f t="shared" si="36"/>
        <v>451523.85000000003</v>
      </c>
      <c r="U296" s="45"/>
      <c r="V296" s="85">
        <f>SUMPRODUCT(SUMIFS(RawTransportationData!$D:$D,RawTransportationData!$A:$A,Compare!$V$2,RawTransportationData!$B:$B,Compare!$D296:$F296))</f>
        <v>1534.5</v>
      </c>
      <c r="W296" s="86">
        <f>SUMPRODUCT(SUMIFS(RawTransportationData!$G:$G,RawTransportationData!$A:$A,Compare!$V$2,RawTransportationData!$B:$B,Compare!$D296:$F296))</f>
        <v>438757.83</v>
      </c>
      <c r="X296" s="32">
        <f t="shared" si="37"/>
        <v>285.92885630498535</v>
      </c>
      <c r="Y296" s="32">
        <f>SUMPRODUCT(SUMIFS(RawTransportationData!$H:$H,RawTransportationData!$A:$A,Compare!$V$1,RawTransportationData!$B:$B,Compare!$D296:$F296))</f>
        <v>0</v>
      </c>
      <c r="Z296" s="32">
        <f t="shared" si="38"/>
        <v>438757.83</v>
      </c>
    </row>
    <row r="297" spans="1:26" x14ac:dyDescent="0.55000000000000004">
      <c r="A297">
        <f>FinalPayment!A295</f>
        <v>2021</v>
      </c>
      <c r="B297" t="str">
        <f>FinalPayment!B295</f>
        <v>15</v>
      </c>
      <c r="C297" t="str">
        <f>FinalPayment!C295</f>
        <v>6700</v>
      </c>
      <c r="D297" t="str">
        <f>FinalPayment!D295</f>
        <v/>
      </c>
      <c r="E297" t="str">
        <f>FinalPayment!E295</f>
        <v/>
      </c>
      <c r="F297" t="str">
        <f>FinalPayment!F295</f>
        <v>6700</v>
      </c>
      <c r="G297" s="28" t="str">
        <f>FinalPayment!G295</f>
        <v>Waco</v>
      </c>
      <c r="H297" s="85">
        <f>SUMPRODUCT(SUMIFS(RawTransportationData!$D:$D,RawTransportationData!$A:$A,Compare!$H$2,RawTransportationData!$B:$B,Compare!$D297:$F297))</f>
        <v>482.1</v>
      </c>
      <c r="I297" s="86">
        <f>SUMPRODUCT(SUMIFS(RawTransportationData!$G:$G,RawTransportationData!$A:$A,Compare!$H$2,RawTransportationData!$B:$B,Compare!$D297:$F297))</f>
        <v>152581.59</v>
      </c>
      <c r="J297" s="32">
        <f t="shared" si="39"/>
        <v>316.493652769135</v>
      </c>
      <c r="K297" s="32">
        <f>SUMPRODUCT(SUMIFS(RawTransportationData!$H:$H,RawTransportationData!$A:$A,Compare!$E$1,RawTransportationData!$B:$B,Compare!$D297:$F297))</f>
        <v>395</v>
      </c>
      <c r="L297" s="32">
        <f t="shared" si="32"/>
        <v>152186.59</v>
      </c>
      <c r="M297" s="70">
        <f t="shared" si="33"/>
        <v>-0.27206034929084233</v>
      </c>
      <c r="N297" s="70">
        <f t="shared" si="34"/>
        <v>-0.23811152757230486</v>
      </c>
      <c r="O297" s="45"/>
      <c r="P297" s="85">
        <f>SUMPRODUCT(SUMIFS(RawTransportationData!$D:$D,RawTransportationData!$A:$A,Compare!$P$2,RawTransportationData!$B:$B,Compare!$D297:$F297))</f>
        <v>479.9</v>
      </c>
      <c r="Q297" s="86">
        <f>SUMPRODUCT(SUMIFS(RawTransportationData!$G:$G,RawTransportationData!$A:$A,Compare!$P$2,RawTransportationData!$B:$B,Compare!$D297:$F297))</f>
        <v>150514.61000000002</v>
      </c>
      <c r="R297" s="32">
        <f t="shared" si="35"/>
        <v>313.63744530110444</v>
      </c>
      <c r="S297" s="32">
        <f>SUMPRODUCT(SUMIFS(RawTransportationData!$H:$H,RawTransportationData!$A:$A,Compare!$P$1,RawTransportationData!$B:$B,Compare!$D297:$F297))</f>
        <v>0</v>
      </c>
      <c r="T297" s="32">
        <f t="shared" si="36"/>
        <v>150514.61000000002</v>
      </c>
      <c r="U297" s="45"/>
      <c r="V297" s="85">
        <f>SUMPRODUCT(SUMIFS(RawTransportationData!$D:$D,RawTransportationData!$A:$A,Compare!$V$2,RawTransportationData!$B:$B,Compare!$D297:$F297))</f>
        <v>481.2</v>
      </c>
      <c r="W297" s="86">
        <f>SUMPRODUCT(SUMIFS(RawTransportationData!$G:$G,RawTransportationData!$A:$A,Compare!$V$2,RawTransportationData!$B:$B,Compare!$D297:$F297))</f>
        <v>209216.17</v>
      </c>
      <c r="X297" s="32">
        <f t="shared" si="37"/>
        <v>434.78007065669163</v>
      </c>
      <c r="Y297" s="32">
        <f>SUMPRODUCT(SUMIFS(RawTransportationData!$H:$H,RawTransportationData!$A:$A,Compare!$V$1,RawTransportationData!$B:$B,Compare!$D297:$F297))</f>
        <v>9467</v>
      </c>
      <c r="Z297" s="32">
        <f t="shared" si="38"/>
        <v>199749.17</v>
      </c>
    </row>
    <row r="298" spans="1:26" x14ac:dyDescent="0.55000000000000004">
      <c r="A298">
        <f>FinalPayment!A296</f>
        <v>2021</v>
      </c>
      <c r="B298" t="str">
        <f>FinalPayment!B296</f>
        <v>15</v>
      </c>
      <c r="C298" t="str">
        <f>FinalPayment!C296</f>
        <v>6759</v>
      </c>
      <c r="D298" t="str">
        <f>FinalPayment!D296</f>
        <v/>
      </c>
      <c r="E298" t="str">
        <f>FinalPayment!E296</f>
        <v/>
      </c>
      <c r="F298" t="str">
        <f>FinalPayment!F296</f>
        <v>6759</v>
      </c>
      <c r="G298" s="28" t="str">
        <f>FinalPayment!G296</f>
        <v>Wapello</v>
      </c>
      <c r="H298" s="85">
        <f>SUMPRODUCT(SUMIFS(RawTransportationData!$D:$D,RawTransportationData!$A:$A,Compare!$H$2,RawTransportationData!$B:$B,Compare!$D298:$F298))</f>
        <v>619.1</v>
      </c>
      <c r="I298" s="86">
        <f>SUMPRODUCT(SUMIFS(RawTransportationData!$G:$G,RawTransportationData!$A:$A,Compare!$H$2,RawTransportationData!$B:$B,Compare!$D298:$F298))</f>
        <v>145293.66</v>
      </c>
      <c r="J298" s="32">
        <f t="shared" si="39"/>
        <v>234.68528509126151</v>
      </c>
      <c r="K298" s="32">
        <f>SUMPRODUCT(SUMIFS(RawTransportationData!$H:$H,RawTransportationData!$A:$A,Compare!$E$1,RawTransportationData!$B:$B,Compare!$D298:$F298))</f>
        <v>507</v>
      </c>
      <c r="L298" s="32">
        <f t="shared" si="32"/>
        <v>144786.66</v>
      </c>
      <c r="M298" s="70">
        <f t="shared" si="33"/>
        <v>0.4117756836748474</v>
      </c>
      <c r="N298" s="70">
        <f t="shared" si="34"/>
        <v>0.34826688906428732</v>
      </c>
      <c r="O298" s="45"/>
      <c r="P298" s="85">
        <f>SUMPRODUCT(SUMIFS(RawTransportationData!$D:$D,RawTransportationData!$A:$A,Compare!$P$2,RawTransportationData!$B:$B,Compare!$D298:$F298))</f>
        <v>618.20000000000005</v>
      </c>
      <c r="Q298" s="86">
        <f>SUMPRODUCT(SUMIFS(RawTransportationData!$G:$G,RawTransportationData!$A:$A,Compare!$P$2,RawTransportationData!$B:$B,Compare!$D298:$F298))</f>
        <v>164025.44</v>
      </c>
      <c r="R298" s="32">
        <f t="shared" si="35"/>
        <v>265.32746683921062</v>
      </c>
      <c r="S298" s="32">
        <f>SUMPRODUCT(SUMIFS(RawTransportationData!$H:$H,RawTransportationData!$A:$A,Compare!$P$1,RawTransportationData!$B:$B,Compare!$D298:$F298))</f>
        <v>0</v>
      </c>
      <c r="T298" s="32">
        <f t="shared" si="36"/>
        <v>164025.44</v>
      </c>
      <c r="U298" s="45"/>
      <c r="V298" s="85">
        <f>SUMPRODUCT(SUMIFS(RawTransportationData!$D:$D,RawTransportationData!$A:$A,Compare!$V$2,RawTransportationData!$B:$B,Compare!$D298:$F298))</f>
        <v>646</v>
      </c>
      <c r="W298" s="86">
        <f>SUMPRODUCT(SUMIFS(RawTransportationData!$G:$G,RawTransportationData!$A:$A,Compare!$V$2,RawTransportationData!$B:$B,Compare!$D298:$F298))</f>
        <v>107387.24</v>
      </c>
      <c r="X298" s="32">
        <f t="shared" si="37"/>
        <v>166.23411764705884</v>
      </c>
      <c r="Y298" s="32">
        <f>SUMPRODUCT(SUMIFS(RawTransportationData!$H:$H,RawTransportationData!$A:$A,Compare!$V$1,RawTransportationData!$B:$B,Compare!$D298:$F298))</f>
        <v>0</v>
      </c>
      <c r="Z298" s="32">
        <f t="shared" si="38"/>
        <v>107387.24</v>
      </c>
    </row>
    <row r="299" spans="1:26" x14ac:dyDescent="0.55000000000000004">
      <c r="A299">
        <f>FinalPayment!A297</f>
        <v>2021</v>
      </c>
      <c r="B299" t="str">
        <f>FinalPayment!B297</f>
        <v>07</v>
      </c>
      <c r="C299" t="str">
        <f>FinalPayment!C297</f>
        <v>6762</v>
      </c>
      <c r="D299" t="str">
        <f>FinalPayment!D297</f>
        <v/>
      </c>
      <c r="E299" t="str">
        <f>FinalPayment!E297</f>
        <v/>
      </c>
      <c r="F299" t="str">
        <f>FinalPayment!F297</f>
        <v>6762</v>
      </c>
      <c r="G299" s="28" t="str">
        <f>FinalPayment!G297</f>
        <v>Wapsie Valley</v>
      </c>
      <c r="H299" s="85">
        <f>SUMPRODUCT(SUMIFS(RawTransportationData!$D:$D,RawTransportationData!$A:$A,Compare!$H$2,RawTransportationData!$B:$B,Compare!$D299:$F299))</f>
        <v>678.6</v>
      </c>
      <c r="I299" s="86">
        <f>SUMPRODUCT(SUMIFS(RawTransportationData!$G:$G,RawTransportationData!$A:$A,Compare!$H$2,RawTransportationData!$B:$B,Compare!$D299:$F299))</f>
        <v>162228.54</v>
      </c>
      <c r="J299" s="32">
        <f t="shared" si="39"/>
        <v>239.06357206012379</v>
      </c>
      <c r="K299" s="32">
        <f>SUMPRODUCT(SUMIFS(RawTransportationData!$H:$H,RawTransportationData!$A:$A,Compare!$E$1,RawTransportationData!$B:$B,Compare!$D299:$F299))</f>
        <v>555</v>
      </c>
      <c r="L299" s="32">
        <f t="shared" si="32"/>
        <v>161673.54</v>
      </c>
      <c r="M299" s="70">
        <f t="shared" si="33"/>
        <v>-0.16318270208003682</v>
      </c>
      <c r="N299" s="70">
        <f t="shared" si="34"/>
        <v>-0.15785491325189177</v>
      </c>
      <c r="O299" s="45"/>
      <c r="P299" s="85">
        <f>SUMPRODUCT(SUMIFS(RawTransportationData!$D:$D,RawTransportationData!$A:$A,Compare!$P$2,RawTransportationData!$B:$B,Compare!$D299:$F299))</f>
        <v>680.2</v>
      </c>
      <c r="Q299" s="86">
        <f>SUMPRODUCT(SUMIFS(RawTransportationData!$G:$G,RawTransportationData!$A:$A,Compare!$P$2,RawTransportationData!$B:$B,Compare!$D299:$F299))</f>
        <v>241064.02</v>
      </c>
      <c r="R299" s="32">
        <f t="shared" si="35"/>
        <v>354.40167597765361</v>
      </c>
      <c r="S299" s="32">
        <f>SUMPRODUCT(SUMIFS(RawTransportationData!$H:$H,RawTransportationData!$A:$A,Compare!$P$1,RawTransportationData!$B:$B,Compare!$D299:$F299))</f>
        <v>0</v>
      </c>
      <c r="T299" s="32">
        <f t="shared" si="36"/>
        <v>241064.02</v>
      </c>
      <c r="U299" s="45"/>
      <c r="V299" s="85">
        <f>SUMPRODUCT(SUMIFS(RawTransportationData!$D:$D,RawTransportationData!$A:$A,Compare!$V$2,RawTransportationData!$B:$B,Compare!$D299:$F299))</f>
        <v>672</v>
      </c>
      <c r="W299" s="86">
        <f>SUMPRODUCT(SUMIFS(RawTransportationData!$G:$G,RawTransportationData!$A:$A,Compare!$V$2,RawTransportationData!$B:$B,Compare!$D299:$F299))</f>
        <v>191978.25</v>
      </c>
      <c r="X299" s="32">
        <f t="shared" si="37"/>
        <v>285.68191964285717</v>
      </c>
      <c r="Y299" s="32">
        <f>SUMPRODUCT(SUMIFS(RawTransportationData!$H:$H,RawTransportationData!$A:$A,Compare!$V$1,RawTransportationData!$B:$B,Compare!$D299:$F299))</f>
        <v>0</v>
      </c>
      <c r="Z299" s="32">
        <f t="shared" si="38"/>
        <v>191978.25</v>
      </c>
    </row>
    <row r="300" spans="1:26" x14ac:dyDescent="0.55000000000000004">
      <c r="A300">
        <f>FinalPayment!A298</f>
        <v>2021</v>
      </c>
      <c r="B300" t="str">
        <f>FinalPayment!B298</f>
        <v>10</v>
      </c>
      <c r="C300" t="str">
        <f>FinalPayment!C298</f>
        <v>6768</v>
      </c>
      <c r="D300" t="str">
        <f>FinalPayment!D298</f>
        <v/>
      </c>
      <c r="E300" t="str">
        <f>FinalPayment!E298</f>
        <v/>
      </c>
      <c r="F300" t="str">
        <f>FinalPayment!F298</f>
        <v>6768</v>
      </c>
      <c r="G300" s="28" t="str">
        <f>FinalPayment!G298</f>
        <v>Washington</v>
      </c>
      <c r="H300" s="85">
        <f>SUMPRODUCT(SUMIFS(RawTransportationData!$D:$D,RawTransportationData!$A:$A,Compare!$H$2,RawTransportationData!$B:$B,Compare!$D300:$F300))</f>
        <v>1713.9</v>
      </c>
      <c r="I300" s="86">
        <f>SUMPRODUCT(SUMIFS(RawTransportationData!$G:$G,RawTransportationData!$A:$A,Compare!$H$2,RawTransportationData!$B:$B,Compare!$D300:$F300))</f>
        <v>500050.27999999997</v>
      </c>
      <c r="J300" s="32">
        <f t="shared" si="39"/>
        <v>291.76164303634982</v>
      </c>
      <c r="K300" s="32">
        <f>SUMPRODUCT(SUMIFS(RawTransportationData!$H:$H,RawTransportationData!$A:$A,Compare!$E$1,RawTransportationData!$B:$B,Compare!$D300:$F300))</f>
        <v>1403</v>
      </c>
      <c r="L300" s="32">
        <f t="shared" si="32"/>
        <v>498647.27999999997</v>
      </c>
      <c r="M300" s="70">
        <f t="shared" si="33"/>
        <v>3.5648748469960113E-2</v>
      </c>
      <c r="N300" s="70">
        <f t="shared" si="34"/>
        <v>1.439523486942877E-2</v>
      </c>
      <c r="O300" s="45"/>
      <c r="P300" s="85">
        <f>SUMPRODUCT(SUMIFS(RawTransportationData!$D:$D,RawTransportationData!$A:$A,Compare!$P$2,RawTransportationData!$B:$B,Compare!$D300:$F300))</f>
        <v>1777.5</v>
      </c>
      <c r="Q300" s="86">
        <f>SUMPRODUCT(SUMIFS(RawTransportationData!$G:$G,RawTransportationData!$A:$A,Compare!$P$2,RawTransportationData!$B:$B,Compare!$D300:$F300))</f>
        <v>493723.98</v>
      </c>
      <c r="R300" s="32">
        <f t="shared" si="35"/>
        <v>277.76313924050629</v>
      </c>
      <c r="S300" s="32">
        <f>SUMPRODUCT(SUMIFS(RawTransportationData!$H:$H,RawTransportationData!$A:$A,Compare!$P$1,RawTransportationData!$B:$B,Compare!$D300:$F300))</f>
        <v>0</v>
      </c>
      <c r="T300" s="32">
        <f t="shared" si="36"/>
        <v>493723.98</v>
      </c>
      <c r="U300" s="45"/>
      <c r="V300" s="85">
        <f>SUMPRODUCT(SUMIFS(RawTransportationData!$D:$D,RawTransportationData!$A:$A,Compare!$V$2,RawTransportationData!$B:$B,Compare!$D300:$F300))</f>
        <v>1744.8999999999999</v>
      </c>
      <c r="W300" s="86">
        <f>SUMPRODUCT(SUMIFS(RawTransportationData!$G:$G,RawTransportationData!$A:$A,Compare!$V$2,RawTransportationData!$B:$B,Compare!$D300:$F300))</f>
        <v>491571</v>
      </c>
      <c r="X300" s="32">
        <f t="shared" si="37"/>
        <v>281.71872313599636</v>
      </c>
      <c r="Y300" s="32">
        <f>SUMPRODUCT(SUMIFS(RawTransportationData!$H:$H,RawTransportationData!$A:$A,Compare!$V$1,RawTransportationData!$B:$B,Compare!$D300:$F300))</f>
        <v>0</v>
      </c>
      <c r="Z300" s="32">
        <f t="shared" si="38"/>
        <v>491571</v>
      </c>
    </row>
    <row r="301" spans="1:26" x14ac:dyDescent="0.55000000000000004">
      <c r="A301">
        <f>FinalPayment!A299</f>
        <v>2021</v>
      </c>
      <c r="B301" t="str">
        <f>FinalPayment!B299</f>
        <v>07</v>
      </c>
      <c r="C301" t="str">
        <f>FinalPayment!C299</f>
        <v>6795</v>
      </c>
      <c r="D301" t="str">
        <f>FinalPayment!D299</f>
        <v/>
      </c>
      <c r="E301" t="str">
        <f>FinalPayment!E299</f>
        <v/>
      </c>
      <c r="F301" t="str">
        <f>FinalPayment!F299</f>
        <v>6795</v>
      </c>
      <c r="G301" s="28" t="str">
        <f>FinalPayment!G299</f>
        <v>Waterloo</v>
      </c>
      <c r="H301" s="85">
        <f>SUMPRODUCT(SUMIFS(RawTransportationData!$D:$D,RawTransportationData!$A:$A,Compare!$H$2,RawTransportationData!$B:$B,Compare!$D301:$F301))</f>
        <v>10772.6</v>
      </c>
      <c r="I301" s="86">
        <f>SUMPRODUCT(SUMIFS(RawTransportationData!$G:$G,RawTransportationData!$A:$A,Compare!$H$2,RawTransportationData!$B:$B,Compare!$D301:$F301))</f>
        <v>4271035.33</v>
      </c>
      <c r="J301" s="32">
        <f t="shared" si="39"/>
        <v>396.47209865770566</v>
      </c>
      <c r="K301" s="32">
        <f>SUMPRODUCT(SUMIFS(RawTransportationData!$H:$H,RawTransportationData!$A:$A,Compare!$E$1,RawTransportationData!$B:$B,Compare!$D301:$F301))</f>
        <v>534736</v>
      </c>
      <c r="L301" s="32">
        <f t="shared" si="32"/>
        <v>3736299.33</v>
      </c>
      <c r="M301" s="70">
        <f t="shared" si="33"/>
        <v>8.8414361353617882E-2</v>
      </c>
      <c r="N301" s="70">
        <f t="shared" si="34"/>
        <v>-5.3033333759805838E-2</v>
      </c>
      <c r="O301" s="45"/>
      <c r="P301" s="85">
        <f>SUMPRODUCT(SUMIFS(RawTransportationData!$D:$D,RawTransportationData!$A:$A,Compare!$P$2,RawTransportationData!$B:$B,Compare!$D301:$F301))</f>
        <v>10872.4</v>
      </c>
      <c r="Q301" s="86">
        <f>SUMPRODUCT(SUMIFS(RawTransportationData!$G:$G,RawTransportationData!$A:$A,Compare!$P$2,RawTransportationData!$B:$B,Compare!$D301:$F301))</f>
        <v>4420156.46</v>
      </c>
      <c r="R301" s="32">
        <f t="shared" si="35"/>
        <v>406.54836650601521</v>
      </c>
      <c r="S301" s="32">
        <f>SUMPRODUCT(SUMIFS(RawTransportationData!$H:$H,RawTransportationData!$A:$A,Compare!$P$1,RawTransportationData!$B:$B,Compare!$D301:$F301))</f>
        <v>277052</v>
      </c>
      <c r="T301" s="32">
        <f t="shared" si="36"/>
        <v>4143104.46</v>
      </c>
      <c r="U301" s="45"/>
      <c r="V301" s="85">
        <f>SUMPRODUCT(SUMIFS(RawTransportationData!$D:$D,RawTransportationData!$A:$A,Compare!$V$2,RawTransportationData!$B:$B,Compare!$D301:$F301))</f>
        <v>10831.5</v>
      </c>
      <c r="W301" s="86">
        <f>SUMPRODUCT(SUMIFS(RawTransportationData!$G:$G,RawTransportationData!$A:$A,Compare!$V$2,RawTransportationData!$B:$B,Compare!$D301:$F301))</f>
        <v>3945544.7199999997</v>
      </c>
      <c r="X301" s="32">
        <f t="shared" si="37"/>
        <v>364.26577297696531</v>
      </c>
      <c r="Y301" s="32">
        <f>SUMPRODUCT(SUMIFS(RawTransportationData!$H:$H,RawTransportationData!$A:$A,Compare!$V$1,RawTransportationData!$B:$B,Compare!$D301:$F301))</f>
        <v>0</v>
      </c>
      <c r="Z301" s="32">
        <f t="shared" si="38"/>
        <v>3945544.7199999997</v>
      </c>
    </row>
    <row r="302" spans="1:26" x14ac:dyDescent="0.55000000000000004">
      <c r="A302">
        <f>FinalPayment!A300</f>
        <v>2021</v>
      </c>
      <c r="B302" t="str">
        <f>FinalPayment!B300</f>
        <v>11</v>
      </c>
      <c r="C302" t="str">
        <f>FinalPayment!C300</f>
        <v>6822</v>
      </c>
      <c r="D302" t="str">
        <f>FinalPayment!D300</f>
        <v/>
      </c>
      <c r="E302" t="str">
        <f>FinalPayment!E300</f>
        <v/>
      </c>
      <c r="F302" t="str">
        <f>FinalPayment!F300</f>
        <v>6822</v>
      </c>
      <c r="G302" s="28" t="str">
        <f>FinalPayment!G300</f>
        <v>Waukee</v>
      </c>
      <c r="H302" s="85">
        <f>SUMPRODUCT(SUMIFS(RawTransportationData!$D:$D,RawTransportationData!$A:$A,Compare!$H$2,RawTransportationData!$B:$B,Compare!$D302:$F302))</f>
        <v>11197.2</v>
      </c>
      <c r="I302" s="86">
        <f>SUMPRODUCT(SUMIFS(RawTransportationData!$G:$G,RawTransportationData!$A:$A,Compare!$H$2,RawTransportationData!$B:$B,Compare!$D302:$F302))</f>
        <v>3184171.1</v>
      </c>
      <c r="J302" s="32">
        <f t="shared" si="39"/>
        <v>284.3720840924517</v>
      </c>
      <c r="K302" s="32">
        <f>SUMPRODUCT(SUMIFS(RawTransportationData!$H:$H,RawTransportationData!$A:$A,Compare!$E$1,RawTransportationData!$B:$B,Compare!$D302:$F302))</f>
        <v>9166</v>
      </c>
      <c r="L302" s="32">
        <f t="shared" si="32"/>
        <v>3175005.1</v>
      </c>
      <c r="M302" s="70">
        <f t="shared" si="33"/>
        <v>0.36787419525845355</v>
      </c>
      <c r="N302" s="70">
        <f t="shared" si="34"/>
        <v>0.52306912586113596</v>
      </c>
      <c r="O302" s="45"/>
      <c r="P302" s="85">
        <f>SUMPRODUCT(SUMIFS(RawTransportationData!$D:$D,RawTransportationData!$A:$A,Compare!$P$2,RawTransportationData!$B:$B,Compare!$D302:$F302))</f>
        <v>10599.6</v>
      </c>
      <c r="Q302" s="86">
        <f>SUMPRODUCT(SUMIFS(RawTransportationData!$G:$G,RawTransportationData!$A:$A,Compare!$P$2,RawTransportationData!$B:$B,Compare!$D302:$F302))</f>
        <v>2471960.5700000003</v>
      </c>
      <c r="R302" s="32">
        <f t="shared" si="35"/>
        <v>233.21262783501265</v>
      </c>
      <c r="S302" s="32">
        <f>SUMPRODUCT(SUMIFS(RawTransportationData!$H:$H,RawTransportationData!$A:$A,Compare!$P$1,RawTransportationData!$B:$B,Compare!$D302:$F302))</f>
        <v>0</v>
      </c>
      <c r="T302" s="32">
        <f t="shared" si="36"/>
        <v>2471960.5700000003</v>
      </c>
      <c r="U302" s="45"/>
      <c r="V302" s="85">
        <f>SUMPRODUCT(SUMIFS(RawTransportationData!$D:$D,RawTransportationData!$A:$A,Compare!$V$2,RawTransportationData!$B:$B,Compare!$D302:$F302))</f>
        <v>10027.299999999999</v>
      </c>
      <c r="W302" s="86">
        <f>SUMPRODUCT(SUMIFS(RawTransportationData!$G:$G,RawTransportationData!$A:$A,Compare!$V$2,RawTransportationData!$B:$B,Compare!$D302:$F302))</f>
        <v>2084609.98</v>
      </c>
      <c r="X302" s="32">
        <f t="shared" si="37"/>
        <v>207.89344888454519</v>
      </c>
      <c r="Y302" s="32">
        <f>SUMPRODUCT(SUMIFS(RawTransportationData!$H:$H,RawTransportationData!$A:$A,Compare!$V$1,RawTransportationData!$B:$B,Compare!$D302:$F302))</f>
        <v>0</v>
      </c>
      <c r="Z302" s="32">
        <f t="shared" si="38"/>
        <v>2084609.98</v>
      </c>
    </row>
    <row r="303" spans="1:26" x14ac:dyDescent="0.55000000000000004">
      <c r="A303">
        <f>FinalPayment!A301</f>
        <v>2021</v>
      </c>
      <c r="B303" t="str">
        <f>FinalPayment!B301</f>
        <v>07</v>
      </c>
      <c r="C303" t="str">
        <f>FinalPayment!C301</f>
        <v>6840</v>
      </c>
      <c r="D303" t="str">
        <f>FinalPayment!D301</f>
        <v/>
      </c>
      <c r="E303" t="str">
        <f>FinalPayment!E301</f>
        <v/>
      </c>
      <c r="F303" t="str">
        <f>FinalPayment!F301</f>
        <v>6840</v>
      </c>
      <c r="G303" s="28" t="str">
        <f>FinalPayment!G301</f>
        <v>Waverly-Shell Rock</v>
      </c>
      <c r="H303" s="85">
        <f>SUMPRODUCT(SUMIFS(RawTransportationData!$D:$D,RawTransportationData!$A:$A,Compare!$H$2,RawTransportationData!$B:$B,Compare!$D303:$F303))</f>
        <v>2115.9</v>
      </c>
      <c r="I303" s="86">
        <f>SUMPRODUCT(SUMIFS(RawTransportationData!$G:$G,RawTransportationData!$A:$A,Compare!$H$2,RawTransportationData!$B:$B,Compare!$D303:$F303))</f>
        <v>443807.79</v>
      </c>
      <c r="J303" s="32">
        <f t="shared" si="39"/>
        <v>209.74894371189563</v>
      </c>
      <c r="K303" s="32">
        <f>SUMPRODUCT(SUMIFS(RawTransportationData!$H:$H,RawTransportationData!$A:$A,Compare!$E$1,RawTransportationData!$B:$B,Compare!$D303:$F303))</f>
        <v>1732</v>
      </c>
      <c r="L303" s="32">
        <f t="shared" si="32"/>
        <v>442075.79</v>
      </c>
      <c r="M303" s="70">
        <f t="shared" si="33"/>
        <v>2.3505719841380741E-2</v>
      </c>
      <c r="N303" s="70">
        <f t="shared" si="34"/>
        <v>6.5802452280306872E-2</v>
      </c>
      <c r="O303" s="45"/>
      <c r="P303" s="85">
        <f>SUMPRODUCT(SUMIFS(RawTransportationData!$D:$D,RawTransportationData!$A:$A,Compare!$P$2,RawTransportationData!$B:$B,Compare!$D303:$F303))</f>
        <v>2077.8000000000002</v>
      </c>
      <c r="Q303" s="86">
        <f>SUMPRODUCT(SUMIFS(RawTransportationData!$G:$G,RawTransportationData!$A:$A,Compare!$P$2,RawTransportationData!$B:$B,Compare!$D303:$F303))</f>
        <v>473678.79</v>
      </c>
      <c r="R303" s="32">
        <f t="shared" si="35"/>
        <v>227.97131100202134</v>
      </c>
      <c r="S303" s="32">
        <f>SUMPRODUCT(SUMIFS(RawTransportationData!$H:$H,RawTransportationData!$A:$A,Compare!$P$1,RawTransportationData!$B:$B,Compare!$D303:$F303))</f>
        <v>0</v>
      </c>
      <c r="T303" s="32">
        <f t="shared" si="36"/>
        <v>473678.79</v>
      </c>
      <c r="U303" s="45"/>
      <c r="V303" s="85">
        <f>SUMPRODUCT(SUMIFS(RawTransportationData!$D:$D,RawTransportationData!$A:$A,Compare!$V$2,RawTransportationData!$B:$B,Compare!$D303:$F303))</f>
        <v>2024</v>
      </c>
      <c r="W303" s="86">
        <f>SUMPRODUCT(SUMIFS(RawTransportationData!$G:$G,RawTransportationData!$A:$A,Compare!$V$2,RawTransportationData!$B:$B,Compare!$D303:$F303))</f>
        <v>414782.11</v>
      </c>
      <c r="X303" s="32">
        <f t="shared" si="37"/>
        <v>204.93187252964427</v>
      </c>
      <c r="Y303" s="32">
        <f>SUMPRODUCT(SUMIFS(RawTransportationData!$H:$H,RawTransportationData!$A:$A,Compare!$V$1,RawTransportationData!$B:$B,Compare!$D303:$F303))</f>
        <v>0</v>
      </c>
      <c r="Z303" s="32">
        <f t="shared" si="38"/>
        <v>414782.11</v>
      </c>
    </row>
    <row r="304" spans="1:26" x14ac:dyDescent="0.55000000000000004">
      <c r="A304">
        <f>FinalPayment!A302</f>
        <v>2021</v>
      </c>
      <c r="B304" t="str">
        <f>FinalPayment!B302</f>
        <v>15</v>
      </c>
      <c r="C304" t="str">
        <f>FinalPayment!C302</f>
        <v>6854</v>
      </c>
      <c r="D304" t="str">
        <f>FinalPayment!D302</f>
        <v/>
      </c>
      <c r="E304" t="str">
        <f>FinalPayment!E302</f>
        <v/>
      </c>
      <c r="F304" t="str">
        <f>FinalPayment!F302</f>
        <v>6854</v>
      </c>
      <c r="G304" s="28" t="str">
        <f>FinalPayment!G302</f>
        <v>Wayne</v>
      </c>
      <c r="H304" s="85">
        <f>SUMPRODUCT(SUMIFS(RawTransportationData!$D:$D,RawTransportationData!$A:$A,Compare!$H$2,RawTransportationData!$B:$B,Compare!$D304:$F304))</f>
        <v>572.29999999999995</v>
      </c>
      <c r="I304" s="86">
        <f>SUMPRODUCT(SUMIFS(RawTransportationData!$G:$G,RawTransportationData!$A:$A,Compare!$H$2,RawTransportationData!$B:$B,Compare!$D304:$F304))</f>
        <v>283765.56</v>
      </c>
      <c r="J304" s="32">
        <f t="shared" si="39"/>
        <v>495.83358378472832</v>
      </c>
      <c r="K304" s="32">
        <f>SUMPRODUCT(SUMIFS(RawTransportationData!$H:$H,RawTransportationData!$A:$A,Compare!$E$1,RawTransportationData!$B:$B,Compare!$D304:$F304))</f>
        <v>85271</v>
      </c>
      <c r="L304" s="32">
        <f t="shared" si="32"/>
        <v>198494.56</v>
      </c>
      <c r="M304" s="70">
        <f t="shared" si="33"/>
        <v>6.3387116800556642E-2</v>
      </c>
      <c r="N304" s="70">
        <f t="shared" si="34"/>
        <v>-0.16548102865669539</v>
      </c>
      <c r="O304" s="45"/>
      <c r="P304" s="85">
        <f>SUMPRODUCT(SUMIFS(RawTransportationData!$D:$D,RawTransportationData!$A:$A,Compare!$P$2,RawTransportationData!$B:$B,Compare!$D304:$F304))</f>
        <v>575.6</v>
      </c>
      <c r="Q304" s="86">
        <f>SUMPRODUCT(SUMIFS(RawTransportationData!$G:$G,RawTransportationData!$A:$A,Compare!$P$2,RawTransportationData!$B:$B,Compare!$D304:$F304))</f>
        <v>351007.59</v>
      </c>
      <c r="R304" s="32">
        <f t="shared" si="35"/>
        <v>609.81165740097288</v>
      </c>
      <c r="S304" s="32">
        <f>SUMPRODUCT(SUMIFS(RawTransportationData!$H:$H,RawTransportationData!$A:$A,Compare!$P$1,RawTransportationData!$B:$B,Compare!$D304:$F304))</f>
        <v>131664</v>
      </c>
      <c r="T304" s="32">
        <f>Q304-S304</f>
        <v>219343.59000000003</v>
      </c>
      <c r="U304" s="45"/>
      <c r="V304" s="85">
        <f>SUMPRODUCT(SUMIFS(RawTransportationData!$D:$D,RawTransportationData!$A:$A,Compare!$V$2,RawTransportationData!$B:$B,Compare!$D304:$F304))</f>
        <v>573</v>
      </c>
      <c r="W304" s="86">
        <f>SUMPRODUCT(SUMIFS(RawTransportationData!$G:$G,RawTransportationData!$A:$A,Compare!$V$2,RawTransportationData!$B:$B,Compare!$D304:$F304))</f>
        <v>267177.06</v>
      </c>
      <c r="X304" s="32">
        <f t="shared" si="37"/>
        <v>466.27759162303664</v>
      </c>
      <c r="Y304" s="32">
        <f>SUMPRODUCT(SUMIFS(RawTransportationData!$H:$H,RawTransportationData!$A:$A,Compare!$V$1,RawTransportationData!$B:$B,Compare!$D304:$F304))</f>
        <v>29322</v>
      </c>
      <c r="Z304" s="32">
        <f t="shared" si="38"/>
        <v>237855.06</v>
      </c>
    </row>
    <row r="305" spans="1:26" x14ac:dyDescent="0.55000000000000004">
      <c r="A305">
        <f>FinalPayment!A303</f>
        <v>2021</v>
      </c>
      <c r="B305" t="str">
        <f>FinalPayment!B303</f>
        <v>05</v>
      </c>
      <c r="C305" t="str">
        <f>FinalPayment!C303</f>
        <v>6867</v>
      </c>
      <c r="D305" t="str">
        <f>FinalPayment!D303</f>
        <v>4775</v>
      </c>
      <c r="E305" t="str">
        <f>FinalPayment!E303</f>
        <v/>
      </c>
      <c r="F305" t="str">
        <f>FinalPayment!F303</f>
        <v>6867</v>
      </c>
      <c r="G305" s="28" t="str">
        <f>FinalPayment!G303</f>
        <v>Webster City</v>
      </c>
      <c r="H305" s="85">
        <f>SUMPRODUCT(SUMIFS(RawTransportationData!$D:$D,RawTransportationData!$A:$A,Compare!$H$2,RawTransportationData!$B:$B,Compare!$D305:$F305))</f>
        <v>1717.1</v>
      </c>
      <c r="I305" s="86">
        <f>SUMPRODUCT(SUMIFS(RawTransportationData!$G:$G,RawTransportationData!$A:$A,Compare!$H$2,RawTransportationData!$B:$B,Compare!$D305:$F305))</f>
        <v>782519.47</v>
      </c>
      <c r="J305" s="32">
        <f t="shared" si="39"/>
        <v>455.7215479587677</v>
      </c>
      <c r="K305" s="32">
        <f>SUMPRODUCT(SUMIFS(RawTransportationData!$H:$H,RawTransportationData!$A:$A,Compare!$E$1,RawTransportationData!$B:$B,Compare!$D305:$F305))</f>
        <v>186983</v>
      </c>
      <c r="L305" s="32">
        <f t="shared" si="32"/>
        <v>595536.47</v>
      </c>
      <c r="M305" s="70">
        <f t="shared" si="33"/>
        <v>0.35280834079389922</v>
      </c>
      <c r="N305" s="70">
        <f t="shared" si="34"/>
        <v>0.18905518469488389</v>
      </c>
      <c r="O305" s="45"/>
      <c r="P305" s="85">
        <f>SUMPRODUCT(SUMIFS(RawTransportationData!$D:$D,RawTransportationData!$A:$A,Compare!$P$2,RawTransportationData!$B:$B,Compare!$D305:$F305))</f>
        <v>1697.4</v>
      </c>
      <c r="Q305" s="86">
        <f>SUMPRODUCT(SUMIFS(RawTransportationData!$G:$G,RawTransportationData!$A:$A,Compare!$P$2,RawTransportationData!$B:$B,Compare!$D305:$F305))</f>
        <v>735661.91</v>
      </c>
      <c r="R305" s="32">
        <f t="shared" si="35"/>
        <v>433.40515494285376</v>
      </c>
      <c r="S305" s="32">
        <f>SUMPRODUCT(SUMIFS(RawTransportationData!$H:$H,RawTransportationData!$A:$A,Compare!$P$1,RawTransportationData!$B:$B,Compare!$D305:$F305))</f>
        <v>155611</v>
      </c>
      <c r="T305" s="32">
        <f t="shared" si="36"/>
        <v>580050.91</v>
      </c>
      <c r="U305" s="45"/>
      <c r="V305" s="85">
        <f>SUMPRODUCT(SUMIFS(RawTransportationData!$D:$D,RawTransportationData!$A:$A,Compare!$V$2,RawTransportationData!$B:$B,Compare!$D305:$F305))</f>
        <v>1738.6</v>
      </c>
      <c r="W305" s="86">
        <f>SUMPRODUCT(SUMIFS(RawTransportationData!$G:$G,RawTransportationData!$A:$A,Compare!$V$2,RawTransportationData!$B:$B,Compare!$D305:$F305))</f>
        <v>585683.47</v>
      </c>
      <c r="X305" s="32">
        <f t="shared" si="37"/>
        <v>336.87074082595194</v>
      </c>
      <c r="Y305" s="32">
        <f>SUMPRODUCT(SUMIFS(RawTransportationData!$H:$H,RawTransportationData!$A:$A,Compare!$V$1,RawTransportationData!$B:$B,Compare!$D305:$F305))</f>
        <v>84835</v>
      </c>
      <c r="Z305" s="32">
        <f t="shared" si="38"/>
        <v>500848.47</v>
      </c>
    </row>
    <row r="306" spans="1:26" x14ac:dyDescent="0.55000000000000004">
      <c r="A306">
        <f>FinalPayment!A304</f>
        <v>2021</v>
      </c>
      <c r="B306" t="str">
        <f>FinalPayment!B304</f>
        <v>05</v>
      </c>
      <c r="C306" t="str">
        <f>FinalPayment!C304</f>
        <v>6921</v>
      </c>
      <c r="D306" t="str">
        <f>FinalPayment!D304</f>
        <v/>
      </c>
      <c r="E306" t="str">
        <f>FinalPayment!E304</f>
        <v/>
      </c>
      <c r="F306" t="str">
        <f>FinalPayment!F304</f>
        <v>6921</v>
      </c>
      <c r="G306" s="28" t="str">
        <f>FinalPayment!G304</f>
        <v>West Bend-Mallard</v>
      </c>
      <c r="H306" s="85">
        <f>SUMPRODUCT(SUMIFS(RawTransportationData!$D:$D,RawTransportationData!$A:$A,Compare!$H$2,RawTransportationData!$B:$B,Compare!$D306:$F306))</f>
        <v>284.39999999999998</v>
      </c>
      <c r="I306" s="86">
        <f>SUMPRODUCT(SUMIFS(RawTransportationData!$G:$G,RawTransportationData!$A:$A,Compare!$H$2,RawTransportationData!$B:$B,Compare!$D306:$F306))</f>
        <v>217288.84999999998</v>
      </c>
      <c r="J306" s="32">
        <f t="shared" si="39"/>
        <v>764.02549226441624</v>
      </c>
      <c r="K306" s="32">
        <f>SUMPRODUCT(SUMIFS(RawTransportationData!$H:$H,RawTransportationData!$A:$A,Compare!$E$1,RawTransportationData!$B:$B,Compare!$D306:$F306))</f>
        <v>118651</v>
      </c>
      <c r="L306" s="32">
        <f t="shared" si="32"/>
        <v>98637.849999999977</v>
      </c>
      <c r="M306" s="70">
        <f t="shared" si="33"/>
        <v>0.41623712555162257</v>
      </c>
      <c r="N306" s="70">
        <f t="shared" si="34"/>
        <v>-0.25252452764188799</v>
      </c>
      <c r="O306" s="45"/>
      <c r="P306" s="85">
        <f>SUMPRODUCT(SUMIFS(RawTransportationData!$D:$D,RawTransportationData!$A:$A,Compare!$P$2,RawTransportationData!$B:$B,Compare!$D306:$F306))</f>
        <v>286.2</v>
      </c>
      <c r="Q306" s="86">
        <f>SUMPRODUCT(SUMIFS(RawTransportationData!$G:$G,RawTransportationData!$A:$A,Compare!$P$2,RawTransportationData!$B:$B,Compare!$D306:$F306))</f>
        <v>155478.06</v>
      </c>
      <c r="R306" s="32">
        <f t="shared" si="35"/>
        <v>543.24968553459121</v>
      </c>
      <c r="S306" s="32">
        <f>SUMPRODUCT(SUMIFS(RawTransportationData!$H:$H,RawTransportationData!$A:$A,Compare!$P$1,RawTransportationData!$B:$B,Compare!$D306:$F306))</f>
        <v>46417</v>
      </c>
      <c r="T306" s="32">
        <f t="shared" si="36"/>
        <v>109061.06</v>
      </c>
      <c r="U306" s="45"/>
      <c r="V306" s="85">
        <f>SUMPRODUCT(SUMIFS(RawTransportationData!$D:$D,RawTransportationData!$A:$A,Compare!$V$2,RawTransportationData!$B:$B,Compare!$D306:$F306))</f>
        <v>317.89999999999998</v>
      </c>
      <c r="W306" s="86">
        <f>SUMPRODUCT(SUMIFS(RawTransportationData!$G:$G,RawTransportationData!$A:$A,Compare!$V$2,RawTransportationData!$B:$B,Compare!$D306:$F306))</f>
        <v>171499.32</v>
      </c>
      <c r="X306" s="32">
        <f t="shared" si="37"/>
        <v>539.47568417741434</v>
      </c>
      <c r="Y306" s="32">
        <f>SUMPRODUCT(SUMIFS(RawTransportationData!$H:$H,RawTransportationData!$A:$A,Compare!$V$1,RawTransportationData!$B:$B,Compare!$D306:$F306))</f>
        <v>39538</v>
      </c>
      <c r="Z306" s="32">
        <f t="shared" si="38"/>
        <v>131961.32</v>
      </c>
    </row>
    <row r="307" spans="1:26" x14ac:dyDescent="0.55000000000000004">
      <c r="A307">
        <f>FinalPayment!A305</f>
        <v>2021</v>
      </c>
      <c r="B307" t="str">
        <f>FinalPayment!B305</f>
        <v>10</v>
      </c>
      <c r="C307" t="str">
        <f>FinalPayment!C305</f>
        <v>6930</v>
      </c>
      <c r="D307" t="str">
        <f>FinalPayment!D305</f>
        <v/>
      </c>
      <c r="E307" t="str">
        <f>FinalPayment!E305</f>
        <v/>
      </c>
      <c r="F307" t="str">
        <f>FinalPayment!F305</f>
        <v>6930</v>
      </c>
      <c r="G307" s="28" t="str">
        <f>FinalPayment!G305</f>
        <v>West Branch</v>
      </c>
      <c r="H307" s="85">
        <f>SUMPRODUCT(SUMIFS(RawTransportationData!$D:$D,RawTransportationData!$A:$A,Compare!$H$2,RawTransportationData!$B:$B,Compare!$D307:$F307))</f>
        <v>736.2</v>
      </c>
      <c r="I307" s="86">
        <f>SUMPRODUCT(SUMIFS(RawTransportationData!$G:$G,RawTransportationData!$A:$A,Compare!$H$2,RawTransportationData!$B:$B,Compare!$D307:$F307))</f>
        <v>298915.15999999997</v>
      </c>
      <c r="J307" s="32">
        <f t="shared" si="39"/>
        <v>406.0243955446889</v>
      </c>
      <c r="K307" s="32">
        <f>SUMPRODUCT(SUMIFS(RawTransportationData!$H:$H,RawTransportationData!$A:$A,Compare!$E$1,RawTransportationData!$B:$B,Compare!$D307:$F307))</f>
        <v>43575</v>
      </c>
      <c r="L307" s="32">
        <f t="shared" si="32"/>
        <v>255340.15999999997</v>
      </c>
      <c r="M307" s="70">
        <f t="shared" si="33"/>
        <v>0.16645721241496944</v>
      </c>
      <c r="N307" s="70">
        <f t="shared" si="34"/>
        <v>-4.6581381792986792E-2</v>
      </c>
      <c r="O307" s="45"/>
      <c r="P307" s="85">
        <f>SUMPRODUCT(SUMIFS(RawTransportationData!$D:$D,RawTransportationData!$A:$A,Compare!$P$2,RawTransportationData!$B:$B,Compare!$D307:$F307))</f>
        <v>774.3</v>
      </c>
      <c r="Q307" s="86">
        <f>SUMPRODUCT(SUMIFS(RawTransportationData!$G:$G,RawTransportationData!$A:$A,Compare!$P$2,RawTransportationData!$B:$B,Compare!$D307:$F307))</f>
        <v>303473.33</v>
      </c>
      <c r="R307" s="32">
        <f t="shared" si="35"/>
        <v>391.93249386542686</v>
      </c>
      <c r="S307" s="32">
        <f>SUMPRODUCT(SUMIFS(RawTransportationData!$H:$H,RawTransportationData!$A:$A,Compare!$P$1,RawTransportationData!$B:$B,Compare!$D307:$F307))</f>
        <v>8411</v>
      </c>
      <c r="T307" s="32">
        <f t="shared" si="36"/>
        <v>295062.33</v>
      </c>
      <c r="U307" s="45"/>
      <c r="V307" s="85">
        <f>SUMPRODUCT(SUMIFS(RawTransportationData!$D:$D,RawTransportationData!$A:$A,Compare!$V$2,RawTransportationData!$B:$B,Compare!$D307:$F307))</f>
        <v>769.4</v>
      </c>
      <c r="W307" s="86">
        <f>SUMPRODUCT(SUMIFS(RawTransportationData!$G:$G,RawTransportationData!$A:$A,Compare!$V$2,RawTransportationData!$B:$B,Compare!$D307:$F307))</f>
        <v>267815.37</v>
      </c>
      <c r="X307" s="32">
        <f t="shared" si="37"/>
        <v>348.08340265141669</v>
      </c>
      <c r="Y307" s="32">
        <f>SUMPRODUCT(SUMIFS(RawTransportationData!$H:$H,RawTransportationData!$A:$A,Compare!$V$1,RawTransportationData!$B:$B,Compare!$D307:$F307))</f>
        <v>0</v>
      </c>
      <c r="Z307" s="32">
        <f t="shared" si="38"/>
        <v>267815.37</v>
      </c>
    </row>
    <row r="308" spans="1:26" x14ac:dyDescent="0.55000000000000004">
      <c r="A308">
        <f>FinalPayment!A306</f>
        <v>2021</v>
      </c>
      <c r="B308" t="str">
        <f>FinalPayment!B306</f>
        <v>15</v>
      </c>
      <c r="C308" t="str">
        <f>FinalPayment!C306</f>
        <v>6937</v>
      </c>
      <c r="D308" t="str">
        <f>FinalPayment!D306</f>
        <v/>
      </c>
      <c r="E308" t="str">
        <f>FinalPayment!E306</f>
        <v/>
      </c>
      <c r="F308" t="str">
        <f>FinalPayment!F306</f>
        <v>6937</v>
      </c>
      <c r="G308" s="28" t="str">
        <f>FinalPayment!G306</f>
        <v>West Burlington</v>
      </c>
      <c r="H308" s="85">
        <f>SUMPRODUCT(SUMIFS(RawTransportationData!$D:$D,RawTransportationData!$A:$A,Compare!$H$2,RawTransportationData!$B:$B,Compare!$D308:$F308))</f>
        <v>473.3</v>
      </c>
      <c r="I308" s="86">
        <f>SUMPRODUCT(SUMIFS(RawTransportationData!$G:$G,RawTransportationData!$A:$A,Compare!$H$2,RawTransportationData!$B:$B,Compare!$D308:$F308))</f>
        <v>7129.67</v>
      </c>
      <c r="J308" s="32">
        <f t="shared" si="39"/>
        <v>15.063743925628565</v>
      </c>
      <c r="K308" s="32">
        <f>SUMPRODUCT(SUMIFS(RawTransportationData!$H:$H,RawTransportationData!$A:$A,Compare!$E$1,RawTransportationData!$B:$B,Compare!$D308:$F308))</f>
        <v>387</v>
      </c>
      <c r="L308" s="32">
        <f t="shared" si="32"/>
        <v>6742.67</v>
      </c>
      <c r="M308" s="70">
        <f t="shared" si="33"/>
        <v>1.1080606864176539</v>
      </c>
      <c r="N308" s="70">
        <f t="shared" si="34"/>
        <v>1.1166157603458071</v>
      </c>
      <c r="O308" s="45"/>
      <c r="P308" s="85">
        <f>SUMPRODUCT(SUMIFS(RawTransportationData!$D:$D,RawTransportationData!$A:$A,Compare!$P$2,RawTransportationData!$B:$B,Compare!$D308:$F308))</f>
        <v>465.2</v>
      </c>
      <c r="Q308" s="86">
        <f>SUMPRODUCT(SUMIFS(RawTransportationData!$G:$G,RawTransportationData!$A:$A,Compare!$P$2,RawTransportationData!$B:$B,Compare!$D308:$F308))</f>
        <v>8764.99</v>
      </c>
      <c r="R308" s="32">
        <f t="shared" si="35"/>
        <v>18.841337059329319</v>
      </c>
      <c r="S308" s="32">
        <f>SUMPRODUCT(SUMIFS(RawTransportationData!$H:$H,RawTransportationData!$A:$A,Compare!$P$1,RawTransportationData!$B:$B,Compare!$D308:$F308))</f>
        <v>0</v>
      </c>
      <c r="T308" s="32">
        <f t="shared" si="36"/>
        <v>8764.99</v>
      </c>
      <c r="U308" s="45"/>
      <c r="V308" s="85">
        <f>SUMPRODUCT(SUMIFS(RawTransportationData!$D:$D,RawTransportationData!$A:$A,Compare!$V$2,RawTransportationData!$B:$B,Compare!$D308:$F308))</f>
        <v>445.8</v>
      </c>
      <c r="W308" s="86">
        <f>SUMPRODUCT(SUMIFS(RawTransportationData!$G:$G,RawTransportationData!$A:$A,Compare!$V$2,RawTransportationData!$B:$B,Compare!$D308:$F308))</f>
        <v>3185.59</v>
      </c>
      <c r="X308" s="32">
        <f t="shared" si="37"/>
        <v>7.1457828622700763</v>
      </c>
      <c r="Y308" s="32">
        <f>SUMPRODUCT(SUMIFS(RawTransportationData!$H:$H,RawTransportationData!$A:$A,Compare!$V$1,RawTransportationData!$B:$B,Compare!$D308:$F308))</f>
        <v>0</v>
      </c>
      <c r="Z308" s="32">
        <f t="shared" si="38"/>
        <v>3185.59</v>
      </c>
    </row>
    <row r="309" spans="1:26" x14ac:dyDescent="0.55000000000000004">
      <c r="A309">
        <f>FinalPayment!A307</f>
        <v>2021</v>
      </c>
      <c r="B309" t="str">
        <f>FinalPayment!B307</f>
        <v>01</v>
      </c>
      <c r="C309" t="str">
        <f>FinalPayment!C307</f>
        <v>6943</v>
      </c>
      <c r="D309" t="str">
        <f>FinalPayment!D307</f>
        <v/>
      </c>
      <c r="E309" t="str">
        <f>FinalPayment!E307</f>
        <v/>
      </c>
      <c r="F309" t="str">
        <f>FinalPayment!F307</f>
        <v>6943</v>
      </c>
      <c r="G309" s="28" t="str">
        <f>FinalPayment!G307</f>
        <v>West Central</v>
      </c>
      <c r="H309" s="85">
        <f>SUMPRODUCT(SUMIFS(RawTransportationData!$D:$D,RawTransportationData!$A:$A,Compare!$H$2,RawTransportationData!$B:$B,Compare!$D309:$F309))</f>
        <v>254</v>
      </c>
      <c r="I309" s="86">
        <f>SUMPRODUCT(SUMIFS(RawTransportationData!$G:$G,RawTransportationData!$A:$A,Compare!$H$2,RawTransportationData!$B:$B,Compare!$D309:$F309))</f>
        <v>110644.45</v>
      </c>
      <c r="J309" s="32">
        <f t="shared" si="39"/>
        <v>435.6080708661417</v>
      </c>
      <c r="K309" s="32">
        <f>SUMPRODUCT(SUMIFS(RawTransportationData!$H:$H,RawTransportationData!$A:$A,Compare!$E$1,RawTransportationData!$B:$B,Compare!$D309:$F309))</f>
        <v>22550</v>
      </c>
      <c r="L309" s="32">
        <f t="shared" si="32"/>
        <v>88094.45</v>
      </c>
      <c r="M309" s="70">
        <f t="shared" si="33"/>
        <v>0.21150880450755677</v>
      </c>
      <c r="N309" s="70">
        <f t="shared" si="34"/>
        <v>-4.7405123791069023E-2</v>
      </c>
      <c r="O309" s="45"/>
      <c r="P309" s="85">
        <f>SUMPRODUCT(SUMIFS(RawTransportationData!$D:$D,RawTransportationData!$A:$A,Compare!$P$2,RawTransportationData!$B:$B,Compare!$D309:$F309))</f>
        <v>260.10000000000002</v>
      </c>
      <c r="Q309" s="86">
        <f>SUMPRODUCT(SUMIFS(RawTransportationData!$G:$G,RawTransportationData!$A:$A,Compare!$P$2,RawTransportationData!$B:$B,Compare!$D309:$F309))</f>
        <v>97697.42</v>
      </c>
      <c r="R309" s="32">
        <f t="shared" si="35"/>
        <v>375.61484044598228</v>
      </c>
      <c r="S309" s="32">
        <f>SUMPRODUCT(SUMIFS(RawTransportationData!$H:$H,RawTransportationData!$A:$A,Compare!$P$1,RawTransportationData!$B:$B,Compare!$D309:$F309))</f>
        <v>0</v>
      </c>
      <c r="T309" s="32">
        <f t="shared" si="36"/>
        <v>97697.42</v>
      </c>
      <c r="U309" s="45"/>
      <c r="V309" s="85">
        <f>SUMPRODUCT(SUMIFS(RawTransportationData!$D:$D,RawTransportationData!$A:$A,Compare!$V$2,RawTransportationData!$B:$B,Compare!$D309:$F309))</f>
        <v>257.2</v>
      </c>
      <c r="W309" s="86">
        <f>SUMPRODUCT(SUMIFS(RawTransportationData!$G:$G,RawTransportationData!$A:$A,Compare!$V$2,RawTransportationData!$B:$B,Compare!$D309:$F309))</f>
        <v>92478.399999999994</v>
      </c>
      <c r="X309" s="32">
        <f t="shared" si="37"/>
        <v>359.55832037325041</v>
      </c>
      <c r="Y309" s="32">
        <f>SUMPRODUCT(SUMIFS(RawTransportationData!$H:$H,RawTransportationData!$A:$A,Compare!$V$1,RawTransportationData!$B:$B,Compare!$D309:$F309))</f>
        <v>0</v>
      </c>
      <c r="Z309" s="32">
        <f t="shared" si="38"/>
        <v>92478.399999999994</v>
      </c>
    </row>
    <row r="310" spans="1:26" x14ac:dyDescent="0.55000000000000004">
      <c r="A310">
        <f>FinalPayment!A308</f>
        <v>2021</v>
      </c>
      <c r="B310" t="str">
        <f>FinalPayment!B308</f>
        <v>11</v>
      </c>
      <c r="C310" t="str">
        <f>FinalPayment!C308</f>
        <v>6264</v>
      </c>
      <c r="D310" t="str">
        <f>FinalPayment!D308</f>
        <v/>
      </c>
      <c r="E310" t="str">
        <f>FinalPayment!E308</f>
        <v/>
      </c>
      <c r="F310" t="str">
        <f>FinalPayment!F308</f>
        <v>6264</v>
      </c>
      <c r="G310" s="28" t="str">
        <f>FinalPayment!G308</f>
        <v>West Central Valley</v>
      </c>
      <c r="H310" s="85">
        <f>SUMPRODUCT(SUMIFS(RawTransportationData!$D:$D,RawTransportationData!$A:$A,Compare!$H$2,RawTransportationData!$B:$B,Compare!$D310:$F310))</f>
        <v>962.4</v>
      </c>
      <c r="I310" s="86">
        <f>SUMPRODUCT(SUMIFS(RawTransportationData!$G:$G,RawTransportationData!$A:$A,Compare!$H$2,RawTransportationData!$B:$B,Compare!$D310:$F310))</f>
        <v>408458.94</v>
      </c>
      <c r="J310" s="32">
        <f t="shared" si="39"/>
        <v>424.41701995012471</v>
      </c>
      <c r="K310" s="32">
        <f>SUMPRODUCT(SUMIFS(RawTransportationData!$H:$H,RawTransportationData!$A:$A,Compare!$E$1,RawTransportationData!$B:$B,Compare!$D310:$F310))</f>
        <v>74671</v>
      </c>
      <c r="L310" s="32">
        <f t="shared" si="32"/>
        <v>333787.94</v>
      </c>
      <c r="M310" s="70">
        <f t="shared" si="33"/>
        <v>8.7769028864632448E-2</v>
      </c>
      <c r="N310" s="70">
        <f t="shared" si="34"/>
        <v>-4.8399093146877445E-2</v>
      </c>
      <c r="O310" s="45"/>
      <c r="P310" s="85">
        <f>SUMPRODUCT(SUMIFS(RawTransportationData!$D:$D,RawTransportationData!$A:$A,Compare!$P$2,RawTransportationData!$B:$B,Compare!$D310:$F310))</f>
        <v>912.4</v>
      </c>
      <c r="Q310" s="86">
        <f>SUMPRODUCT(SUMIFS(RawTransportationData!$G:$G,RawTransportationData!$A:$A,Compare!$P$2,RawTransportationData!$B:$B,Compare!$D310:$F310))</f>
        <v>368960.87000000005</v>
      </c>
      <c r="R310" s="32">
        <f t="shared" si="35"/>
        <v>404.38499561595796</v>
      </c>
      <c r="S310" s="32">
        <f>SUMPRODUCT(SUMIFS(RawTransportationData!$H:$H,RawTransportationData!$A:$A,Compare!$P$1,RawTransportationData!$B:$B,Compare!$D310:$F310))</f>
        <v>21270</v>
      </c>
      <c r="T310" s="32">
        <f t="shared" si="36"/>
        <v>347690.87000000005</v>
      </c>
      <c r="U310" s="45"/>
      <c r="V310" s="85">
        <f>SUMPRODUCT(SUMIFS(RawTransportationData!$D:$D,RawTransportationData!$A:$A,Compare!$V$2,RawTransportationData!$B:$B,Compare!$D310:$F310))</f>
        <v>899</v>
      </c>
      <c r="W310" s="86">
        <f>SUMPRODUCT(SUMIFS(RawTransportationData!$G:$G,RawTransportationData!$A:$A,Compare!$V$2,RawTransportationData!$B:$B,Compare!$D310:$F310))</f>
        <v>350764.63</v>
      </c>
      <c r="X310" s="32">
        <f t="shared" si="37"/>
        <v>390.1720022246941</v>
      </c>
      <c r="Y310" s="32">
        <f>SUMPRODUCT(SUMIFS(RawTransportationData!$H:$H,RawTransportationData!$A:$A,Compare!$V$1,RawTransportationData!$B:$B,Compare!$D310:$F310))</f>
        <v>0</v>
      </c>
      <c r="Z310" s="32">
        <f t="shared" si="38"/>
        <v>350764.63</v>
      </c>
    </row>
    <row r="311" spans="1:26" x14ac:dyDescent="0.55000000000000004">
      <c r="A311">
        <f>FinalPayment!A309</f>
        <v>2021</v>
      </c>
      <c r="B311" t="str">
        <f>FinalPayment!B309</f>
        <v>01</v>
      </c>
      <c r="C311" t="str">
        <f>FinalPayment!C309</f>
        <v>6950</v>
      </c>
      <c r="D311" t="str">
        <f>FinalPayment!D309</f>
        <v/>
      </c>
      <c r="E311" t="str">
        <f>FinalPayment!E309</f>
        <v/>
      </c>
      <c r="F311" t="str">
        <f>FinalPayment!F309</f>
        <v>6950</v>
      </c>
      <c r="G311" s="28" t="str">
        <f>FinalPayment!G309</f>
        <v>West Delaware Co</v>
      </c>
      <c r="H311" s="85">
        <f>SUMPRODUCT(SUMIFS(RawTransportationData!$D:$D,RawTransportationData!$A:$A,Compare!$H$2,RawTransportationData!$B:$B,Compare!$D311:$F311))</f>
        <v>1438.5</v>
      </c>
      <c r="I311" s="86">
        <f>SUMPRODUCT(SUMIFS(RawTransportationData!$G:$G,RawTransportationData!$A:$A,Compare!$H$2,RawTransportationData!$B:$B,Compare!$D311:$F311))</f>
        <v>514357.12</v>
      </c>
      <c r="J311" s="32">
        <f t="shared" si="39"/>
        <v>357.56490789016334</v>
      </c>
      <c r="K311" s="32">
        <f>SUMPRODUCT(SUMIFS(RawTransportationData!$H:$H,RawTransportationData!$A:$A,Compare!$E$1,RawTransportationData!$B:$B,Compare!$D311:$F311))</f>
        <v>15434</v>
      </c>
      <c r="L311" s="32">
        <f t="shared" si="32"/>
        <v>498923.12</v>
      </c>
      <c r="M311" s="70">
        <f t="shared" si="33"/>
        <v>0.20339701607975766</v>
      </c>
      <c r="N311" s="70">
        <f t="shared" si="34"/>
        <v>0.127092864082017</v>
      </c>
      <c r="O311" s="45"/>
      <c r="P311" s="85">
        <f>SUMPRODUCT(SUMIFS(RawTransportationData!$D:$D,RawTransportationData!$A:$A,Compare!$P$2,RawTransportationData!$B:$B,Compare!$D311:$F311))</f>
        <v>1442.2</v>
      </c>
      <c r="Q311" s="86">
        <f>SUMPRODUCT(SUMIFS(RawTransportationData!$G:$G,RawTransportationData!$A:$A,Compare!$P$2,RawTransportationData!$B:$B,Compare!$D311:$F311))</f>
        <v>635576.49</v>
      </c>
      <c r="R311" s="32">
        <f t="shared" si="35"/>
        <v>440.6992719456386</v>
      </c>
      <c r="S311" s="32">
        <f>SUMPRODUCT(SUMIFS(RawTransportationData!$H:$H,RawTransportationData!$A:$A,Compare!$P$1,RawTransportationData!$B:$B,Compare!$D311:$F311))</f>
        <v>86002</v>
      </c>
      <c r="T311" s="32">
        <f t="shared" si="36"/>
        <v>549574.49</v>
      </c>
      <c r="U311" s="45"/>
      <c r="V311" s="85">
        <f>SUMPRODUCT(SUMIFS(RawTransportationData!$D:$D,RawTransportationData!$A:$A,Compare!$V$2,RawTransportationData!$B:$B,Compare!$D311:$F311))</f>
        <v>1489.8</v>
      </c>
      <c r="W311" s="86">
        <f>SUMPRODUCT(SUMIFS(RawTransportationData!$G:$G,RawTransportationData!$A:$A,Compare!$V$2,RawTransportationData!$B:$B,Compare!$D311:$F311))</f>
        <v>442663.72</v>
      </c>
      <c r="X311" s="32">
        <f t="shared" si="37"/>
        <v>297.1296281380051</v>
      </c>
      <c r="Y311" s="32">
        <f>SUMPRODUCT(SUMIFS(RawTransportationData!$H:$H,RawTransportationData!$A:$A,Compare!$V$1,RawTransportationData!$B:$B,Compare!$D311:$F311))</f>
        <v>0</v>
      </c>
      <c r="Z311" s="32">
        <f t="shared" si="38"/>
        <v>442663.72</v>
      </c>
    </row>
    <row r="312" spans="1:26" x14ac:dyDescent="0.55000000000000004">
      <c r="A312">
        <f>FinalPayment!A310</f>
        <v>2021</v>
      </c>
      <c r="B312" t="str">
        <f>FinalPayment!B310</f>
        <v>11</v>
      </c>
      <c r="C312" t="str">
        <f>FinalPayment!C310</f>
        <v>6957</v>
      </c>
      <c r="D312" t="str">
        <f>FinalPayment!D310</f>
        <v/>
      </c>
      <c r="E312" t="str">
        <f>FinalPayment!E310</f>
        <v/>
      </c>
      <c r="F312" t="str">
        <f>FinalPayment!F310</f>
        <v>6957</v>
      </c>
      <c r="G312" s="28" t="str">
        <f>FinalPayment!G310</f>
        <v>West Des Moines</v>
      </c>
      <c r="H312" s="85">
        <f>SUMPRODUCT(SUMIFS(RawTransportationData!$D:$D,RawTransportationData!$A:$A,Compare!$H$2,RawTransportationData!$B:$B,Compare!$D312:$F312))</f>
        <v>8936.9000000000015</v>
      </c>
      <c r="I312" s="86">
        <f>SUMPRODUCT(SUMIFS(RawTransportationData!$G:$G,RawTransportationData!$A:$A,Compare!$H$2,RawTransportationData!$B:$B,Compare!$D312:$F312))</f>
        <v>2333048.0299999998</v>
      </c>
      <c r="J312" s="32">
        <f t="shared" si="39"/>
        <v>261.05786458391606</v>
      </c>
      <c r="K312" s="32">
        <f>SUMPRODUCT(SUMIFS(RawTransportationData!$H:$H,RawTransportationData!$A:$A,Compare!$E$1,RawTransportationData!$B:$B,Compare!$D312:$F312))</f>
        <v>7316</v>
      </c>
      <c r="L312" s="32">
        <f t="shared" si="32"/>
        <v>2325732.0299999998</v>
      </c>
      <c r="M312" s="70">
        <f t="shared" si="33"/>
        <v>0.42832780686164473</v>
      </c>
      <c r="N312" s="70">
        <f t="shared" si="34"/>
        <v>0.41894273877081539</v>
      </c>
      <c r="O312" s="45"/>
      <c r="P312" s="85">
        <f>SUMPRODUCT(SUMIFS(RawTransportationData!$D:$D,RawTransportationData!$A:$A,Compare!$P$2,RawTransportationData!$B:$B,Compare!$D312:$F312))</f>
        <v>8917.1</v>
      </c>
      <c r="Q312" s="86">
        <f>SUMPRODUCT(SUMIFS(RawTransportationData!$G:$G,RawTransportationData!$A:$A,Compare!$P$2,RawTransportationData!$B:$B,Compare!$D312:$F312))</f>
        <v>2434660.9300000002</v>
      </c>
      <c r="R312" s="32">
        <f t="shared" si="35"/>
        <v>273.03281672292565</v>
      </c>
      <c r="S312" s="32">
        <f>SUMPRODUCT(SUMIFS(RawTransportationData!$H:$H,RawTransportationData!$A:$A,Compare!$P$1,RawTransportationData!$B:$B,Compare!$D312:$F312))</f>
        <v>0</v>
      </c>
      <c r="T312" s="32">
        <f t="shared" si="36"/>
        <v>2434660.9300000002</v>
      </c>
      <c r="U312" s="45"/>
      <c r="V312" s="85">
        <f>SUMPRODUCT(SUMIFS(RawTransportationData!$D:$D,RawTransportationData!$A:$A,Compare!$V$2,RawTransportationData!$B:$B,Compare!$D312:$F312))</f>
        <v>8967.7999999999993</v>
      </c>
      <c r="W312" s="86">
        <f>SUMPRODUCT(SUMIFS(RawTransportationData!$G:$G,RawTransportationData!$A:$A,Compare!$V$2,RawTransportationData!$B:$B,Compare!$D312:$F312))</f>
        <v>1639059.82</v>
      </c>
      <c r="X312" s="32">
        <f t="shared" si="37"/>
        <v>182.77167421218138</v>
      </c>
      <c r="Y312" s="32">
        <f>SUMPRODUCT(SUMIFS(RawTransportationData!$H:$H,RawTransportationData!$A:$A,Compare!$V$1,RawTransportationData!$B:$B,Compare!$D312:$F312))</f>
        <v>0</v>
      </c>
      <c r="Z312" s="32">
        <f t="shared" si="38"/>
        <v>1639059.82</v>
      </c>
    </row>
    <row r="313" spans="1:26" x14ac:dyDescent="0.55000000000000004">
      <c r="A313">
        <f>FinalPayment!A311</f>
        <v>2021</v>
      </c>
      <c r="B313" t="str">
        <f>FinalPayment!B311</f>
        <v>07</v>
      </c>
      <c r="C313" t="str">
        <f>FinalPayment!C311</f>
        <v>5922</v>
      </c>
      <c r="D313" t="str">
        <f>FinalPayment!D311</f>
        <v/>
      </c>
      <c r="E313" t="str">
        <f>FinalPayment!E311</f>
        <v/>
      </c>
      <c r="F313" t="str">
        <f>FinalPayment!F311</f>
        <v>5922</v>
      </c>
      <c r="G313" s="28" t="str">
        <f>FinalPayment!G311</f>
        <v>West Fork</v>
      </c>
      <c r="H313" s="85">
        <f>SUMPRODUCT(SUMIFS(RawTransportationData!$D:$D,RawTransportationData!$A:$A,Compare!$H$2,RawTransportationData!$B:$B,Compare!$D313:$F313))</f>
        <v>704</v>
      </c>
      <c r="I313" s="86">
        <f>SUMPRODUCT(SUMIFS(RawTransportationData!$G:$G,RawTransportationData!$A:$A,Compare!$H$2,RawTransportationData!$B:$B,Compare!$D313:$F313))</f>
        <v>425406.83</v>
      </c>
      <c r="J313" s="32">
        <f t="shared" si="39"/>
        <v>604.2710653409091</v>
      </c>
      <c r="K313" s="32">
        <f>SUMPRODUCT(SUMIFS(RawTransportationData!$H:$H,RawTransportationData!$A:$A,Compare!$E$1,RawTransportationData!$B:$B,Compare!$D313:$F313))</f>
        <v>181236</v>
      </c>
      <c r="L313" s="32">
        <f t="shared" si="32"/>
        <v>244170.83000000002</v>
      </c>
      <c r="M313" s="70">
        <f t="shared" si="33"/>
        <v>0.3012961353840572</v>
      </c>
      <c r="N313" s="70">
        <f t="shared" si="34"/>
        <v>-0.16340360805936599</v>
      </c>
      <c r="O313" s="45"/>
      <c r="P313" s="85">
        <f>SUMPRODUCT(SUMIFS(RawTransportationData!$D:$D,RawTransportationData!$A:$A,Compare!$P$2,RawTransportationData!$B:$B,Compare!$D313:$F313))</f>
        <v>700.9</v>
      </c>
      <c r="Q313" s="86">
        <f>SUMPRODUCT(SUMIFS(RawTransportationData!$G:$G,RawTransportationData!$A:$A,Compare!$P$2,RawTransportationData!$B:$B,Compare!$D313:$F313))</f>
        <v>475541.57</v>
      </c>
      <c r="R313" s="32">
        <f t="shared" si="35"/>
        <v>678.47277785704102</v>
      </c>
      <c r="S313" s="32">
        <f>SUMPRODUCT(SUMIFS(RawTransportationData!$H:$H,RawTransportationData!$A:$A,Compare!$P$1,RawTransportationData!$B:$B,Compare!$D313:$F313))</f>
        <v>208449</v>
      </c>
      <c r="T313" s="32">
        <f t="shared" si="36"/>
        <v>267092.57</v>
      </c>
      <c r="U313" s="45"/>
      <c r="V313" s="85">
        <f>SUMPRODUCT(SUMIFS(RawTransportationData!$D:$D,RawTransportationData!$A:$A,Compare!$V$2,RawTransportationData!$B:$B,Compare!$D313:$F313))</f>
        <v>703.1</v>
      </c>
      <c r="W313" s="86">
        <f>SUMPRODUCT(SUMIFS(RawTransportationData!$G:$G,RawTransportationData!$A:$A,Compare!$V$2,RawTransportationData!$B:$B,Compare!$D313:$F313))</f>
        <v>326492.15999999997</v>
      </c>
      <c r="X313" s="32">
        <f t="shared" si="37"/>
        <v>464.36091594367792</v>
      </c>
      <c r="Y313" s="32">
        <f>SUMPRODUCT(SUMIFS(RawTransportationData!$H:$H,RawTransportationData!$A:$A,Compare!$V$1,RawTransportationData!$B:$B,Compare!$D313:$F313))</f>
        <v>34630</v>
      </c>
      <c r="Z313" s="32">
        <f t="shared" si="38"/>
        <v>291862.15999999997</v>
      </c>
    </row>
    <row r="314" spans="1:26" x14ac:dyDescent="0.55000000000000004">
      <c r="A314">
        <f>FinalPayment!A312</f>
        <v>2021</v>
      </c>
      <c r="B314" t="str">
        <f>FinalPayment!B312</f>
        <v>07</v>
      </c>
      <c r="C314" t="str">
        <f>FinalPayment!C312</f>
        <v>0819</v>
      </c>
      <c r="D314" t="str">
        <f>FinalPayment!D312</f>
        <v/>
      </c>
      <c r="E314" t="str">
        <f>FinalPayment!E312</f>
        <v/>
      </c>
      <c r="F314" t="str">
        <f>FinalPayment!F312</f>
        <v>0819</v>
      </c>
      <c r="G314" s="28" t="str">
        <f>FinalPayment!G312</f>
        <v>West Hancock</v>
      </c>
      <c r="H314" s="85">
        <f>SUMPRODUCT(SUMIFS(RawTransportationData!$D:$D,RawTransportationData!$A:$A,Compare!$H$2,RawTransportationData!$B:$B,Compare!$D314:$F314))</f>
        <v>539.09999999999991</v>
      </c>
      <c r="I314" s="86">
        <f>SUMPRODUCT(SUMIFS(RawTransportationData!$G:$G,RawTransportationData!$A:$A,Compare!$H$2,RawTransportationData!$B:$B,Compare!$D314:$F314))</f>
        <v>252608.01</v>
      </c>
      <c r="J314" s="32">
        <f t="shared" si="39"/>
        <v>468.57356705620487</v>
      </c>
      <c r="K314" s="32">
        <f>SUMPRODUCT(SUMIFS(RawTransportationData!$H:$H,RawTransportationData!$A:$A,Compare!$E$1,RawTransportationData!$B:$B,Compare!$D314:$F314))</f>
        <v>65629</v>
      </c>
      <c r="L314" s="32">
        <f t="shared" si="32"/>
        <v>186979.01</v>
      </c>
      <c r="M314" s="70">
        <f t="shared" si="33"/>
        <v>0.31016499312453533</v>
      </c>
      <c r="N314" s="70">
        <f t="shared" si="34"/>
        <v>-7.1886029105546145E-2</v>
      </c>
      <c r="O314" s="45"/>
      <c r="P314" s="85">
        <f>SUMPRODUCT(SUMIFS(RawTransportationData!$D:$D,RawTransportationData!$A:$A,Compare!$P$2,RawTransportationData!$B:$B,Compare!$D314:$F314))</f>
        <v>544.20000000000005</v>
      </c>
      <c r="Q314" s="86">
        <f>SUMPRODUCT(SUMIFS(RawTransportationData!$G:$G,RawTransportationData!$A:$A,Compare!$P$2,RawTransportationData!$B:$B,Compare!$D314:$F314))</f>
        <v>213978.36</v>
      </c>
      <c r="R314" s="32">
        <f t="shared" si="35"/>
        <v>393.19801543550159</v>
      </c>
      <c r="S314" s="32">
        <f>SUMPRODUCT(SUMIFS(RawTransportationData!$H:$H,RawTransportationData!$A:$A,Compare!$P$1,RawTransportationData!$B:$B,Compare!$D314:$F314))</f>
        <v>6602</v>
      </c>
      <c r="T314" s="32">
        <f t="shared" si="36"/>
        <v>207376.36</v>
      </c>
      <c r="U314" s="45"/>
      <c r="V314" s="85">
        <f>SUMPRODUCT(SUMIFS(RawTransportationData!$D:$D,RawTransportationData!$A:$A,Compare!$V$2,RawTransportationData!$B:$B,Compare!$D314:$F314))</f>
        <v>563.30000000000007</v>
      </c>
      <c r="W314" s="86">
        <f>SUMPRODUCT(SUMIFS(RawTransportationData!$G:$G,RawTransportationData!$A:$A,Compare!$V$2,RawTransportationData!$B:$B,Compare!$D314:$F314))</f>
        <v>201461.26</v>
      </c>
      <c r="X314" s="32">
        <f t="shared" si="37"/>
        <v>357.64470086987393</v>
      </c>
      <c r="Y314" s="32">
        <f>SUMPRODUCT(SUMIFS(RawTransportationData!$H:$H,RawTransportationData!$A:$A,Compare!$V$1,RawTransportationData!$B:$B,Compare!$D314:$F314))</f>
        <v>0</v>
      </c>
      <c r="Z314" s="32">
        <f t="shared" si="38"/>
        <v>201461.26</v>
      </c>
    </row>
    <row r="315" spans="1:26" x14ac:dyDescent="0.55000000000000004">
      <c r="A315">
        <f>FinalPayment!A313</f>
        <v>2021</v>
      </c>
      <c r="B315" t="str">
        <f>FinalPayment!B313</f>
        <v>13</v>
      </c>
      <c r="C315" t="str">
        <f>FinalPayment!C313</f>
        <v>6969</v>
      </c>
      <c r="D315" t="str">
        <f>FinalPayment!D313</f>
        <v/>
      </c>
      <c r="E315" t="str">
        <f>FinalPayment!E313</f>
        <v/>
      </c>
      <c r="F315" t="str">
        <f>FinalPayment!F313</f>
        <v>6969</v>
      </c>
      <c r="G315" s="28" t="str">
        <f>FinalPayment!G313</f>
        <v>West Harrison</v>
      </c>
      <c r="H315" s="85">
        <f>SUMPRODUCT(SUMIFS(RawTransportationData!$D:$D,RawTransportationData!$A:$A,Compare!$H$2,RawTransportationData!$B:$B,Compare!$D315:$F315))</f>
        <v>341.7</v>
      </c>
      <c r="I315" s="86">
        <f>SUMPRODUCT(SUMIFS(RawTransportationData!$G:$G,RawTransportationData!$A:$A,Compare!$H$2,RawTransportationData!$B:$B,Compare!$D315:$F315))</f>
        <v>155437.6</v>
      </c>
      <c r="J315" s="32">
        <f t="shared" si="39"/>
        <v>454.89493707930939</v>
      </c>
      <c r="K315" s="32">
        <f>SUMPRODUCT(SUMIFS(RawTransportationData!$H:$H,RawTransportationData!$A:$A,Compare!$E$1,RawTransportationData!$B:$B,Compare!$D315:$F315))</f>
        <v>36924</v>
      </c>
      <c r="L315" s="32">
        <f t="shared" si="32"/>
        <v>118513.60000000001</v>
      </c>
      <c r="M315" s="70">
        <f t="shared" si="33"/>
        <v>-7.375690073494845E-2</v>
      </c>
      <c r="N315" s="70">
        <f t="shared" si="34"/>
        <v>-0.16932452315587362</v>
      </c>
      <c r="O315" s="45"/>
      <c r="P315" s="85">
        <f>SUMPRODUCT(SUMIFS(RawTransportationData!$D:$D,RawTransportationData!$A:$A,Compare!$P$2,RawTransportationData!$B:$B,Compare!$D315:$F315))</f>
        <v>346</v>
      </c>
      <c r="Q315" s="86">
        <f>SUMPRODUCT(SUMIFS(RawTransportationData!$G:$G,RawTransportationData!$A:$A,Compare!$P$2,RawTransportationData!$B:$B,Compare!$D315:$F315))</f>
        <v>187203</v>
      </c>
      <c r="R315" s="32">
        <f t="shared" si="35"/>
        <v>541.04913294797689</v>
      </c>
      <c r="S315" s="32">
        <f>SUMPRODUCT(SUMIFS(RawTransportationData!$H:$H,RawTransportationData!$A:$A,Compare!$P$1,RawTransportationData!$B:$B,Compare!$D315:$F315))</f>
        <v>55354</v>
      </c>
      <c r="T315" s="32">
        <f t="shared" si="36"/>
        <v>131849</v>
      </c>
      <c r="U315" s="45"/>
      <c r="V315" s="85">
        <f>SUMPRODUCT(SUMIFS(RawTransportationData!$D:$D,RawTransportationData!$A:$A,Compare!$V$2,RawTransportationData!$B:$B,Compare!$D315:$F315))</f>
        <v>343.7</v>
      </c>
      <c r="W315" s="86">
        <f>SUMPRODUCT(SUMIFS(RawTransportationData!$G:$G,RawTransportationData!$A:$A,Compare!$V$2,RawTransportationData!$B:$B,Compare!$D315:$F315))</f>
        <v>168797.36</v>
      </c>
      <c r="X315" s="32">
        <f t="shared" si="37"/>
        <v>491.11830084375907</v>
      </c>
      <c r="Y315" s="32">
        <f>SUMPRODUCT(SUMIFS(RawTransportationData!$H:$H,RawTransportationData!$A:$A,Compare!$V$1,RawTransportationData!$B:$B,Compare!$D315:$F315))</f>
        <v>26126</v>
      </c>
      <c r="Z315" s="32">
        <f t="shared" si="38"/>
        <v>142671.35999999999</v>
      </c>
    </row>
    <row r="316" spans="1:26" x14ac:dyDescent="0.55000000000000004">
      <c r="A316">
        <f>FinalPayment!A314</f>
        <v>2021</v>
      </c>
      <c r="B316" t="str">
        <f>FinalPayment!B314</f>
        <v>09</v>
      </c>
      <c r="C316" t="str">
        <f>FinalPayment!C314</f>
        <v>6975</v>
      </c>
      <c r="D316" t="str">
        <f>FinalPayment!D314</f>
        <v/>
      </c>
      <c r="E316" t="str">
        <f>FinalPayment!E314</f>
        <v/>
      </c>
      <c r="F316" t="str">
        <f>FinalPayment!F314</f>
        <v>6975</v>
      </c>
      <c r="G316" s="28" t="str">
        <f>FinalPayment!G314</f>
        <v>West Liberty</v>
      </c>
      <c r="H316" s="85">
        <f>SUMPRODUCT(SUMIFS(RawTransportationData!$D:$D,RawTransportationData!$A:$A,Compare!$H$2,RawTransportationData!$B:$B,Compare!$D316:$F316))</f>
        <v>1332.8</v>
      </c>
      <c r="I316" s="86">
        <f>SUMPRODUCT(SUMIFS(RawTransportationData!$G:$G,RawTransportationData!$A:$A,Compare!$H$2,RawTransportationData!$B:$B,Compare!$D316:$F316))</f>
        <v>239732.34</v>
      </c>
      <c r="J316" s="32">
        <f t="shared" si="39"/>
        <v>179.87120348139257</v>
      </c>
      <c r="K316" s="32">
        <f>SUMPRODUCT(SUMIFS(RawTransportationData!$H:$H,RawTransportationData!$A:$A,Compare!$E$1,RawTransportationData!$B:$B,Compare!$D316:$F316))</f>
        <v>1091</v>
      </c>
      <c r="L316" s="32">
        <f t="shared" si="32"/>
        <v>238641.34</v>
      </c>
      <c r="M316" s="70">
        <f t="shared" si="33"/>
        <v>1.7608059896726622E-2</v>
      </c>
      <c r="N316" s="70">
        <f t="shared" si="34"/>
        <v>3.2735998043248039E-2</v>
      </c>
      <c r="O316" s="45"/>
      <c r="P316" s="85">
        <f>SUMPRODUCT(SUMIFS(RawTransportationData!$D:$D,RawTransportationData!$A:$A,Compare!$P$2,RawTransportationData!$B:$B,Compare!$D316:$F316))</f>
        <v>1377.1</v>
      </c>
      <c r="Q316" s="86">
        <f>SUMPRODUCT(SUMIFS(RawTransportationData!$G:$G,RawTransportationData!$A:$A,Compare!$P$2,RawTransportationData!$B:$B,Compare!$D316:$F316))</f>
        <v>229206.01</v>
      </c>
      <c r="R316" s="32">
        <f t="shared" si="35"/>
        <v>166.44107907922447</v>
      </c>
      <c r="S316" s="32">
        <f>SUMPRODUCT(SUMIFS(RawTransportationData!$H:$H,RawTransportationData!$A:$A,Compare!$P$1,RawTransportationData!$B:$B,Compare!$D316:$F316))</f>
        <v>0</v>
      </c>
      <c r="T316" s="32">
        <f t="shared" si="36"/>
        <v>229206.01</v>
      </c>
      <c r="U316" s="45"/>
      <c r="V316" s="85">
        <f>SUMPRODUCT(SUMIFS(RawTransportationData!$D:$D,RawTransportationData!$A:$A,Compare!$V$2,RawTransportationData!$B:$B,Compare!$D316:$F316))</f>
        <v>1307.3</v>
      </c>
      <c r="W316" s="86">
        <f>SUMPRODUCT(SUMIFS(RawTransportationData!$G:$G,RawTransportationData!$A:$A,Compare!$V$2,RawTransportationData!$B:$B,Compare!$D316:$F316))</f>
        <v>231076.81</v>
      </c>
      <c r="X316" s="32">
        <f t="shared" si="37"/>
        <v>176.75882352941176</v>
      </c>
      <c r="Y316" s="32">
        <f>SUMPRODUCT(SUMIFS(RawTransportationData!$H:$H,RawTransportationData!$A:$A,Compare!$V$1,RawTransportationData!$B:$B,Compare!$D316:$F316))</f>
        <v>0</v>
      </c>
      <c r="Z316" s="32">
        <f t="shared" si="38"/>
        <v>231076.81</v>
      </c>
    </row>
    <row r="317" spans="1:26" x14ac:dyDescent="0.55000000000000004">
      <c r="A317">
        <f>FinalPayment!A315</f>
        <v>2021</v>
      </c>
      <c r="B317" t="str">
        <f>FinalPayment!B315</f>
        <v>12</v>
      </c>
      <c r="C317" t="str">
        <f>FinalPayment!C315</f>
        <v>6983</v>
      </c>
      <c r="D317" t="str">
        <f>FinalPayment!D315</f>
        <v/>
      </c>
      <c r="E317" t="str">
        <f>FinalPayment!E315</f>
        <v/>
      </c>
      <c r="F317" t="str">
        <f>FinalPayment!F315</f>
        <v>6983</v>
      </c>
      <c r="G317" s="28" t="str">
        <f>FinalPayment!G315</f>
        <v>West Lyon</v>
      </c>
      <c r="H317" s="85">
        <f>SUMPRODUCT(SUMIFS(RawTransportationData!$D:$D,RawTransportationData!$A:$A,Compare!$H$2,RawTransportationData!$B:$B,Compare!$D317:$F317))</f>
        <v>938.2</v>
      </c>
      <c r="I317" s="86">
        <f>SUMPRODUCT(SUMIFS(RawTransportationData!$G:$G,RawTransportationData!$A:$A,Compare!$H$2,RawTransportationData!$B:$B,Compare!$D317:$F317))</f>
        <v>539822.21</v>
      </c>
      <c r="J317" s="32">
        <f t="shared" si="39"/>
        <v>575.38073971434653</v>
      </c>
      <c r="K317" s="32">
        <f>SUMPRODUCT(SUMIFS(RawTransportationData!$H:$H,RawTransportationData!$A:$A,Compare!$E$1,RawTransportationData!$B:$B,Compare!$D317:$F317))</f>
        <v>214424</v>
      </c>
      <c r="L317" s="32">
        <f t="shared" si="32"/>
        <v>325398.20999999996</v>
      </c>
      <c r="M317" s="70">
        <f t="shared" si="33"/>
        <v>0.26854409145231822</v>
      </c>
      <c r="N317" s="70">
        <f t="shared" si="34"/>
        <v>-0.15619018550952241</v>
      </c>
      <c r="O317" s="45"/>
      <c r="P317" s="85">
        <f>SUMPRODUCT(SUMIFS(RawTransportationData!$D:$D,RawTransportationData!$A:$A,Compare!$P$2,RawTransportationData!$B:$B,Compare!$D317:$F317))</f>
        <v>923</v>
      </c>
      <c r="Q317" s="86">
        <f>SUMPRODUCT(SUMIFS(RawTransportationData!$G:$G,RawTransportationData!$A:$A,Compare!$P$2,RawTransportationData!$B:$B,Compare!$D317:$F317))</f>
        <v>495412.87</v>
      </c>
      <c r="R317" s="32">
        <f t="shared" si="35"/>
        <v>536.74200433369447</v>
      </c>
      <c r="S317" s="32">
        <f>SUMPRODUCT(SUMIFS(RawTransportationData!$H:$H,RawTransportationData!$A:$A,Compare!$P$1,RawTransportationData!$B:$B,Compare!$D317:$F317))</f>
        <v>143685</v>
      </c>
      <c r="T317" s="32">
        <f t="shared" si="36"/>
        <v>351727.87</v>
      </c>
      <c r="U317" s="45"/>
      <c r="V317" s="85">
        <f>SUMPRODUCT(SUMIFS(RawTransportationData!$D:$D,RawTransportationData!$A:$A,Compare!$V$2,RawTransportationData!$B:$B,Compare!$D317:$F317))</f>
        <v>929</v>
      </c>
      <c r="W317" s="86">
        <f>SUMPRODUCT(SUMIFS(RawTransportationData!$G:$G,RawTransportationData!$A:$A,Compare!$V$2,RawTransportationData!$B:$B,Compare!$D317:$F317))</f>
        <v>421371.8</v>
      </c>
      <c r="X317" s="32">
        <f t="shared" si="37"/>
        <v>453.57567276641549</v>
      </c>
      <c r="Y317" s="32">
        <f>SUMPRODUCT(SUMIFS(RawTransportationData!$H:$H,RawTransportationData!$A:$A,Compare!$V$1,RawTransportationData!$B:$B,Compare!$D317:$F317))</f>
        <v>35742</v>
      </c>
      <c r="Z317" s="32">
        <f t="shared" si="38"/>
        <v>385629.8</v>
      </c>
    </row>
    <row r="318" spans="1:26" x14ac:dyDescent="0.55000000000000004">
      <c r="A318">
        <f>FinalPayment!A316</f>
        <v>2021</v>
      </c>
      <c r="B318" t="str">
        <f>FinalPayment!B316</f>
        <v>07</v>
      </c>
      <c r="C318" t="str">
        <f>FinalPayment!C316</f>
        <v>6985</v>
      </c>
      <c r="D318" t="str">
        <f>FinalPayment!D316</f>
        <v/>
      </c>
      <c r="E318" t="str">
        <f>FinalPayment!E316</f>
        <v/>
      </c>
      <c r="F318" t="str">
        <f>FinalPayment!F316</f>
        <v>6985</v>
      </c>
      <c r="G318" s="28" t="str">
        <f>FinalPayment!G316</f>
        <v>West Marshall</v>
      </c>
      <c r="H318" s="85">
        <f>SUMPRODUCT(SUMIFS(RawTransportationData!$D:$D,RawTransportationData!$A:$A,Compare!$H$2,RawTransportationData!$B:$B,Compare!$D318:$F318))</f>
        <v>870.1</v>
      </c>
      <c r="I318" s="86">
        <f>SUMPRODUCT(SUMIFS(RawTransportationData!$G:$G,RawTransportationData!$A:$A,Compare!$H$2,RawTransportationData!$B:$B,Compare!$D318:$F318))</f>
        <v>415487.23000000004</v>
      </c>
      <c r="J318" s="32">
        <f t="shared" si="39"/>
        <v>477.51664176531438</v>
      </c>
      <c r="K318" s="32">
        <f>SUMPRODUCT(SUMIFS(RawTransportationData!$H:$H,RawTransportationData!$A:$A,Compare!$E$1,RawTransportationData!$B:$B,Compare!$D318:$F318))</f>
        <v>113712</v>
      </c>
      <c r="L318" s="32">
        <f t="shared" si="32"/>
        <v>301775.23000000004</v>
      </c>
      <c r="M318" s="70">
        <f t="shared" si="33"/>
        <v>-4.9054571721716461E-3</v>
      </c>
      <c r="N318" s="70">
        <f t="shared" si="34"/>
        <v>-0.16878429683171456</v>
      </c>
      <c r="O318" s="45"/>
      <c r="P318" s="85">
        <f>SUMPRODUCT(SUMIFS(RawTransportationData!$D:$D,RawTransportationData!$A:$A,Compare!$P$2,RawTransportationData!$B:$B,Compare!$D318:$F318))</f>
        <v>896.1</v>
      </c>
      <c r="Q318" s="86">
        <f>SUMPRODUCT(SUMIFS(RawTransportationData!$G:$G,RawTransportationData!$A:$A,Compare!$P$2,RawTransportationData!$B:$B,Compare!$D318:$F318))</f>
        <v>415739.76</v>
      </c>
      <c r="R318" s="32">
        <f t="shared" si="35"/>
        <v>463.94348844994977</v>
      </c>
      <c r="S318" s="32">
        <f>SUMPRODUCT(SUMIFS(RawTransportationData!$H:$H,RawTransportationData!$A:$A,Compare!$P$1,RawTransportationData!$B:$B,Compare!$D318:$F318))</f>
        <v>74262</v>
      </c>
      <c r="T318" s="32">
        <f t="shared" si="36"/>
        <v>341477.76</v>
      </c>
      <c r="U318" s="45"/>
      <c r="V318" s="85">
        <f>SUMPRODUCT(SUMIFS(RawTransportationData!$D:$D,RawTransportationData!$A:$A,Compare!$V$2,RawTransportationData!$B:$B,Compare!$D318:$F318))</f>
        <v>874.6</v>
      </c>
      <c r="W318" s="86">
        <f>SUMPRODUCT(SUMIFS(RawTransportationData!$G:$G,RawTransportationData!$A:$A,Compare!$V$2,RawTransportationData!$B:$B,Compare!$D318:$F318))</f>
        <v>419694.85</v>
      </c>
      <c r="X318" s="32">
        <f t="shared" si="37"/>
        <v>479.87062657214722</v>
      </c>
      <c r="Y318" s="32">
        <f>SUMPRODUCT(SUMIFS(RawTransportationData!$H:$H,RawTransportationData!$A:$A,Compare!$V$1,RawTransportationData!$B:$B,Compare!$D318:$F318))</f>
        <v>56642</v>
      </c>
      <c r="Z318" s="32">
        <f t="shared" si="38"/>
        <v>363052.85</v>
      </c>
    </row>
    <row r="319" spans="1:26" x14ac:dyDescent="0.55000000000000004">
      <c r="A319">
        <f>FinalPayment!A317</f>
        <v>2021</v>
      </c>
      <c r="B319" t="str">
        <f>FinalPayment!B317</f>
        <v>12</v>
      </c>
      <c r="C319" t="str">
        <f>FinalPayment!C317</f>
        <v>6987</v>
      </c>
      <c r="D319" t="str">
        <f>FinalPayment!D317</f>
        <v/>
      </c>
      <c r="E319" t="str">
        <f>FinalPayment!E317</f>
        <v/>
      </c>
      <c r="F319" t="str">
        <f>FinalPayment!F317</f>
        <v>6987</v>
      </c>
      <c r="G319" s="28" t="str">
        <f>FinalPayment!G317</f>
        <v>West Monona</v>
      </c>
      <c r="H319" s="85">
        <f>SUMPRODUCT(SUMIFS(RawTransportationData!$D:$D,RawTransportationData!$A:$A,Compare!$H$2,RawTransportationData!$B:$B,Compare!$D319:$F319))</f>
        <v>629.9</v>
      </c>
      <c r="I319" s="86">
        <f>SUMPRODUCT(SUMIFS(RawTransportationData!$G:$G,RawTransportationData!$A:$A,Compare!$H$2,RawTransportationData!$B:$B,Compare!$D319:$F319))</f>
        <v>265492.15000000002</v>
      </c>
      <c r="J319" s="32">
        <f t="shared" si="39"/>
        <v>421.48301317669478</v>
      </c>
      <c r="K319" s="32">
        <f>SUMPRODUCT(SUMIFS(RawTransportationData!$H:$H,RawTransportationData!$A:$A,Compare!$E$1,RawTransportationData!$B:$B,Compare!$D319:$F319))</f>
        <v>47022</v>
      </c>
      <c r="L319" s="32">
        <f t="shared" si="32"/>
        <v>218470.15000000002</v>
      </c>
      <c r="M319" s="70">
        <f t="shared" si="33"/>
        <v>0.19105819887572384</v>
      </c>
      <c r="N319" s="70">
        <f t="shared" si="34"/>
        <v>-4.873763081100415E-2</v>
      </c>
      <c r="O319" s="45"/>
      <c r="P319" s="85">
        <f>SUMPRODUCT(SUMIFS(RawTransportationData!$D:$D,RawTransportationData!$A:$A,Compare!$P$2,RawTransportationData!$B:$B,Compare!$D319:$F319))</f>
        <v>606</v>
      </c>
      <c r="Q319" s="86">
        <f>SUMPRODUCT(SUMIFS(RawTransportationData!$G:$G,RawTransportationData!$A:$A,Compare!$P$2,RawTransportationData!$B:$B,Compare!$D319:$F319))</f>
        <v>225593.47999999998</v>
      </c>
      <c r="R319" s="32">
        <f t="shared" si="35"/>
        <v>372.26646864686467</v>
      </c>
      <c r="S319" s="32">
        <f>SUMPRODUCT(SUMIFS(RawTransportationData!$H:$H,RawTransportationData!$A:$A,Compare!$P$1,RawTransportationData!$B:$B,Compare!$D319:$F319))</f>
        <v>0</v>
      </c>
      <c r="T319" s="32">
        <f t="shared" si="36"/>
        <v>225593.47999999998</v>
      </c>
      <c r="U319" s="45"/>
      <c r="V319" s="85">
        <f>SUMPRODUCT(SUMIFS(RawTransportationData!$D:$D,RawTransportationData!$A:$A,Compare!$V$2,RawTransportationData!$B:$B,Compare!$D319:$F319))</f>
        <v>649</v>
      </c>
      <c r="W319" s="86">
        <f>SUMPRODUCT(SUMIFS(RawTransportationData!$G:$G,RawTransportationData!$A:$A,Compare!$V$2,RawTransportationData!$B:$B,Compare!$D319:$F319))</f>
        <v>229663.4</v>
      </c>
      <c r="X319" s="32">
        <f t="shared" si="37"/>
        <v>353.87272727272727</v>
      </c>
      <c r="Y319" s="32">
        <f>SUMPRODUCT(SUMIFS(RawTransportationData!$H:$H,RawTransportationData!$A:$A,Compare!$V$1,RawTransportationData!$B:$B,Compare!$D319:$F319))</f>
        <v>0</v>
      </c>
      <c r="Z319" s="32">
        <f t="shared" si="38"/>
        <v>229663.4</v>
      </c>
    </row>
    <row r="320" spans="1:26" x14ac:dyDescent="0.55000000000000004">
      <c r="A320">
        <f>FinalPayment!A318</f>
        <v>2021</v>
      </c>
      <c r="B320" t="str">
        <f>FinalPayment!B318</f>
        <v>12</v>
      </c>
      <c r="C320" t="str">
        <f>FinalPayment!C318</f>
        <v>6990</v>
      </c>
      <c r="D320" t="str">
        <f>FinalPayment!D318</f>
        <v/>
      </c>
      <c r="E320" t="str">
        <f>FinalPayment!E318</f>
        <v/>
      </c>
      <c r="F320" t="str">
        <f>FinalPayment!F318</f>
        <v>6990</v>
      </c>
      <c r="G320" s="28" t="str">
        <f>FinalPayment!G318</f>
        <v>West Sioux</v>
      </c>
      <c r="H320" s="85">
        <f>SUMPRODUCT(SUMIFS(RawTransportationData!$D:$D,RawTransportationData!$A:$A,Compare!$H$2,RawTransportationData!$B:$B,Compare!$D320:$F320))</f>
        <v>827.8</v>
      </c>
      <c r="I320" s="86">
        <f>SUMPRODUCT(SUMIFS(RawTransportationData!$G:$G,RawTransportationData!$A:$A,Compare!$H$2,RawTransportationData!$B:$B,Compare!$D320:$F320))</f>
        <v>325180.13</v>
      </c>
      <c r="J320" s="32">
        <f t="shared" si="39"/>
        <v>392.82451075138925</v>
      </c>
      <c r="K320" s="32">
        <f>SUMPRODUCT(SUMIFS(RawTransportationData!$H:$H,RawTransportationData!$A:$A,Compare!$E$1,RawTransportationData!$B:$B,Compare!$D320:$F320))</f>
        <v>38070</v>
      </c>
      <c r="L320" s="32">
        <f t="shared" si="32"/>
        <v>287110.13</v>
      </c>
      <c r="M320" s="70">
        <f t="shared" si="33"/>
        <v>0.30387897646358963</v>
      </c>
      <c r="N320" s="70">
        <f t="shared" si="34"/>
        <v>0.14956276915776259</v>
      </c>
      <c r="O320" s="45"/>
      <c r="P320" s="85">
        <f>SUMPRODUCT(SUMIFS(RawTransportationData!$D:$D,RawTransportationData!$A:$A,Compare!$P$2,RawTransportationData!$B:$B,Compare!$D320:$F320))</f>
        <v>833.59999999999991</v>
      </c>
      <c r="Q320" s="86">
        <f>SUMPRODUCT(SUMIFS(RawTransportationData!$G:$G,RawTransportationData!$A:$A,Compare!$P$2,RawTransportationData!$B:$B,Compare!$D320:$F320))</f>
        <v>342578.74</v>
      </c>
      <c r="R320" s="32">
        <f t="shared" si="35"/>
        <v>410.96297984644917</v>
      </c>
      <c r="S320" s="32">
        <f>SUMPRODUCT(SUMIFS(RawTransportationData!$H:$H,RawTransportationData!$A:$A,Compare!$P$1,RawTransportationData!$B:$B,Compare!$D320:$F320))</f>
        <v>24918</v>
      </c>
      <c r="T320" s="32">
        <f t="shared" si="36"/>
        <v>317660.74</v>
      </c>
      <c r="U320" s="45"/>
      <c r="V320" s="85">
        <f>SUMPRODUCT(SUMIFS(RawTransportationData!$D:$D,RawTransportationData!$A:$A,Compare!$V$2,RawTransportationData!$B:$B,Compare!$D320:$F320))</f>
        <v>829</v>
      </c>
      <c r="W320" s="86">
        <f>SUMPRODUCT(SUMIFS(RawTransportationData!$G:$G,RawTransportationData!$A:$A,Compare!$V$2,RawTransportationData!$B:$B,Compare!$D320:$F320))</f>
        <v>249755.94</v>
      </c>
      <c r="X320" s="32">
        <f t="shared" si="37"/>
        <v>301.27375150784076</v>
      </c>
      <c r="Y320" s="32">
        <f>SUMPRODUCT(SUMIFS(RawTransportationData!$H:$H,RawTransportationData!$A:$A,Compare!$V$1,RawTransportationData!$B:$B,Compare!$D320:$F320))</f>
        <v>0</v>
      </c>
      <c r="Z320" s="32">
        <f t="shared" si="38"/>
        <v>249755.94</v>
      </c>
    </row>
    <row r="321" spans="1:26" x14ac:dyDescent="0.55000000000000004">
      <c r="A321">
        <f>FinalPayment!A319</f>
        <v>2021</v>
      </c>
      <c r="B321" t="str">
        <f>FinalPayment!B319</f>
        <v>01</v>
      </c>
      <c r="C321" t="str">
        <f>FinalPayment!C319</f>
        <v>6961</v>
      </c>
      <c r="D321" t="str">
        <f>FinalPayment!D319</f>
        <v/>
      </c>
      <c r="E321" t="str">
        <f>FinalPayment!E319</f>
        <v/>
      </c>
      <c r="F321" t="str">
        <f>FinalPayment!F319</f>
        <v>6961</v>
      </c>
      <c r="G321" s="28" t="str">
        <f>FinalPayment!G319</f>
        <v>Western Dubuque Co</v>
      </c>
      <c r="H321" s="85">
        <f>SUMPRODUCT(SUMIFS(RawTransportationData!$D:$D,RawTransportationData!$A:$A,Compare!$H$2,RawTransportationData!$B:$B,Compare!$D321:$F321))</f>
        <v>3089.2999999999997</v>
      </c>
      <c r="I321" s="86">
        <f>SUMPRODUCT(SUMIFS(RawTransportationData!$G:$G,RawTransportationData!$A:$A,Compare!$H$2,RawTransportationData!$B:$B,Compare!$D321:$F321))</f>
        <v>1591462.6099999999</v>
      </c>
      <c r="J321" s="32">
        <f t="shared" si="39"/>
        <v>515.15314472534226</v>
      </c>
      <c r="K321" s="32">
        <f>SUMPRODUCT(SUMIFS(RawTransportationData!$H:$H,RawTransportationData!$A:$A,Compare!$E$1,RawTransportationData!$B:$B,Compare!$D321:$F321))</f>
        <v>519987</v>
      </c>
      <c r="L321" s="32">
        <f t="shared" si="32"/>
        <v>1071475.6099999999</v>
      </c>
      <c r="M321" s="70">
        <f t="shared" si="33"/>
        <v>7.1134962470424459E-2</v>
      </c>
      <c r="N321" s="70">
        <f t="shared" si="34"/>
        <v>-0.1788781139850103</v>
      </c>
      <c r="O321" s="45"/>
      <c r="P321" s="85">
        <f>SUMPRODUCT(SUMIFS(RawTransportationData!$D:$D,RawTransportationData!$A:$A,Compare!$P$2,RawTransportationData!$B:$B,Compare!$D321:$F321))</f>
        <v>3095</v>
      </c>
      <c r="Q321" s="86">
        <f>SUMPRODUCT(SUMIFS(RawTransportationData!$G:$G,RawTransportationData!$A:$A,Compare!$P$2,RawTransportationData!$B:$B,Compare!$D321:$F321))</f>
        <v>1626438.27</v>
      </c>
      <c r="R321" s="32">
        <f t="shared" si="35"/>
        <v>525.50509531502428</v>
      </c>
      <c r="S321" s="32">
        <f>SUMPRODUCT(SUMIFS(RawTransportationData!$H:$H,RawTransportationData!$A:$A,Compare!$P$1,RawTransportationData!$B:$B,Compare!$D321:$F321))</f>
        <v>447049</v>
      </c>
      <c r="T321" s="32">
        <f t="shared" si="36"/>
        <v>1179389.27</v>
      </c>
      <c r="U321" s="45"/>
      <c r="V321" s="85">
        <f>SUMPRODUCT(SUMIFS(RawTransportationData!$D:$D,RawTransportationData!$A:$A,Compare!$V$2,RawTransportationData!$B:$B,Compare!$D321:$F321))</f>
        <v>3143.5</v>
      </c>
      <c r="W321" s="86">
        <f>SUMPRODUCT(SUMIFS(RawTransportationData!$G:$G,RawTransportationData!$A:$A,Compare!$V$2,RawTransportationData!$B:$B,Compare!$D321:$F321))</f>
        <v>1511839.2799999998</v>
      </c>
      <c r="X321" s="32">
        <f t="shared" si="37"/>
        <v>480.94139653252739</v>
      </c>
      <c r="Y321" s="32">
        <f>SUMPRODUCT(SUMIFS(RawTransportationData!$H:$H,RawTransportationData!$A:$A,Compare!$V$1,RawTransportationData!$B:$B,Compare!$D321:$F321))</f>
        <v>206947</v>
      </c>
      <c r="Z321" s="32">
        <f t="shared" si="38"/>
        <v>1304892.2799999998</v>
      </c>
    </row>
    <row r="322" spans="1:26" x14ac:dyDescent="0.55000000000000004">
      <c r="A322">
        <f>FinalPayment!A320</f>
        <v>2021</v>
      </c>
      <c r="B322" t="str">
        <f>FinalPayment!B320</f>
        <v>12</v>
      </c>
      <c r="C322" t="str">
        <f>FinalPayment!C320</f>
        <v>6992</v>
      </c>
      <c r="D322" t="str">
        <f>FinalPayment!D320</f>
        <v/>
      </c>
      <c r="E322" t="str">
        <f>FinalPayment!E320</f>
        <v/>
      </c>
      <c r="F322" t="str">
        <f>FinalPayment!F320</f>
        <v>6992</v>
      </c>
      <c r="G322" s="28" t="str">
        <f>FinalPayment!G320</f>
        <v>Westwood</v>
      </c>
      <c r="H322" s="85">
        <f>SUMPRODUCT(SUMIFS(RawTransportationData!$D:$D,RawTransportationData!$A:$A,Compare!$H$2,RawTransportationData!$B:$B,Compare!$D322:$F322))</f>
        <v>563.5</v>
      </c>
      <c r="I322" s="86">
        <f>SUMPRODUCT(SUMIFS(RawTransportationData!$G:$G,RawTransportationData!$A:$A,Compare!$H$2,RawTransportationData!$B:$B,Compare!$D322:$F322))</f>
        <v>445530.19</v>
      </c>
      <c r="J322" s="32">
        <f t="shared" si="39"/>
        <v>790.64807453416154</v>
      </c>
      <c r="K322" s="32">
        <f>SUMPRODUCT(SUMIFS(RawTransportationData!$H:$H,RawTransportationData!$A:$A,Compare!$E$1,RawTransportationData!$B:$B,Compare!$D322:$F322))</f>
        <v>250092</v>
      </c>
      <c r="L322" s="32">
        <f t="shared" si="32"/>
        <v>195438.19</v>
      </c>
      <c r="M322" s="70">
        <f t="shared" si="33"/>
        <v>9.7587170280349606E-2</v>
      </c>
      <c r="N322" s="70">
        <f t="shared" si="34"/>
        <v>-0.12973394120715884</v>
      </c>
      <c r="O322" s="45"/>
      <c r="P322" s="85">
        <f>SUMPRODUCT(SUMIFS(RawTransportationData!$D:$D,RawTransportationData!$A:$A,Compare!$P$2,RawTransportationData!$B:$B,Compare!$D322:$F322))</f>
        <v>532</v>
      </c>
      <c r="Q322" s="86">
        <f>SUMPRODUCT(SUMIFS(RawTransportationData!$G:$G,RawTransportationData!$A:$A,Compare!$P$2,RawTransportationData!$B:$B,Compare!$D322:$F322))</f>
        <v>394729.48</v>
      </c>
      <c r="R322" s="32">
        <f t="shared" si="35"/>
        <v>741.97270676691721</v>
      </c>
      <c r="S322" s="32">
        <f>SUMPRODUCT(SUMIFS(RawTransportationData!$H:$H,RawTransportationData!$A:$A,Compare!$P$1,RawTransportationData!$B:$B,Compare!$D322:$F322))</f>
        <v>192000</v>
      </c>
      <c r="T322" s="32">
        <f t="shared" si="36"/>
        <v>202729.47999999998</v>
      </c>
      <c r="U322" s="45"/>
      <c r="V322" s="85">
        <f>SUMPRODUCT(SUMIFS(RawTransportationData!$D:$D,RawTransportationData!$A:$A,Compare!$V$2,RawTransportationData!$B:$B,Compare!$D322:$F322))</f>
        <v>541</v>
      </c>
      <c r="W322" s="86">
        <f>SUMPRODUCT(SUMIFS(RawTransportationData!$G:$G,RawTransportationData!$A:$A,Compare!$V$2,RawTransportationData!$B:$B,Compare!$D322:$F322))</f>
        <v>389709.92</v>
      </c>
      <c r="X322" s="32">
        <f t="shared" si="37"/>
        <v>720.35105360443617</v>
      </c>
      <c r="Y322" s="32">
        <f>SUMPRODUCT(SUMIFS(RawTransportationData!$H:$H,RawTransportationData!$A:$A,Compare!$V$1,RawTransportationData!$B:$B,Compare!$D322:$F322))</f>
        <v>165137</v>
      </c>
      <c r="Z322" s="32">
        <f t="shared" si="38"/>
        <v>224572.91999999998</v>
      </c>
    </row>
    <row r="323" spans="1:26" x14ac:dyDescent="0.55000000000000004">
      <c r="A323">
        <f>FinalPayment!A321</f>
        <v>2021</v>
      </c>
      <c r="B323" t="str">
        <f>FinalPayment!B321</f>
        <v>12</v>
      </c>
      <c r="C323" t="str">
        <f>FinalPayment!C321</f>
        <v>7002</v>
      </c>
      <c r="D323" t="str">
        <f>FinalPayment!D321</f>
        <v/>
      </c>
      <c r="E323" t="str">
        <f>FinalPayment!E321</f>
        <v/>
      </c>
      <c r="F323" t="str">
        <f>FinalPayment!F321</f>
        <v>7002</v>
      </c>
      <c r="G323" s="28" t="str">
        <f>FinalPayment!G321</f>
        <v>Whiting</v>
      </c>
      <c r="H323" s="85">
        <f>SUMPRODUCT(SUMIFS(RawTransportationData!$D:$D,RawTransportationData!$A:$A,Compare!$H$2,RawTransportationData!$B:$B,Compare!$D323:$F323))</f>
        <v>204.3</v>
      </c>
      <c r="I323" s="86">
        <f>SUMPRODUCT(SUMIFS(RawTransportationData!$G:$G,RawTransportationData!$A:$A,Compare!$H$2,RawTransportationData!$B:$B,Compare!$D323:$F323))</f>
        <v>49652.88</v>
      </c>
      <c r="J323" s="32">
        <f t="shared" si="39"/>
        <v>243.03906020558</v>
      </c>
      <c r="K323" s="32">
        <f>SUMPRODUCT(SUMIFS(RawTransportationData!$H:$H,RawTransportationData!$A:$A,Compare!$E$1,RawTransportationData!$B:$B,Compare!$D323:$F323))</f>
        <v>167</v>
      </c>
      <c r="L323" s="32">
        <f t="shared" si="32"/>
        <v>49485.88</v>
      </c>
      <c r="M323" s="70">
        <f t="shared" si="33"/>
        <v>-0.19149256917718863</v>
      </c>
      <c r="N323" s="70">
        <f t="shared" si="34"/>
        <v>-0.14259105985365142</v>
      </c>
      <c r="O323" s="45"/>
      <c r="P323" s="85">
        <f>SUMPRODUCT(SUMIFS(RawTransportationData!$D:$D,RawTransportationData!$A:$A,Compare!$P$2,RawTransportationData!$B:$B,Compare!$D323:$F323))</f>
        <v>205.2</v>
      </c>
      <c r="Q323" s="86">
        <f>SUMPRODUCT(SUMIFS(RawTransportationData!$G:$G,RawTransportationData!$A:$A,Compare!$P$2,RawTransportationData!$B:$B,Compare!$D323:$F323))</f>
        <v>59362.16</v>
      </c>
      <c r="R323" s="32">
        <f t="shared" si="35"/>
        <v>289.2892787524367</v>
      </c>
      <c r="S323" s="32">
        <f>SUMPRODUCT(SUMIFS(RawTransportationData!$H:$H,RawTransportationData!$A:$A,Compare!$P$1,RawTransportationData!$B:$B,Compare!$D323:$F323))</f>
        <v>0</v>
      </c>
      <c r="T323" s="32">
        <f t="shared" si="36"/>
        <v>59362.16</v>
      </c>
      <c r="U323" s="45"/>
      <c r="V323" s="85">
        <f>SUMPRODUCT(SUMIFS(RawTransportationData!$D:$D,RawTransportationData!$A:$A,Compare!$V$2,RawTransportationData!$B:$B,Compare!$D323:$F323))</f>
        <v>192</v>
      </c>
      <c r="W323" s="86">
        <f>SUMPRODUCT(SUMIFS(RawTransportationData!$G:$G,RawTransportationData!$A:$A,Compare!$V$2,RawTransportationData!$B:$B,Compare!$D323:$F323))</f>
        <v>57715.61</v>
      </c>
      <c r="X323" s="32">
        <f t="shared" si="37"/>
        <v>300.60213541666667</v>
      </c>
      <c r="Y323" s="32">
        <f>SUMPRODUCT(SUMIFS(RawTransportationData!$H:$H,RawTransportationData!$A:$A,Compare!$V$1,RawTransportationData!$B:$B,Compare!$D323:$F323))</f>
        <v>0</v>
      </c>
      <c r="Z323" s="32">
        <f t="shared" si="38"/>
        <v>57715.61</v>
      </c>
    </row>
    <row r="324" spans="1:26" x14ac:dyDescent="0.55000000000000004">
      <c r="A324">
        <f>FinalPayment!A322</f>
        <v>2021</v>
      </c>
      <c r="B324" t="str">
        <f>FinalPayment!B322</f>
        <v>10</v>
      </c>
      <c r="C324" t="str">
        <f>FinalPayment!C322</f>
        <v>7029</v>
      </c>
      <c r="D324" t="str">
        <f>FinalPayment!D322</f>
        <v/>
      </c>
      <c r="E324" t="str">
        <f>FinalPayment!E322</f>
        <v/>
      </c>
      <c r="F324" t="str">
        <f>FinalPayment!F322</f>
        <v>7029</v>
      </c>
      <c r="G324" s="28" t="str">
        <f>FinalPayment!G322</f>
        <v>Williamsburg</v>
      </c>
      <c r="H324" s="85">
        <f>SUMPRODUCT(SUMIFS(RawTransportationData!$D:$D,RawTransportationData!$A:$A,Compare!$H$2,RawTransportationData!$B:$B,Compare!$D324:$F324))</f>
        <v>1100.4000000000001</v>
      </c>
      <c r="I324" s="86">
        <f>SUMPRODUCT(SUMIFS(RawTransportationData!$G:$G,RawTransportationData!$A:$A,Compare!$H$2,RawTransportationData!$B:$B,Compare!$D324:$F324))</f>
        <v>497096.61</v>
      </c>
      <c r="J324" s="32">
        <f t="shared" si="39"/>
        <v>451.7417393675027</v>
      </c>
      <c r="K324" s="32">
        <f>SUMPRODUCT(SUMIFS(RawTransportationData!$H:$H,RawTransportationData!$A:$A,Compare!$E$1,RawTransportationData!$B:$B,Compare!$D324:$F324))</f>
        <v>115442</v>
      </c>
      <c r="L324" s="32">
        <f t="shared" si="32"/>
        <v>381654.61</v>
      </c>
      <c r="M324" s="70">
        <f t="shared" si="33"/>
        <v>0.56872150794679821</v>
      </c>
      <c r="N324" s="70">
        <f t="shared" si="34"/>
        <v>0.17567325001849046</v>
      </c>
      <c r="O324" s="45"/>
      <c r="P324" s="85">
        <f>SUMPRODUCT(SUMIFS(RawTransportationData!$D:$D,RawTransportationData!$A:$A,Compare!$P$2,RawTransportationData!$B:$B,Compare!$D324:$F324))</f>
        <v>1122.3999999999999</v>
      </c>
      <c r="Q324" s="86">
        <f>SUMPRODUCT(SUMIFS(RawTransportationData!$G:$G,RawTransportationData!$A:$A,Compare!$P$2,RawTransportationData!$B:$B,Compare!$D324:$F324))</f>
        <v>379635.08</v>
      </c>
      <c r="R324" s="32">
        <f t="shared" si="35"/>
        <v>338.23510334996439</v>
      </c>
      <c r="S324" s="32">
        <f>SUMPRODUCT(SUMIFS(RawTransportationData!$H:$H,RawTransportationData!$A:$A,Compare!$P$1,RawTransportationData!$B:$B,Compare!$D324:$F324))</f>
        <v>0</v>
      </c>
      <c r="T324" s="32">
        <f t="shared" si="36"/>
        <v>379635.08</v>
      </c>
      <c r="U324" s="45"/>
      <c r="V324" s="85">
        <f>SUMPRODUCT(SUMIFS(RawTransportationData!$D:$D,RawTransportationData!$A:$A,Compare!$V$2,RawTransportationData!$B:$B,Compare!$D324:$F324))</f>
        <v>1127.3</v>
      </c>
      <c r="W324" s="86">
        <f>SUMPRODUCT(SUMIFS(RawTransportationData!$G:$G,RawTransportationData!$A:$A,Compare!$V$2,RawTransportationData!$B:$B,Compare!$D324:$F324))</f>
        <v>324626.43</v>
      </c>
      <c r="X324" s="32">
        <f t="shared" si="37"/>
        <v>287.96809190100242</v>
      </c>
      <c r="Y324" s="32">
        <f>SUMPRODUCT(SUMIFS(RawTransportationData!$H:$H,RawTransportationData!$A:$A,Compare!$V$1,RawTransportationData!$B:$B,Compare!$D324:$F324))</f>
        <v>0</v>
      </c>
      <c r="Z324" s="32">
        <f t="shared" si="38"/>
        <v>324626.43</v>
      </c>
    </row>
    <row r="325" spans="1:26" x14ac:dyDescent="0.55000000000000004">
      <c r="A325">
        <f>FinalPayment!A323</f>
        <v>2021</v>
      </c>
      <c r="B325" t="str">
        <f>FinalPayment!B323</f>
        <v>09</v>
      </c>
      <c r="C325" t="str">
        <f>FinalPayment!C323</f>
        <v>7038</v>
      </c>
      <c r="D325" t="str">
        <f>FinalPayment!D323</f>
        <v/>
      </c>
      <c r="E325" t="str">
        <f>FinalPayment!E323</f>
        <v/>
      </c>
      <c r="F325" t="str">
        <f>FinalPayment!F323</f>
        <v>7038</v>
      </c>
      <c r="G325" s="28" t="str">
        <f>FinalPayment!G323</f>
        <v>Wilton</v>
      </c>
      <c r="H325" s="85">
        <f>SUMPRODUCT(SUMIFS(RawTransportationData!$D:$D,RawTransportationData!$A:$A,Compare!$H$2,RawTransportationData!$B:$B,Compare!$D325:$F325))</f>
        <v>838.3</v>
      </c>
      <c r="I325" s="86">
        <f>SUMPRODUCT(SUMIFS(RawTransportationData!$G:$G,RawTransportationData!$A:$A,Compare!$H$2,RawTransportationData!$B:$B,Compare!$D325:$F325))</f>
        <v>199399.58</v>
      </c>
      <c r="J325" s="32">
        <f t="shared" si="39"/>
        <v>237.86183943695573</v>
      </c>
      <c r="K325" s="32">
        <f>SUMPRODUCT(SUMIFS(RawTransportationData!$H:$H,RawTransportationData!$A:$A,Compare!$E$1,RawTransportationData!$B:$B,Compare!$D325:$F325))</f>
        <v>686</v>
      </c>
      <c r="L325" s="32">
        <f t="shared" ref="L325:L330" si="40">I325-K325</f>
        <v>198713.58</v>
      </c>
      <c r="M325" s="70">
        <f t="shared" ref="M325:M330" si="41">(J325-X325)/X325</f>
        <v>2.4677204236886092E-2</v>
      </c>
      <c r="N325" s="70">
        <f t="shared" ref="N325:N331" si="42">(L325-Z325)/Z325</f>
        <v>4.6877465387312016E-2</v>
      </c>
      <c r="O325" s="45"/>
      <c r="P325" s="85">
        <f>SUMPRODUCT(SUMIFS(RawTransportationData!$D:$D,RawTransportationData!$A:$A,Compare!$P$2,RawTransportationData!$B:$B,Compare!$D325:$F325))</f>
        <v>828.6</v>
      </c>
      <c r="Q325" s="86">
        <f>SUMPRODUCT(SUMIFS(RawTransportationData!$G:$G,RawTransportationData!$A:$A,Compare!$P$2,RawTransportationData!$B:$B,Compare!$D325:$F325))</f>
        <v>161126.06</v>
      </c>
      <c r="R325" s="32">
        <f t="shared" ref="R325:R331" si="43">Q325/P325</f>
        <v>194.4557808351436</v>
      </c>
      <c r="S325" s="32">
        <f>SUMPRODUCT(SUMIFS(RawTransportationData!$H:$H,RawTransportationData!$A:$A,Compare!$P$1,RawTransportationData!$B:$B,Compare!$D325:$F325))</f>
        <v>0</v>
      </c>
      <c r="T325" s="32">
        <f t="shared" ref="T325:T330" si="44">Q325-S325</f>
        <v>161126.06</v>
      </c>
      <c r="U325" s="45"/>
      <c r="V325" s="85">
        <f>SUMPRODUCT(SUMIFS(RawTransportationData!$D:$D,RawTransportationData!$A:$A,Compare!$V$2,RawTransportationData!$B:$B,Compare!$D325:$F325))</f>
        <v>817.7</v>
      </c>
      <c r="W325" s="86">
        <f>SUMPRODUCT(SUMIFS(RawTransportationData!$G:$G,RawTransportationData!$A:$A,Compare!$V$2,RawTransportationData!$B:$B,Compare!$D325:$F325))</f>
        <v>189815.51</v>
      </c>
      <c r="X325" s="32">
        <f t="shared" ref="X325:X331" si="45">W325/V325</f>
        <v>232.13343524519996</v>
      </c>
      <c r="Y325" s="32">
        <f>SUMPRODUCT(SUMIFS(RawTransportationData!$H:$H,RawTransportationData!$A:$A,Compare!$V$1,RawTransportationData!$B:$B,Compare!$D325:$F325))</f>
        <v>0</v>
      </c>
      <c r="Z325" s="32">
        <f t="shared" ref="Z325:Z330" si="46">W325-Y325</f>
        <v>189815.51</v>
      </c>
    </row>
    <row r="326" spans="1:26" x14ac:dyDescent="0.55000000000000004">
      <c r="A326">
        <f>FinalPayment!A324</f>
        <v>2021</v>
      </c>
      <c r="B326" t="str">
        <f>FinalPayment!B324</f>
        <v>15</v>
      </c>
      <c r="C326" t="str">
        <f>FinalPayment!C324</f>
        <v>7047</v>
      </c>
      <c r="D326" t="str">
        <f>FinalPayment!D324</f>
        <v/>
      </c>
      <c r="E326" t="str">
        <f>FinalPayment!E324</f>
        <v/>
      </c>
      <c r="F326" t="str">
        <f>FinalPayment!F324</f>
        <v>7047</v>
      </c>
      <c r="G326" s="28" t="str">
        <f>FinalPayment!G324</f>
        <v>Winfield-Mt Union</v>
      </c>
      <c r="H326" s="85">
        <f>SUMPRODUCT(SUMIFS(RawTransportationData!$D:$D,RawTransportationData!$A:$A,Compare!$H$2,RawTransportationData!$B:$B,Compare!$D326:$F326))</f>
        <v>321.3</v>
      </c>
      <c r="I326" s="86">
        <f>SUMPRODUCT(SUMIFS(RawTransportationData!$G:$G,RawTransportationData!$A:$A,Compare!$H$2,RawTransportationData!$B:$B,Compare!$D326:$F326))</f>
        <v>100250.6</v>
      </c>
      <c r="J326" s="32">
        <f t="shared" ref="J326:J330" si="47">I326/H326</f>
        <v>312.01556178026766</v>
      </c>
      <c r="K326" s="32">
        <f>SUMPRODUCT(SUMIFS(RawTransportationData!$H:$H,RawTransportationData!$A:$A,Compare!$E$1,RawTransportationData!$B:$B,Compare!$D326:$F326))</f>
        <v>263</v>
      </c>
      <c r="L326" s="32">
        <f t="shared" si="40"/>
        <v>99987.6</v>
      </c>
      <c r="M326" s="70">
        <f t="shared" si="41"/>
        <v>3.5967837742005689E-2</v>
      </c>
      <c r="N326" s="70">
        <f t="shared" si="42"/>
        <v>-6.6151217833792381E-2</v>
      </c>
      <c r="O326" s="45"/>
      <c r="P326" s="85">
        <f>SUMPRODUCT(SUMIFS(RawTransportationData!$D:$D,RawTransportationData!$A:$A,Compare!$P$2,RawTransportationData!$B:$B,Compare!$D326:$F326))</f>
        <v>339.3</v>
      </c>
      <c r="Q326" s="86">
        <f>SUMPRODUCT(SUMIFS(RawTransportationData!$G:$G,RawTransportationData!$A:$A,Compare!$P$2,RawTransportationData!$B:$B,Compare!$D326:$F326))</f>
        <v>87924.39</v>
      </c>
      <c r="R326" s="32">
        <f t="shared" si="43"/>
        <v>259.13465959328028</v>
      </c>
      <c r="S326" s="32">
        <f>SUMPRODUCT(SUMIFS(RawTransportationData!$H:$H,RawTransportationData!$A:$A,Compare!$P$1,RawTransportationData!$B:$B,Compare!$D326:$F326))</f>
        <v>0</v>
      </c>
      <c r="T326" s="32">
        <f t="shared" si="44"/>
        <v>87924.39</v>
      </c>
      <c r="U326" s="45"/>
      <c r="V326" s="85">
        <f>SUMPRODUCT(SUMIFS(RawTransportationData!$D:$D,RawTransportationData!$A:$A,Compare!$V$2,RawTransportationData!$B:$B,Compare!$D326:$F326))</f>
        <v>355.5</v>
      </c>
      <c r="W326" s="86">
        <f>SUMPRODUCT(SUMIFS(RawTransportationData!$G:$G,RawTransportationData!$A:$A,Compare!$V$2,RawTransportationData!$B:$B,Compare!$D326:$F326))</f>
        <v>107070.44</v>
      </c>
      <c r="X326" s="32">
        <f t="shared" si="45"/>
        <v>301.1826722925457</v>
      </c>
      <c r="Y326" s="32">
        <f>SUMPRODUCT(SUMIFS(RawTransportationData!$H:$H,RawTransportationData!$A:$A,Compare!$V$1,RawTransportationData!$B:$B,Compare!$D326:$F326))</f>
        <v>0</v>
      </c>
      <c r="Z326" s="32">
        <f t="shared" si="46"/>
        <v>107070.44</v>
      </c>
    </row>
    <row r="327" spans="1:26" x14ac:dyDescent="0.55000000000000004">
      <c r="A327">
        <f>FinalPayment!A325</f>
        <v>2021</v>
      </c>
      <c r="B327" t="str">
        <f>FinalPayment!B325</f>
        <v>11</v>
      </c>
      <c r="C327" t="str">
        <f>FinalPayment!C325</f>
        <v>7056</v>
      </c>
      <c r="D327" t="str">
        <f>FinalPayment!D325</f>
        <v/>
      </c>
      <c r="E327" t="str">
        <f>FinalPayment!E325</f>
        <v/>
      </c>
      <c r="F327" t="str">
        <f>FinalPayment!F325</f>
        <v>7056</v>
      </c>
      <c r="G327" s="28" t="str">
        <f>FinalPayment!G325</f>
        <v>Winterset</v>
      </c>
      <c r="H327" s="85">
        <f>SUMPRODUCT(SUMIFS(RawTransportationData!$D:$D,RawTransportationData!$A:$A,Compare!$H$2,RawTransportationData!$B:$B,Compare!$D327:$F327))</f>
        <v>1717.9</v>
      </c>
      <c r="I327" s="86">
        <f>SUMPRODUCT(SUMIFS(RawTransportationData!$G:$G,RawTransportationData!$A:$A,Compare!$H$2,RawTransportationData!$B:$B,Compare!$D327:$F327))</f>
        <v>771937.34000000008</v>
      </c>
      <c r="J327" s="32">
        <f t="shared" si="47"/>
        <v>449.34940334128879</v>
      </c>
      <c r="K327" s="32">
        <f>SUMPRODUCT(SUMIFS(RawTransportationData!$H:$H,RawTransportationData!$A:$A,Compare!$E$1,RawTransportationData!$B:$B,Compare!$D327:$F327))</f>
        <v>176116</v>
      </c>
      <c r="L327" s="32">
        <f t="shared" si="40"/>
        <v>595821.34000000008</v>
      </c>
      <c r="M327" s="70">
        <f t="shared" si="41"/>
        <v>9.9710750004408072E-2</v>
      </c>
      <c r="N327" s="70">
        <f t="shared" si="42"/>
        <v>-0.14411142023316509</v>
      </c>
      <c r="O327" s="45"/>
      <c r="P327" s="85">
        <f>SUMPRODUCT(SUMIFS(RawTransportationData!$D:$D,RawTransportationData!$A:$A,Compare!$P$2,RawTransportationData!$B:$B,Compare!$D327:$F327))</f>
        <v>1710.4</v>
      </c>
      <c r="Q327" s="86">
        <f>SUMPRODUCT(SUMIFS(RawTransportationData!$G:$G,RawTransportationData!$A:$A,Compare!$P$2,RawTransportationData!$B:$B,Compare!$D327:$F327))</f>
        <v>676572.83</v>
      </c>
      <c r="R327" s="32">
        <f t="shared" si="43"/>
        <v>395.56409611786711</v>
      </c>
      <c r="S327" s="32">
        <f>SUMPRODUCT(SUMIFS(RawTransportationData!$H:$H,RawTransportationData!$A:$A,Compare!$P$1,RawTransportationData!$B:$B,Compare!$D327:$F327))</f>
        <v>24787</v>
      </c>
      <c r="T327" s="32">
        <f t="shared" si="44"/>
        <v>651785.82999999996</v>
      </c>
      <c r="U327" s="45"/>
      <c r="V327" s="85">
        <f>SUMPRODUCT(SUMIFS(RawTransportationData!$D:$D,RawTransportationData!$A:$A,Compare!$V$2,RawTransportationData!$B:$B,Compare!$D327:$F327))</f>
        <v>1703.7</v>
      </c>
      <c r="W327" s="86">
        <f>SUMPRODUCT(SUMIFS(RawTransportationData!$G:$G,RawTransportationData!$A:$A,Compare!$V$2,RawTransportationData!$B:$B,Compare!$D327:$F327))</f>
        <v>696143.58000000007</v>
      </c>
      <c r="X327" s="32">
        <f t="shared" si="45"/>
        <v>408.60690262370139</v>
      </c>
      <c r="Y327" s="32">
        <f>SUMPRODUCT(SUMIFS(RawTransportationData!$H:$H,RawTransportationData!$A:$A,Compare!$V$1,RawTransportationData!$B:$B,Compare!$D327:$F327))</f>
        <v>0</v>
      </c>
      <c r="Z327" s="32">
        <f t="shared" si="46"/>
        <v>696143.58000000007</v>
      </c>
    </row>
    <row r="328" spans="1:26" x14ac:dyDescent="0.55000000000000004">
      <c r="A328">
        <f>FinalPayment!A326</f>
        <v>2021</v>
      </c>
      <c r="B328" t="str">
        <f>FinalPayment!B326</f>
        <v>13</v>
      </c>
      <c r="C328" t="str">
        <f>FinalPayment!C326</f>
        <v>7092</v>
      </c>
      <c r="D328" t="str">
        <f>FinalPayment!D326</f>
        <v/>
      </c>
      <c r="E328" t="str">
        <f>FinalPayment!E326</f>
        <v/>
      </c>
      <c r="F328" t="str">
        <f>FinalPayment!F326</f>
        <v>7092</v>
      </c>
      <c r="G328" s="28" t="str">
        <f>FinalPayment!G326</f>
        <v>Woodbine</v>
      </c>
      <c r="H328" s="85">
        <f>SUMPRODUCT(SUMIFS(RawTransportationData!$D:$D,RawTransportationData!$A:$A,Compare!$H$2,RawTransportationData!$B:$B,Compare!$D328:$F328))</f>
        <v>466</v>
      </c>
      <c r="I328" s="86">
        <f>SUMPRODUCT(SUMIFS(RawTransportationData!$G:$G,RawTransportationData!$A:$A,Compare!$H$2,RawTransportationData!$B:$B,Compare!$D328:$F328))</f>
        <v>156888.51</v>
      </c>
      <c r="J328" s="32">
        <f t="shared" si="47"/>
        <v>336.67062231759661</v>
      </c>
      <c r="K328" s="32">
        <f>SUMPRODUCT(SUMIFS(RawTransportationData!$H:$H,RawTransportationData!$A:$A,Compare!$E$1,RawTransportationData!$B:$B,Compare!$D328:$F328))</f>
        <v>381</v>
      </c>
      <c r="L328" s="32">
        <f t="shared" si="40"/>
        <v>156507.51</v>
      </c>
      <c r="M328" s="70">
        <f t="shared" si="41"/>
        <v>-4.1845130506217444E-2</v>
      </c>
      <c r="N328" s="70">
        <f t="shared" si="42"/>
        <v>-7.030712964773643E-2</v>
      </c>
      <c r="O328" s="45"/>
      <c r="P328" s="85">
        <f>SUMPRODUCT(SUMIFS(RawTransportationData!$D:$D,RawTransportationData!$A:$A,Compare!$P$2,RawTransportationData!$B:$B,Compare!$D328:$F328))</f>
        <v>470</v>
      </c>
      <c r="Q328" s="86">
        <f>SUMPRODUCT(SUMIFS(RawTransportationData!$G:$G,RawTransportationData!$A:$A,Compare!$P$2,RawTransportationData!$B:$B,Compare!$D328:$F328))</f>
        <v>161033.31</v>
      </c>
      <c r="R328" s="32">
        <f t="shared" si="43"/>
        <v>342.62406382978725</v>
      </c>
      <c r="S328" s="32">
        <f>SUMPRODUCT(SUMIFS(RawTransportationData!$H:$H,RawTransportationData!$A:$A,Compare!$P$1,RawTransportationData!$B:$B,Compare!$D328:$F328))</f>
        <v>0</v>
      </c>
      <c r="T328" s="32">
        <f t="shared" si="44"/>
        <v>161033.31</v>
      </c>
      <c r="U328" s="45"/>
      <c r="V328" s="85">
        <f>SUMPRODUCT(SUMIFS(RawTransportationData!$D:$D,RawTransportationData!$A:$A,Compare!$V$2,RawTransportationData!$B:$B,Compare!$D328:$F328))</f>
        <v>479.1</v>
      </c>
      <c r="W328" s="86">
        <f>SUMPRODUCT(SUMIFS(RawTransportationData!$G:$G,RawTransportationData!$A:$A,Compare!$V$2,RawTransportationData!$B:$B,Compare!$D328:$F328))</f>
        <v>168343.24000000002</v>
      </c>
      <c r="X328" s="32">
        <f t="shared" si="45"/>
        <v>351.37390941348366</v>
      </c>
      <c r="Y328" s="32">
        <f>SUMPRODUCT(SUMIFS(RawTransportationData!$H:$H,RawTransportationData!$A:$A,Compare!$V$1,RawTransportationData!$B:$B,Compare!$D328:$F328))</f>
        <v>0</v>
      </c>
      <c r="Z328" s="32">
        <f t="shared" si="46"/>
        <v>168343.24000000002</v>
      </c>
    </row>
    <row r="329" spans="1:26" x14ac:dyDescent="0.55000000000000004">
      <c r="A329">
        <f>FinalPayment!A327</f>
        <v>2021</v>
      </c>
      <c r="B329" t="str">
        <f>FinalPayment!B327</f>
        <v>12</v>
      </c>
      <c r="C329" t="str">
        <f>FinalPayment!C327</f>
        <v>7098</v>
      </c>
      <c r="D329" t="str">
        <f>FinalPayment!D327</f>
        <v/>
      </c>
      <c r="E329" t="str">
        <f>FinalPayment!E327</f>
        <v/>
      </c>
      <c r="F329" t="str">
        <f>FinalPayment!F327</f>
        <v>7098</v>
      </c>
      <c r="G329" s="28" t="str">
        <f>FinalPayment!G327</f>
        <v>Woodbury Central</v>
      </c>
      <c r="H329" s="85">
        <f>SUMPRODUCT(SUMIFS(RawTransportationData!$D:$D,RawTransportationData!$A:$A,Compare!$H$2,RawTransportationData!$B:$B,Compare!$D329:$F329))</f>
        <v>550.6</v>
      </c>
      <c r="I329" s="86">
        <f>SUMPRODUCT(SUMIFS(RawTransportationData!$G:$G,RawTransportationData!$A:$A,Compare!$H$2,RawTransportationData!$B:$B,Compare!$D329:$F329))</f>
        <v>300075.90000000002</v>
      </c>
      <c r="J329" s="32">
        <f t="shared" si="47"/>
        <v>544.99800217944062</v>
      </c>
      <c r="K329" s="32">
        <f>SUMPRODUCT(SUMIFS(RawTransportationData!$H:$H,RawTransportationData!$A:$A,Compare!$E$1,RawTransportationData!$B:$B,Compare!$D329:$F329))</f>
        <v>109112</v>
      </c>
      <c r="L329" s="32">
        <f t="shared" si="40"/>
        <v>190963.90000000002</v>
      </c>
      <c r="M329" s="70">
        <f t="shared" si="41"/>
        <v>0.22007683091332328</v>
      </c>
      <c r="N329" s="70">
        <f t="shared" si="42"/>
        <v>-0.17748096025327678</v>
      </c>
      <c r="O329" s="45"/>
      <c r="P329" s="85">
        <f>SUMPRODUCT(SUMIFS(RawTransportationData!$D:$D,RawTransportationData!$A:$A,Compare!$P$2,RawTransportationData!$B:$B,Compare!$D329:$F329))</f>
        <v>549.9</v>
      </c>
      <c r="Q329" s="86">
        <f>SUMPRODUCT(SUMIFS(RawTransportationData!$G:$G,RawTransportationData!$A:$A,Compare!$P$2,RawTransportationData!$B:$B,Compare!$D329:$F329))</f>
        <v>289430.37</v>
      </c>
      <c r="R329" s="32">
        <f t="shared" si="43"/>
        <v>526.33273322422258</v>
      </c>
      <c r="S329" s="32">
        <f>SUMPRODUCT(SUMIFS(RawTransportationData!$H:$H,RawTransportationData!$A:$A,Compare!$P$1,RawTransportationData!$B:$B,Compare!$D329:$F329))</f>
        <v>79880</v>
      </c>
      <c r="T329" s="32">
        <f t="shared" si="44"/>
        <v>209550.37</v>
      </c>
      <c r="U329" s="45"/>
      <c r="V329" s="85">
        <f>SUMPRODUCT(SUMIFS(RawTransportationData!$D:$D,RawTransportationData!$A:$A,Compare!$V$2,RawTransportationData!$B:$B,Compare!$D329:$F329))</f>
        <v>559.29999999999995</v>
      </c>
      <c r="W329" s="86">
        <f>SUMPRODUCT(SUMIFS(RawTransportationData!$G:$G,RawTransportationData!$A:$A,Compare!$V$2,RawTransportationData!$B:$B,Compare!$D329:$F329))</f>
        <v>249834.58</v>
      </c>
      <c r="X329" s="32">
        <f t="shared" si="45"/>
        <v>446.6915430001788</v>
      </c>
      <c r="Y329" s="32">
        <f>SUMPRODUCT(SUMIFS(RawTransportationData!$H:$H,RawTransportationData!$A:$A,Compare!$V$1,RawTransportationData!$B:$B,Compare!$D329:$F329))</f>
        <v>17665</v>
      </c>
      <c r="Z329" s="32">
        <f t="shared" si="46"/>
        <v>232169.58</v>
      </c>
    </row>
    <row r="330" spans="1:26" x14ac:dyDescent="0.55000000000000004">
      <c r="A330">
        <f>FinalPayment!A328</f>
        <v>2021</v>
      </c>
      <c r="B330" t="str">
        <f>FinalPayment!B328</f>
        <v>11</v>
      </c>
      <c r="C330" t="str">
        <f>FinalPayment!C328</f>
        <v>7110</v>
      </c>
      <c r="D330" t="str">
        <f>FinalPayment!D328</f>
        <v/>
      </c>
      <c r="E330" t="str">
        <f>FinalPayment!E328</f>
        <v/>
      </c>
      <c r="F330" t="str">
        <f>FinalPayment!F328</f>
        <v>7110</v>
      </c>
      <c r="G330" s="28" t="str">
        <f>FinalPayment!G328</f>
        <v>Woodward-Granger</v>
      </c>
      <c r="H330" s="85">
        <f>SUMPRODUCT(SUMIFS(RawTransportationData!$D:$D,RawTransportationData!$A:$A,Compare!$H$2,RawTransportationData!$B:$B,Compare!$D330:$F330))</f>
        <v>934.5</v>
      </c>
      <c r="I330" s="86">
        <f>SUMPRODUCT(SUMIFS(RawTransportationData!$G:$G,RawTransportationData!$A:$A,Compare!$H$2,RawTransportationData!$B:$B,Compare!$D330:$F330))</f>
        <v>384522.29</v>
      </c>
      <c r="J330" s="32">
        <f t="shared" si="47"/>
        <v>411.47382557517386</v>
      </c>
      <c r="K330" s="32">
        <f>SUMPRODUCT(SUMIFS(RawTransportationData!$H:$H,RawTransportationData!$A:$A,Compare!$E$1,RawTransportationData!$B:$B,Compare!$D330:$F330))</f>
        <v>60405</v>
      </c>
      <c r="L330" s="32">
        <f t="shared" si="40"/>
        <v>324117.28999999998</v>
      </c>
      <c r="M330" s="70">
        <f t="shared" si="41"/>
        <v>0.16342550145774287</v>
      </c>
      <c r="N330" s="70">
        <f t="shared" si="42"/>
        <v>-3.5643006289944039E-2</v>
      </c>
      <c r="O330" s="45"/>
      <c r="P330" s="85">
        <f>SUMPRODUCT(SUMIFS(RawTransportationData!$D:$D,RawTransportationData!$A:$A,Compare!$P$2,RawTransportationData!$B:$B,Compare!$D330:$F330))</f>
        <v>960.2</v>
      </c>
      <c r="Q330" s="86">
        <f>SUMPRODUCT(SUMIFS(RawTransportationData!$G:$G,RawTransportationData!$A:$A,Compare!$P$2,RawTransportationData!$B:$B,Compare!$D330:$F330))</f>
        <v>366418.45999999996</v>
      </c>
      <c r="R330" s="32">
        <f t="shared" si="43"/>
        <v>381.60639450114553</v>
      </c>
      <c r="S330" s="32">
        <f>SUMPRODUCT(SUMIFS(RawTransportationData!$H:$H,RawTransportationData!$A:$A,Compare!$P$1,RawTransportationData!$B:$B,Compare!$D330:$F330))</f>
        <v>521</v>
      </c>
      <c r="T330" s="32">
        <f t="shared" si="44"/>
        <v>365897.45999999996</v>
      </c>
      <c r="U330" s="45"/>
      <c r="V330" s="85">
        <f>SUMPRODUCT(SUMIFS(RawTransportationData!$D:$D,RawTransportationData!$A:$A,Compare!$V$2,RawTransportationData!$B:$B,Compare!$D330:$F330))</f>
        <v>950.3</v>
      </c>
      <c r="W330" s="86">
        <f>SUMPRODUCT(SUMIFS(RawTransportationData!$G:$G,RawTransportationData!$A:$A,Compare!$V$2,RawTransportationData!$B:$B,Compare!$D330:$F330))</f>
        <v>336096.79</v>
      </c>
      <c r="X330" s="32">
        <f t="shared" si="45"/>
        <v>353.67440808165844</v>
      </c>
      <c r="Y330" s="32">
        <f>SUMPRODUCT(SUMIFS(RawTransportationData!$H:$H,RawTransportationData!$A:$A,Compare!$V$1,RawTransportationData!$B:$B,Compare!$D330:$F330))</f>
        <v>0</v>
      </c>
      <c r="Z330" s="32">
        <f t="shared" si="46"/>
        <v>336096.79</v>
      </c>
    </row>
    <row r="331" spans="1:26" ht="14.7" thickBot="1" x14ac:dyDescent="0.6">
      <c r="G331" s="40" t="s">
        <v>1286</v>
      </c>
      <c r="H331" s="87">
        <f>SUM(H4:H330)</f>
        <v>487429.99999999983</v>
      </c>
      <c r="I331" s="88">
        <f>SUM(I4:I330)</f>
        <v>169455658.81000006</v>
      </c>
      <c r="J331" s="79">
        <f>I331/H331</f>
        <v>347.65127056192711</v>
      </c>
      <c r="K331" s="44">
        <f>SUM(K4:K330)</f>
        <v>26652088</v>
      </c>
      <c r="L331" s="44">
        <f>SUM(L4:L330)</f>
        <v>142803570.81000003</v>
      </c>
      <c r="M331" s="71">
        <f>(J331-X331)/X331</f>
        <v>0.16873016475569205</v>
      </c>
      <c r="N331" s="70">
        <f t="shared" si="42"/>
        <v>7.339189177645293E-2</v>
      </c>
      <c r="O331" s="42"/>
      <c r="P331" s="87">
        <f>SUM(P4:P330)</f>
        <v>486037.29999999958</v>
      </c>
      <c r="Q331" s="88">
        <f>SUM(Q4:Q330)</f>
        <v>160377520.27000001</v>
      </c>
      <c r="R331" s="79">
        <f t="shared" si="43"/>
        <v>329.96957284965606</v>
      </c>
      <c r="S331" s="44">
        <f>SUM(S4:S330)</f>
        <v>19000000</v>
      </c>
      <c r="T331" s="44">
        <f>SUM(T4:T330)</f>
        <v>141377520.27000001</v>
      </c>
      <c r="U331" s="42"/>
      <c r="V331" s="87">
        <f>SUM(V4:V330)</f>
        <v>484902.89999999991</v>
      </c>
      <c r="W331" s="88">
        <f>SUM(W4:W330)</f>
        <v>144239546.78999999</v>
      </c>
      <c r="X331" s="79">
        <f t="shared" si="45"/>
        <v>297.46068087033512</v>
      </c>
      <c r="Y331" s="44">
        <f>SUM(Y4:Y330)</f>
        <v>11200000</v>
      </c>
      <c r="Z331" s="44">
        <f>SUM(Z4:Z330)</f>
        <v>133039546.79000001</v>
      </c>
    </row>
    <row r="332" spans="1:26" ht="14.7" thickTop="1" x14ac:dyDescent="0.55000000000000004">
      <c r="G332" s="40"/>
      <c r="H332" s="93"/>
      <c r="I332" s="93"/>
      <c r="J332" s="41"/>
      <c r="K332" s="43"/>
      <c r="L332" s="43"/>
      <c r="M332" s="80"/>
      <c r="N332" s="80"/>
      <c r="O332" s="47"/>
      <c r="P332" s="92"/>
      <c r="Q332" s="92"/>
      <c r="R332" s="76"/>
      <c r="S332" s="80"/>
      <c r="T332" s="80"/>
      <c r="U332" s="48"/>
    </row>
    <row r="333" spans="1:26" x14ac:dyDescent="0.55000000000000004">
      <c r="L333" s="5"/>
      <c r="M333" s="48"/>
      <c r="N333" s="48"/>
      <c r="O333" s="48"/>
      <c r="R333" s="72"/>
      <c r="S333" s="48"/>
      <c r="T333" s="48"/>
      <c r="U333" s="48"/>
    </row>
    <row r="334" spans="1:26" x14ac:dyDescent="0.55000000000000004">
      <c r="G334" s="26" t="str">
        <f>CONCATENATE("Highest FY ",$E$1," Per Pupil Costs")</f>
        <v>Highest FY 2021 Per Pupil Costs</v>
      </c>
      <c r="H334" s="92"/>
      <c r="I334" s="92"/>
      <c r="M334" s="48"/>
      <c r="N334" s="48"/>
      <c r="O334" s="48"/>
      <c r="R334" s="72"/>
      <c r="S334" s="48"/>
      <c r="T334" s="48"/>
      <c r="U334" s="48"/>
    </row>
    <row r="335" spans="1:26" x14ac:dyDescent="0.55000000000000004">
      <c r="E335">
        <v>1</v>
      </c>
      <c r="G335" s="32" t="str">
        <f>INDEX($G$4:$BY$330,MATCH($J335,$J$4:$J$330,0),MATCH(G$3,$G$3:$BY$3,0))</f>
        <v>Central Decatur</v>
      </c>
      <c r="H335" s="86"/>
      <c r="I335" s="86"/>
      <c r="J335" s="45">
        <f t="shared" ref="J335:J354" si="48">LARGE($J$4:$J$330,$E335)</f>
        <v>1096.1903639909003</v>
      </c>
      <c r="K335" s="32">
        <f>INDEX($G$4:$BY$330,MATCH($J335,$J$4:$J$330,0),MATCH(K$3,$G$3:$BY$3,0))</f>
        <v>461156</v>
      </c>
      <c r="L335" s="32">
        <f>INDEX($G$4:$BY$330,MATCH($J335,$J$4:$J$330,0),MATCH(L$3,$G$3:$BY$3,0))</f>
        <v>213439.55000000005</v>
      </c>
      <c r="M335" s="70">
        <f>INDEX($G$4:$BY$330,MATCH($J335,$J$4:$J$330,0),MATCH(M$3,$G$3:$BY$3,0))</f>
        <v>0.31542116842011658</v>
      </c>
      <c r="N335" s="70">
        <f>INDEX($G$4:$BY$330,MATCH($J335,$J$4:$J$330,0),MATCH(N$3,$G$3:$BY$3,0))</f>
        <v>-0.20992304543918167</v>
      </c>
      <c r="O335" s="46"/>
      <c r="P335" s="89"/>
      <c r="Q335" s="89"/>
      <c r="R335" s="32">
        <f>INDEX($G$4:$BY$330,MATCH($J335,$J$4:$J$330,0),MATCH(R$3,$G$3:$BY$3,0))</f>
        <v>867.82523106859094</v>
      </c>
      <c r="S335" s="32">
        <f>INDEX($G$4:$BY$330,MATCH($J335,$J$4:$J$330,0),MATCH(S$3,$G$3:$BY$3,0))</f>
        <v>300186</v>
      </c>
      <c r="T335" s="32">
        <f>INDEX($G$4:$BY$330,MATCH($J335,$J$4:$J$330,0),MATCH(T$3,$G$3:$BY$3,0))</f>
        <v>235001.82000000007</v>
      </c>
      <c r="U335" s="46"/>
      <c r="V335" s="89"/>
      <c r="W335" s="89"/>
      <c r="X335" s="32">
        <f>INDEX($G$4:$BY$330,MATCH($J335,$J$4:$J$330,0),MATCH(X$3,$G$3:$BY$3,0))</f>
        <v>833.33793792255688</v>
      </c>
      <c r="Y335" s="32">
        <f>INDEX($G$4:$BY$330,MATCH($J335,$J$4:$J$330,0),MATCH(Y$3,$G$3:$BY$3,0))</f>
        <v>272186</v>
      </c>
      <c r="Z335" s="32">
        <f>INDEX($G$4:$BY$330,MATCH($J335,$J$4:$J$330,0),MATCH(Z$3,$G$3:$BY$3,0))</f>
        <v>270150.32999999996</v>
      </c>
    </row>
    <row r="336" spans="1:26" x14ac:dyDescent="0.55000000000000004">
      <c r="E336">
        <v>2</v>
      </c>
      <c r="G336" s="32" t="str">
        <f t="shared" ref="G336:G354" si="49">INDEX($G$4:$BY$330,MATCH($J336,$J$4:$J$330,0),MATCH(G$3,$G$3:$BY$3,0))</f>
        <v>Adair-Casey</v>
      </c>
      <c r="H336" s="86"/>
      <c r="I336" s="86"/>
      <c r="J336" s="45">
        <f t="shared" si="48"/>
        <v>960.05524271844661</v>
      </c>
      <c r="K336" s="32">
        <f t="shared" ref="K336:M354" si="50">INDEX($G$4:$BY$330,MATCH($J336,$J$4:$J$330,0),MATCH(K$3,$G$3:$BY$3,0))</f>
        <v>189488</v>
      </c>
      <c r="L336" s="32">
        <f t="shared" si="50"/>
        <v>107169.07</v>
      </c>
      <c r="M336" s="70">
        <f t="shared" si="50"/>
        <v>0.17665433760203209</v>
      </c>
      <c r="N336" s="70">
        <f t="shared" ref="N336:N354" si="51">INDEX($G$4:$BY$330,MATCH($J336,$J$4:$J$330,0),MATCH(N$3,$G$3:$BY$3,0))</f>
        <v>-0.13999891184884264</v>
      </c>
      <c r="O336" s="46"/>
      <c r="P336" s="89"/>
      <c r="Q336" s="89"/>
      <c r="R336" s="32">
        <f t="shared" ref="R336:S354" si="52">INDEX($G$4:$BY$330,MATCH($J336,$J$4:$J$330,0),MATCH(R$3,$G$3:$BY$3,0))</f>
        <v>940.11984681984677</v>
      </c>
      <c r="S336" s="32">
        <f t="shared" si="52"/>
        <v>167883</v>
      </c>
      <c r="T336" s="32">
        <f t="shared" ref="T336:T354" si="53">INDEX($G$4:$BY$330,MATCH($J336,$J$4:$J$330,0),MATCH(T$3,$G$3:$BY$3,0))</f>
        <v>114434.98999999999</v>
      </c>
      <c r="U336" s="46"/>
      <c r="V336" s="89"/>
      <c r="W336" s="89"/>
      <c r="X336" s="32">
        <f t="shared" ref="X336:Y354" si="54">INDEX($G$4:$BY$330,MATCH($J336,$J$4:$J$330,0),MATCH(X$3,$G$3:$BY$3,0))</f>
        <v>815.9195203197869</v>
      </c>
      <c r="Y336" s="32">
        <f t="shared" si="54"/>
        <v>120324</v>
      </c>
      <c r="Z336" s="32">
        <f t="shared" ref="Z336:Z354" si="55">INDEX($G$4:$BY$330,MATCH($J336,$J$4:$J$330,0),MATCH(Z$3,$G$3:$BY$3,0))</f>
        <v>124615.04000000001</v>
      </c>
    </row>
    <row r="337" spans="5:26" x14ac:dyDescent="0.55000000000000004">
      <c r="E337">
        <v>3</v>
      </c>
      <c r="G337" s="32" t="str">
        <f t="shared" si="49"/>
        <v>Charter Oak-Ute</v>
      </c>
      <c r="H337" s="86"/>
      <c r="I337" s="86"/>
      <c r="J337" s="45">
        <f t="shared" si="48"/>
        <v>940.97470238095229</v>
      </c>
      <c r="K337" s="32">
        <f t="shared" si="50"/>
        <v>159704</v>
      </c>
      <c r="L337" s="32">
        <f t="shared" si="50"/>
        <v>93230</v>
      </c>
      <c r="M337" s="70">
        <f t="shared" si="50"/>
        <v>0.46948044940037575</v>
      </c>
      <c r="N337" s="70">
        <f t="shared" si="51"/>
        <v>-0.17123393249010119</v>
      </c>
      <c r="O337" s="46"/>
      <c r="P337" s="89"/>
      <c r="Q337" s="89"/>
      <c r="R337" s="32">
        <f t="shared" si="52"/>
        <v>774.83500578927044</v>
      </c>
      <c r="S337" s="32">
        <f t="shared" si="52"/>
        <v>102026</v>
      </c>
      <c r="T337" s="32">
        <f t="shared" si="53"/>
        <v>98733.75</v>
      </c>
      <c r="U337" s="46"/>
      <c r="V337" s="89"/>
      <c r="W337" s="89"/>
      <c r="X337" s="32">
        <f t="shared" si="54"/>
        <v>640.3451660516605</v>
      </c>
      <c r="Y337" s="32">
        <f t="shared" si="54"/>
        <v>61041</v>
      </c>
      <c r="Z337" s="32">
        <f t="shared" si="55"/>
        <v>112492.54000000001</v>
      </c>
    </row>
    <row r="338" spans="5:26" x14ac:dyDescent="0.55000000000000004">
      <c r="E338">
        <v>4</v>
      </c>
      <c r="G338" s="32" t="str">
        <f t="shared" si="49"/>
        <v>Nodaway Valley</v>
      </c>
      <c r="H338" s="86"/>
      <c r="I338" s="86"/>
      <c r="J338" s="45">
        <f t="shared" si="48"/>
        <v>939.20361314437002</v>
      </c>
      <c r="K338" s="32">
        <f t="shared" si="50"/>
        <v>380360</v>
      </c>
      <c r="L338" s="32">
        <f t="shared" si="50"/>
        <v>222702.64</v>
      </c>
      <c r="M338" s="70">
        <f t="shared" si="50"/>
        <v>0.44705414684884426</v>
      </c>
      <c r="N338" s="70">
        <f t="shared" si="51"/>
        <v>-0.19140868661492616</v>
      </c>
      <c r="O338" s="46"/>
      <c r="P338" s="89"/>
      <c r="Q338" s="89"/>
      <c r="R338" s="32">
        <f t="shared" si="52"/>
        <v>597.15660142901527</v>
      </c>
      <c r="S338" s="32">
        <f t="shared" si="52"/>
        <v>139120</v>
      </c>
      <c r="T338" s="32">
        <f t="shared" si="53"/>
        <v>245329.41999999998</v>
      </c>
      <c r="U338" s="46"/>
      <c r="V338" s="89"/>
      <c r="W338" s="89"/>
      <c r="X338" s="32">
        <f t="shared" si="54"/>
        <v>649.04524491333837</v>
      </c>
      <c r="Y338" s="32">
        <f t="shared" si="54"/>
        <v>155221</v>
      </c>
      <c r="Z338" s="32">
        <f t="shared" si="55"/>
        <v>275420.52</v>
      </c>
    </row>
    <row r="339" spans="5:26" x14ac:dyDescent="0.55000000000000004">
      <c r="E339">
        <v>5</v>
      </c>
      <c r="G339" s="32" t="str">
        <f t="shared" si="49"/>
        <v>Corning</v>
      </c>
      <c r="H339" s="86"/>
      <c r="I339" s="86"/>
      <c r="J339" s="45">
        <f t="shared" si="48"/>
        <v>935.57167713871434</v>
      </c>
      <c r="K339" s="32">
        <f t="shared" si="50"/>
        <v>243620</v>
      </c>
      <c r="L339" s="32">
        <f t="shared" si="50"/>
        <v>143519.56</v>
      </c>
      <c r="M339" s="70">
        <f t="shared" si="50"/>
        <v>9.0237351976691318E-2</v>
      </c>
      <c r="N339" s="70">
        <f t="shared" si="51"/>
        <v>-0.17972525169715142</v>
      </c>
      <c r="O339" s="46"/>
      <c r="P339" s="89"/>
      <c r="Q339" s="89"/>
      <c r="R339" s="32">
        <f t="shared" si="52"/>
        <v>941.93507014028057</v>
      </c>
      <c r="S339" s="32">
        <f t="shared" si="52"/>
        <v>223900</v>
      </c>
      <c r="T339" s="32">
        <f t="shared" si="53"/>
        <v>152120.47999999998</v>
      </c>
      <c r="U339" s="46"/>
      <c r="V339" s="89"/>
      <c r="W339" s="89"/>
      <c r="X339" s="32">
        <f t="shared" si="54"/>
        <v>858.13577698695133</v>
      </c>
      <c r="Y339" s="32">
        <f t="shared" si="54"/>
        <v>186739</v>
      </c>
      <c r="Z339" s="32">
        <f t="shared" si="55"/>
        <v>174965.22999999998</v>
      </c>
    </row>
    <row r="340" spans="5:26" x14ac:dyDescent="0.55000000000000004">
      <c r="E340">
        <v>6</v>
      </c>
      <c r="G340" s="32" t="str">
        <f t="shared" si="49"/>
        <v>Delwood</v>
      </c>
      <c r="H340" s="86"/>
      <c r="I340" s="86"/>
      <c r="J340" s="45">
        <f t="shared" si="48"/>
        <v>924.98321167883205</v>
      </c>
      <c r="K340" s="32">
        <f t="shared" si="50"/>
        <v>118809</v>
      </c>
      <c r="L340" s="32">
        <f t="shared" si="50"/>
        <v>71275.049999999988</v>
      </c>
      <c r="M340" s="70">
        <f t="shared" si="50"/>
        <v>3.1359397181413222E-2</v>
      </c>
      <c r="N340" s="70">
        <f t="shared" si="51"/>
        <v>-0.10337232408246527</v>
      </c>
      <c r="O340" s="46"/>
      <c r="P340" s="89"/>
      <c r="Q340" s="89"/>
      <c r="R340" s="32">
        <f t="shared" si="52"/>
        <v>935.18627848101266</v>
      </c>
      <c r="S340" s="32">
        <f t="shared" si="52"/>
        <v>109439</v>
      </c>
      <c r="T340" s="32">
        <f t="shared" si="53"/>
        <v>75260.290000000008</v>
      </c>
      <c r="U340" s="46"/>
      <c r="V340" s="89"/>
      <c r="W340" s="89"/>
      <c r="X340" s="32">
        <f t="shared" si="54"/>
        <v>896.85827676240206</v>
      </c>
      <c r="Y340" s="32">
        <f t="shared" si="54"/>
        <v>92256</v>
      </c>
      <c r="Z340" s="32">
        <f t="shared" si="55"/>
        <v>79492.359999999986</v>
      </c>
    </row>
    <row r="341" spans="5:26" x14ac:dyDescent="0.55000000000000004">
      <c r="E341">
        <v>7</v>
      </c>
      <c r="G341" s="32" t="str">
        <f t="shared" si="49"/>
        <v>Van Buren County</v>
      </c>
      <c r="H341" s="86"/>
      <c r="I341" s="86"/>
      <c r="J341" s="45">
        <f t="shared" si="48"/>
        <v>913.19367493995196</v>
      </c>
      <c r="K341" s="32">
        <f t="shared" si="50"/>
        <v>565906</v>
      </c>
      <c r="L341" s="32">
        <f t="shared" si="50"/>
        <v>346557.12</v>
      </c>
      <c r="M341" s="70">
        <f t="shared" si="50"/>
        <v>0.23824773053160445</v>
      </c>
      <c r="N341" s="70">
        <f t="shared" si="51"/>
        <v>-0.13950056700421573</v>
      </c>
      <c r="O341" s="46"/>
      <c r="P341" s="89"/>
      <c r="Q341" s="89"/>
      <c r="R341" s="32">
        <f t="shared" si="52"/>
        <v>713.41328522057336</v>
      </c>
      <c r="S341" s="32">
        <f t="shared" si="52"/>
        <v>326963</v>
      </c>
      <c r="T341" s="32">
        <f t="shared" si="53"/>
        <v>374892.99</v>
      </c>
      <c r="U341" s="46"/>
      <c r="V341" s="89"/>
      <c r="W341" s="89"/>
      <c r="X341" s="32">
        <f t="shared" si="54"/>
        <v>737.48867243867244</v>
      </c>
      <c r="Y341" s="32">
        <f t="shared" si="54"/>
        <v>312772</v>
      </c>
      <c r="Z341" s="32">
        <f t="shared" si="55"/>
        <v>402739.51</v>
      </c>
    </row>
    <row r="342" spans="5:26" x14ac:dyDescent="0.55000000000000004">
      <c r="E342">
        <v>8</v>
      </c>
      <c r="G342" s="32" t="str">
        <f t="shared" si="49"/>
        <v>Albert City-Truesdale</v>
      </c>
      <c r="H342" s="86"/>
      <c r="I342" s="86"/>
      <c r="J342" s="45">
        <f t="shared" si="48"/>
        <v>910.8084569732938</v>
      </c>
      <c r="K342" s="32">
        <f t="shared" si="50"/>
        <v>114037</v>
      </c>
      <c r="L342" s="32">
        <f t="shared" si="50"/>
        <v>70128.47</v>
      </c>
      <c r="M342" s="70">
        <f t="shared" si="50"/>
        <v>0.13408904712528433</v>
      </c>
      <c r="N342" s="70">
        <f t="shared" si="51"/>
        <v>-0.16859925420078153</v>
      </c>
      <c r="O342" s="46"/>
      <c r="P342" s="89"/>
      <c r="Q342" s="89"/>
      <c r="R342" s="32">
        <f t="shared" si="52"/>
        <v>856.35873015873028</v>
      </c>
      <c r="S342" s="32">
        <f t="shared" si="52"/>
        <v>101808</v>
      </c>
      <c r="T342" s="32">
        <f t="shared" si="53"/>
        <v>81624.040000000008</v>
      </c>
      <c r="U342" s="46"/>
      <c r="V342" s="89"/>
      <c r="W342" s="89"/>
      <c r="X342" s="32">
        <f t="shared" si="54"/>
        <v>803.11899606299221</v>
      </c>
      <c r="Y342" s="32">
        <f t="shared" si="54"/>
        <v>78844</v>
      </c>
      <c r="Z342" s="32">
        <f t="shared" si="55"/>
        <v>84349.78</v>
      </c>
    </row>
    <row r="343" spans="5:26" x14ac:dyDescent="0.55000000000000004">
      <c r="E343">
        <v>9</v>
      </c>
      <c r="G343" s="32" t="str">
        <f t="shared" si="49"/>
        <v>Villisca</v>
      </c>
      <c r="H343" s="86"/>
      <c r="I343" s="86"/>
      <c r="J343" s="45">
        <f t="shared" si="48"/>
        <v>885.40735973597361</v>
      </c>
      <c r="K343" s="32">
        <f t="shared" si="50"/>
        <v>163189</v>
      </c>
      <c r="L343" s="32">
        <f t="shared" si="50"/>
        <v>105089.43</v>
      </c>
      <c r="M343" s="70">
        <f t="shared" si="50"/>
        <v>0.13484875965166762</v>
      </c>
      <c r="N343" s="70">
        <f t="shared" si="51"/>
        <v>-0.16722826960364318</v>
      </c>
      <c r="O343" s="46"/>
      <c r="P343" s="89"/>
      <c r="Q343" s="89"/>
      <c r="R343" s="32">
        <f t="shared" si="52"/>
        <v>837.27724832214767</v>
      </c>
      <c r="S343" s="32">
        <f t="shared" si="52"/>
        <v>135951</v>
      </c>
      <c r="T343" s="32">
        <f t="shared" si="53"/>
        <v>113557.62</v>
      </c>
      <c r="U343" s="46"/>
      <c r="V343" s="89"/>
      <c r="W343" s="89"/>
      <c r="X343" s="32">
        <f t="shared" si="54"/>
        <v>780.19855263157888</v>
      </c>
      <c r="Y343" s="32">
        <f t="shared" si="54"/>
        <v>110988</v>
      </c>
      <c r="Z343" s="32">
        <f t="shared" si="55"/>
        <v>126192.35999999999</v>
      </c>
    </row>
    <row r="344" spans="5:26" x14ac:dyDescent="0.55000000000000004">
      <c r="E344">
        <v>10</v>
      </c>
      <c r="G344" s="32" t="str">
        <f t="shared" si="49"/>
        <v>Manson-Northwest Webster</v>
      </c>
      <c r="H344" s="86"/>
      <c r="I344" s="86"/>
      <c r="J344" s="45">
        <f t="shared" si="48"/>
        <v>880.30914224664207</v>
      </c>
      <c r="K344" s="32">
        <f t="shared" si="50"/>
        <v>349535</v>
      </c>
      <c r="L344" s="32">
        <f t="shared" si="50"/>
        <v>227243.54999999993</v>
      </c>
      <c r="M344" s="70">
        <f t="shared" si="50"/>
        <v>-5.0209824177889122E-3</v>
      </c>
      <c r="N344" s="70">
        <f t="shared" si="51"/>
        <v>-0.15649745531536802</v>
      </c>
      <c r="O344" s="46"/>
      <c r="P344" s="89"/>
      <c r="Q344" s="89"/>
      <c r="R344" s="32">
        <f t="shared" si="52"/>
        <v>838.11317629179325</v>
      </c>
      <c r="S344" s="32">
        <f t="shared" si="52"/>
        <v>300734</v>
      </c>
      <c r="T344" s="32">
        <f t="shared" si="53"/>
        <v>250744.46999999997</v>
      </c>
      <c r="U344" s="46"/>
      <c r="V344" s="89"/>
      <c r="W344" s="89"/>
      <c r="X344" s="32">
        <f t="shared" si="54"/>
        <v>884.75146379044691</v>
      </c>
      <c r="Y344" s="32">
        <f t="shared" si="54"/>
        <v>304799</v>
      </c>
      <c r="Z344" s="32">
        <f t="shared" si="55"/>
        <v>269404.70000000007</v>
      </c>
    </row>
    <row r="345" spans="5:26" x14ac:dyDescent="0.55000000000000004">
      <c r="E345">
        <v>11</v>
      </c>
      <c r="G345" s="32" t="str">
        <f t="shared" si="49"/>
        <v>Griswold</v>
      </c>
      <c r="H345" s="86"/>
      <c r="I345" s="86"/>
      <c r="J345" s="45">
        <f t="shared" si="48"/>
        <v>859.79716267339211</v>
      </c>
      <c r="K345" s="32">
        <f t="shared" si="50"/>
        <v>244070</v>
      </c>
      <c r="L345" s="32">
        <f t="shared" si="50"/>
        <v>165021.49</v>
      </c>
      <c r="M345" s="70">
        <f t="shared" si="50"/>
        <v>0.33058535840981551</v>
      </c>
      <c r="N345" s="70">
        <f t="shared" si="51"/>
        <v>-0.23046957626312475</v>
      </c>
      <c r="O345" s="46"/>
      <c r="P345" s="89"/>
      <c r="Q345" s="89"/>
      <c r="R345" s="32">
        <f t="shared" si="52"/>
        <v>704.21397102599724</v>
      </c>
      <c r="S345" s="32">
        <f t="shared" si="52"/>
        <v>162831</v>
      </c>
      <c r="T345" s="32">
        <f t="shared" si="53"/>
        <v>192022.41999999998</v>
      </c>
      <c r="U345" s="46"/>
      <c r="V345" s="89"/>
      <c r="W345" s="89"/>
      <c r="X345" s="32">
        <f t="shared" si="54"/>
        <v>646.17963608207515</v>
      </c>
      <c r="Y345" s="32">
        <f t="shared" si="54"/>
        <v>119372</v>
      </c>
      <c r="Z345" s="32">
        <f t="shared" si="55"/>
        <v>214444.40000000002</v>
      </c>
    </row>
    <row r="346" spans="5:26" x14ac:dyDescent="0.55000000000000004">
      <c r="E346">
        <v>12</v>
      </c>
      <c r="G346" s="32" t="str">
        <f t="shared" si="49"/>
        <v>Twin Rivers</v>
      </c>
      <c r="H346" s="86"/>
      <c r="I346" s="86"/>
      <c r="J346" s="45">
        <f t="shared" si="48"/>
        <v>848.9662222222222</v>
      </c>
      <c r="K346" s="32">
        <f t="shared" si="50"/>
        <v>67789</v>
      </c>
      <c r="L346" s="32">
        <f t="shared" si="50"/>
        <v>46821.440000000002</v>
      </c>
      <c r="M346" s="70">
        <f t="shared" si="50"/>
        <v>1.1346270718446418</v>
      </c>
      <c r="N346" s="70">
        <f t="shared" si="51"/>
        <v>-0.27328963685776503</v>
      </c>
      <c r="O346" s="46"/>
      <c r="P346" s="89"/>
      <c r="Q346" s="89"/>
      <c r="R346" s="32">
        <f t="shared" si="52"/>
        <v>522.59741258741258</v>
      </c>
      <c r="S346" s="32">
        <f t="shared" si="52"/>
        <v>20239</v>
      </c>
      <c r="T346" s="32">
        <f t="shared" si="53"/>
        <v>54492.429999999993</v>
      </c>
      <c r="U346" s="46"/>
      <c r="V346" s="89"/>
      <c r="W346" s="89"/>
      <c r="X346" s="32">
        <f t="shared" si="54"/>
        <v>397.71172839506175</v>
      </c>
      <c r="Y346" s="32">
        <f t="shared" si="54"/>
        <v>0</v>
      </c>
      <c r="Z346" s="32">
        <f t="shared" si="55"/>
        <v>64429.3</v>
      </c>
    </row>
    <row r="347" spans="5:26" x14ac:dyDescent="0.55000000000000004">
      <c r="E347">
        <v>13</v>
      </c>
      <c r="G347" s="32" t="str">
        <f t="shared" si="49"/>
        <v>Ruthven-Ayrshire</v>
      </c>
      <c r="H347" s="86"/>
      <c r="I347" s="86"/>
      <c r="J347" s="45">
        <f t="shared" si="48"/>
        <v>848.65119815668197</v>
      </c>
      <c r="K347" s="32">
        <f t="shared" si="50"/>
        <v>108895</v>
      </c>
      <c r="L347" s="32">
        <f t="shared" si="50"/>
        <v>75262.31</v>
      </c>
      <c r="M347" s="70">
        <f t="shared" si="50"/>
        <v>0.31826531274181574</v>
      </c>
      <c r="N347" s="70">
        <f t="shared" si="51"/>
        <v>-0.20826403489338183</v>
      </c>
      <c r="O347" s="46"/>
      <c r="P347" s="89"/>
      <c r="Q347" s="89"/>
      <c r="R347" s="32">
        <f t="shared" si="52"/>
        <v>707.54121621621618</v>
      </c>
      <c r="S347" s="32">
        <f t="shared" si="52"/>
        <v>72477</v>
      </c>
      <c r="T347" s="32">
        <f t="shared" si="53"/>
        <v>84597.15</v>
      </c>
      <c r="U347" s="46"/>
      <c r="V347" s="89"/>
      <c r="W347" s="89"/>
      <c r="X347" s="32">
        <f t="shared" si="54"/>
        <v>643.76358078602618</v>
      </c>
      <c r="Y347" s="32">
        <f t="shared" si="54"/>
        <v>52362</v>
      </c>
      <c r="Z347" s="32">
        <f t="shared" si="55"/>
        <v>95059.859999999986</v>
      </c>
    </row>
    <row r="348" spans="5:26" x14ac:dyDescent="0.55000000000000004">
      <c r="E348">
        <v>14</v>
      </c>
      <c r="G348" s="32" t="str">
        <f t="shared" si="49"/>
        <v>Cardinal</v>
      </c>
      <c r="H348" s="86"/>
      <c r="I348" s="86"/>
      <c r="J348" s="45">
        <f t="shared" si="48"/>
        <v>831.28490103345598</v>
      </c>
      <c r="K348" s="32">
        <f t="shared" si="50"/>
        <v>276571</v>
      </c>
      <c r="L348" s="32">
        <f t="shared" si="50"/>
        <v>198009.55</v>
      </c>
      <c r="M348" s="70">
        <f t="shared" si="50"/>
        <v>0.32812713631486534</v>
      </c>
      <c r="N348" s="70">
        <f t="shared" si="51"/>
        <v>-0.16004377572825151</v>
      </c>
      <c r="O348" s="46"/>
      <c r="P348" s="89"/>
      <c r="Q348" s="89"/>
      <c r="R348" s="32">
        <f t="shared" si="52"/>
        <v>889.21021439776882</v>
      </c>
      <c r="S348" s="32">
        <f t="shared" si="52"/>
        <v>291521</v>
      </c>
      <c r="T348" s="32">
        <f t="shared" si="53"/>
        <v>218618.90000000002</v>
      </c>
      <c r="U348" s="46"/>
      <c r="V348" s="89"/>
      <c r="W348" s="89"/>
      <c r="X348" s="32">
        <f t="shared" si="54"/>
        <v>625.90762458179256</v>
      </c>
      <c r="Y348" s="32">
        <f t="shared" si="54"/>
        <v>119715</v>
      </c>
      <c r="Z348" s="32">
        <f t="shared" si="55"/>
        <v>235737.94</v>
      </c>
    </row>
    <row r="349" spans="5:26" x14ac:dyDescent="0.55000000000000004">
      <c r="E349">
        <v>15</v>
      </c>
      <c r="G349" s="32" t="str">
        <f t="shared" si="49"/>
        <v>North Butler</v>
      </c>
      <c r="H349" s="86"/>
      <c r="I349" s="86"/>
      <c r="J349" s="45">
        <f t="shared" si="48"/>
        <v>828.96942321056281</v>
      </c>
      <c r="K349" s="32">
        <f t="shared" si="50"/>
        <v>277519</v>
      </c>
      <c r="L349" s="32">
        <f t="shared" si="50"/>
        <v>199635.8</v>
      </c>
      <c r="M349" s="70">
        <f t="shared" si="50"/>
        <v>1.0467189973750408</v>
      </c>
      <c r="N349" s="70">
        <f t="shared" si="51"/>
        <v>-0.16739996150540967</v>
      </c>
      <c r="O349" s="46"/>
      <c r="P349" s="89"/>
      <c r="Q349" s="89"/>
      <c r="R349" s="32">
        <f t="shared" si="52"/>
        <v>634.44730375426616</v>
      </c>
      <c r="S349" s="32">
        <f t="shared" si="52"/>
        <v>148482</v>
      </c>
      <c r="T349" s="32">
        <f t="shared" si="53"/>
        <v>223304.12</v>
      </c>
      <c r="U349" s="46"/>
      <c r="V349" s="89"/>
      <c r="W349" s="89"/>
      <c r="X349" s="32">
        <f t="shared" si="54"/>
        <v>405.02356418918919</v>
      </c>
      <c r="Y349" s="32">
        <f t="shared" si="54"/>
        <v>0</v>
      </c>
      <c r="Z349" s="32">
        <f t="shared" si="55"/>
        <v>239773.95</v>
      </c>
    </row>
    <row r="350" spans="5:26" x14ac:dyDescent="0.55000000000000004">
      <c r="E350">
        <v>16</v>
      </c>
      <c r="G350" s="32" t="str">
        <f t="shared" si="49"/>
        <v>Midland</v>
      </c>
      <c r="H350" s="86"/>
      <c r="I350" s="86"/>
      <c r="J350" s="45">
        <f t="shared" si="48"/>
        <v>795.91508870214761</v>
      </c>
      <c r="K350" s="32">
        <f t="shared" si="50"/>
        <v>240487</v>
      </c>
      <c r="L350" s="32">
        <f t="shared" si="50"/>
        <v>185725.53000000003</v>
      </c>
      <c r="M350" s="70">
        <f t="shared" si="50"/>
        <v>0.26395230758113641</v>
      </c>
      <c r="N350" s="70">
        <f t="shared" si="51"/>
        <v>-0.19078786559531302</v>
      </c>
      <c r="O350" s="46"/>
      <c r="P350" s="89"/>
      <c r="Q350" s="89"/>
      <c r="R350" s="32">
        <f t="shared" si="52"/>
        <v>711.04584189871048</v>
      </c>
      <c r="S350" s="32">
        <f t="shared" si="52"/>
        <v>176573</v>
      </c>
      <c r="T350" s="32">
        <f t="shared" si="53"/>
        <v>203907.63</v>
      </c>
      <c r="U350" s="46"/>
      <c r="V350" s="89"/>
      <c r="W350" s="89"/>
      <c r="X350" s="32">
        <f t="shared" si="54"/>
        <v>629.7034183396637</v>
      </c>
      <c r="Y350" s="32">
        <f t="shared" si="54"/>
        <v>118649</v>
      </c>
      <c r="Z350" s="32">
        <f t="shared" si="55"/>
        <v>229514.02000000002</v>
      </c>
    </row>
    <row r="351" spans="5:26" x14ac:dyDescent="0.55000000000000004">
      <c r="E351">
        <v>17</v>
      </c>
      <c r="G351" s="32" t="str">
        <f t="shared" si="49"/>
        <v>Westwood</v>
      </c>
      <c r="H351" s="86"/>
      <c r="I351" s="86"/>
      <c r="J351" s="45">
        <f t="shared" si="48"/>
        <v>790.64807453416154</v>
      </c>
      <c r="K351" s="32">
        <f t="shared" si="50"/>
        <v>250092</v>
      </c>
      <c r="L351" s="32">
        <f t="shared" si="50"/>
        <v>195438.19</v>
      </c>
      <c r="M351" s="70">
        <f t="shared" si="50"/>
        <v>9.7587170280349606E-2</v>
      </c>
      <c r="N351" s="70">
        <f t="shared" si="51"/>
        <v>-0.12973394120715884</v>
      </c>
      <c r="O351" s="46"/>
      <c r="P351" s="89"/>
      <c r="Q351" s="89"/>
      <c r="R351" s="32">
        <f t="shared" si="52"/>
        <v>741.97270676691721</v>
      </c>
      <c r="S351" s="32">
        <f t="shared" si="52"/>
        <v>192000</v>
      </c>
      <c r="T351" s="32">
        <f t="shared" si="53"/>
        <v>202729.47999999998</v>
      </c>
      <c r="U351" s="46"/>
      <c r="V351" s="89"/>
      <c r="W351" s="89"/>
      <c r="X351" s="32">
        <f t="shared" si="54"/>
        <v>720.35105360443617</v>
      </c>
      <c r="Y351" s="32">
        <f t="shared" si="54"/>
        <v>165137</v>
      </c>
      <c r="Z351" s="32">
        <f t="shared" si="55"/>
        <v>224572.91999999998</v>
      </c>
    </row>
    <row r="352" spans="5:26" x14ac:dyDescent="0.55000000000000004">
      <c r="E352">
        <v>18</v>
      </c>
      <c r="G352" s="32" t="str">
        <f t="shared" si="49"/>
        <v>Schleswig</v>
      </c>
      <c r="H352" s="86"/>
      <c r="I352" s="86"/>
      <c r="J352" s="45">
        <f t="shared" si="48"/>
        <v>786.1761923076923</v>
      </c>
      <c r="K352" s="32">
        <f t="shared" si="50"/>
        <v>114231</v>
      </c>
      <c r="L352" s="32">
        <f t="shared" si="50"/>
        <v>90174.81</v>
      </c>
      <c r="M352" s="70">
        <f t="shared" si="50"/>
        <v>0.25331130425777726</v>
      </c>
      <c r="N352" s="70">
        <f t="shared" si="51"/>
        <v>-0.2083361609714304</v>
      </c>
      <c r="O352" s="46"/>
      <c r="P352" s="89"/>
      <c r="Q352" s="89"/>
      <c r="R352" s="32">
        <f t="shared" si="52"/>
        <v>727.70793233082702</v>
      </c>
      <c r="S352" s="32">
        <f t="shared" si="52"/>
        <v>92207</v>
      </c>
      <c r="T352" s="32">
        <f t="shared" si="53"/>
        <v>101363.31</v>
      </c>
      <c r="U352" s="46"/>
      <c r="V352" s="89"/>
      <c r="W352" s="89"/>
      <c r="X352" s="32">
        <f t="shared" si="54"/>
        <v>627.27926384839657</v>
      </c>
      <c r="Y352" s="32">
        <f t="shared" si="54"/>
        <v>58220</v>
      </c>
      <c r="Z352" s="32">
        <f t="shared" si="55"/>
        <v>113905.43</v>
      </c>
    </row>
    <row r="353" spans="5:26" x14ac:dyDescent="0.55000000000000004">
      <c r="E353">
        <v>19</v>
      </c>
      <c r="G353" s="32" t="str">
        <f t="shared" si="49"/>
        <v>Eddyville-Blakesburg-Fremont</v>
      </c>
      <c r="H353" s="86"/>
      <c r="I353" s="86"/>
      <c r="J353" s="45">
        <f t="shared" si="48"/>
        <v>783.85959380610416</v>
      </c>
      <c r="K353" s="32">
        <f t="shared" si="50"/>
        <v>389480</v>
      </c>
      <c r="L353" s="32">
        <f t="shared" si="50"/>
        <v>309095.67000000004</v>
      </c>
      <c r="M353" s="70">
        <f t="shared" si="50"/>
        <v>0.22936946052212373</v>
      </c>
      <c r="N353" s="70">
        <f t="shared" si="51"/>
        <v>-0.16042947933920004</v>
      </c>
      <c r="O353" s="46"/>
      <c r="P353" s="89"/>
      <c r="Q353" s="89"/>
      <c r="R353" s="32">
        <f t="shared" si="52"/>
        <v>824.3001598355977</v>
      </c>
      <c r="S353" s="32">
        <f t="shared" si="52"/>
        <v>388227</v>
      </c>
      <c r="T353" s="32">
        <f t="shared" si="53"/>
        <v>333777.51</v>
      </c>
      <c r="U353" s="46"/>
      <c r="V353" s="89"/>
      <c r="W353" s="89"/>
      <c r="X353" s="32">
        <f t="shared" si="54"/>
        <v>637.6110835494419</v>
      </c>
      <c r="Y353" s="32">
        <f t="shared" si="54"/>
        <v>197338</v>
      </c>
      <c r="Z353" s="32">
        <f t="shared" si="55"/>
        <v>368159.27</v>
      </c>
    </row>
    <row r="354" spans="5:26" x14ac:dyDescent="0.55000000000000004">
      <c r="E354">
        <v>20</v>
      </c>
      <c r="G354" s="32" t="str">
        <f t="shared" si="49"/>
        <v>Paton-Churdan</v>
      </c>
      <c r="H354" s="86"/>
      <c r="I354" s="86"/>
      <c r="J354" s="45">
        <f t="shared" si="48"/>
        <v>782.48913556920184</v>
      </c>
      <c r="K354" s="32">
        <f t="shared" si="50"/>
        <v>92229</v>
      </c>
      <c r="L354" s="32">
        <f t="shared" si="50"/>
        <v>73423.950000000012</v>
      </c>
      <c r="M354" s="70">
        <f t="shared" si="50"/>
        <v>-9.5990706224549541E-2</v>
      </c>
      <c r="N354" s="70">
        <f t="shared" si="51"/>
        <v>-8.964843871079714E-2</v>
      </c>
      <c r="O354" s="46"/>
      <c r="P354" s="89"/>
      <c r="Q354" s="89"/>
      <c r="R354" s="32">
        <f t="shared" si="52"/>
        <v>833.89783965434469</v>
      </c>
      <c r="S354" s="32">
        <f t="shared" si="52"/>
        <v>94325</v>
      </c>
      <c r="T354" s="32">
        <f t="shared" si="53"/>
        <v>79375.920000000013</v>
      </c>
      <c r="U354" s="46"/>
      <c r="V354" s="89"/>
      <c r="W354" s="89"/>
      <c r="X354" s="32">
        <f t="shared" si="54"/>
        <v>865.57642820380852</v>
      </c>
      <c r="Y354" s="32">
        <f t="shared" si="54"/>
        <v>87527</v>
      </c>
      <c r="Z354" s="32">
        <f t="shared" si="55"/>
        <v>80654.5</v>
      </c>
    </row>
    <row r="355" spans="5:26" x14ac:dyDescent="0.55000000000000004">
      <c r="G355" s="48"/>
      <c r="J355" s="72"/>
      <c r="K355" s="48"/>
      <c r="L355" s="48"/>
      <c r="M355" s="48"/>
      <c r="N355" s="48"/>
      <c r="O355" s="48"/>
      <c r="R355" s="72"/>
      <c r="S355" s="48"/>
      <c r="T355" s="48"/>
      <c r="U355" s="48"/>
      <c r="X355" s="48"/>
      <c r="Y355" s="48"/>
    </row>
    <row r="356" spans="5:26" x14ac:dyDescent="0.55000000000000004">
      <c r="G356" s="48"/>
      <c r="J356" s="72"/>
      <c r="K356" s="48"/>
      <c r="L356" s="48"/>
      <c r="M356" s="48"/>
      <c r="N356" s="48"/>
      <c r="O356" s="48"/>
      <c r="R356" s="72"/>
      <c r="S356" s="48"/>
      <c r="T356" s="48"/>
      <c r="U356" s="48"/>
      <c r="X356" s="48"/>
      <c r="Y356" s="48"/>
    </row>
    <row r="357" spans="5:26" x14ac:dyDescent="0.55000000000000004">
      <c r="G357" s="48"/>
      <c r="J357" s="72"/>
      <c r="K357" s="48"/>
      <c r="L357" s="48"/>
      <c r="M357" s="48"/>
      <c r="N357" s="48"/>
      <c r="O357" s="48"/>
      <c r="R357" s="72"/>
      <c r="S357" s="48"/>
      <c r="T357" s="48"/>
      <c r="U357" s="48"/>
      <c r="X357" s="48"/>
      <c r="Y357" s="48"/>
    </row>
    <row r="358" spans="5:26" x14ac:dyDescent="0.55000000000000004">
      <c r="G358" s="26" t="str">
        <f>CONCATENATE("Highest FY ",$E$1," Payment")</f>
        <v>Highest FY 2021 Payment</v>
      </c>
      <c r="H358" s="92"/>
      <c r="I358" s="92"/>
      <c r="O358" s="48"/>
      <c r="R358" s="72"/>
      <c r="S358" s="48"/>
      <c r="T358" s="48"/>
      <c r="U358" s="48"/>
    </row>
    <row r="359" spans="5:26" x14ac:dyDescent="0.55000000000000004">
      <c r="E359">
        <v>1</v>
      </c>
      <c r="G359" s="32" t="str">
        <f>INDEX($G$4:$BY$330,MATCH($K359,$K$4:$K$330,0),MATCH(G$3,$G$3:$BY$3,0))</f>
        <v>Ames</v>
      </c>
      <c r="H359" s="86"/>
      <c r="I359" s="86"/>
      <c r="J359" s="32">
        <f>INDEX($G$4:$BY$330,MATCH($K359,$K$4:$K$330,0),MATCH(J$3,$G$3:$BY$3,0))</f>
        <v>541.85792268769671</v>
      </c>
      <c r="K359" s="45">
        <f>LARGE($K$4:$K$330,$E359)</f>
        <v>855668</v>
      </c>
      <c r="L359" s="32">
        <f>INDEX($G$4:$BY$330,MATCH($K359,$K$4:$K$330,0),MATCH(L$3,$G$3:$BY$3,0))</f>
        <v>1521679.4500000002</v>
      </c>
      <c r="M359" s="70">
        <f>INDEX($G$4:$BY$330,MATCH($K359,$K$4:$K$330,0),MATCH(M$3,$G$3:$BY$3,0))</f>
        <v>0.18817911162026826</v>
      </c>
      <c r="N359" s="70">
        <f>INDEX($G$4:$BY$330,MATCH($K359,$K$4:$K$330,0),MATCH(N$3,$G$3:$BY$3,0))</f>
        <v>-0.12470144852621068</v>
      </c>
      <c r="O359" s="46"/>
      <c r="P359" s="89"/>
      <c r="Q359" s="89"/>
      <c r="R359" s="32">
        <f>INDEX($G$4:$BY$330,MATCH($K359,$K$4:$K$330,0),MATCH(R$3,$G$3:$BY$3,0))</f>
        <v>470.44195311409828</v>
      </c>
      <c r="S359" s="32">
        <f>INDEX($G$4:$BY$330,MATCH($K359,$K$4:$K$330,0),MATCH(S$3,$G$3:$BY$3,0))</f>
        <v>384283</v>
      </c>
      <c r="T359" s="32">
        <f>INDEX($G$4:$BY$330,MATCH($K359,$K$4:$K$330,0),MATCH(T$3,$G$3:$BY$3,0))</f>
        <v>1638523.3099999998</v>
      </c>
      <c r="U359" s="46"/>
      <c r="V359" s="89"/>
      <c r="W359" s="89"/>
      <c r="X359" s="32">
        <f>INDEX($G$4:$BY$330,MATCH($K359,$K$4:$K$330,0),MATCH(X$3,$G$3:$BY$3,0))</f>
        <v>456.0406064947469</v>
      </c>
      <c r="Y359" s="32">
        <f>INDEX($G$4:$BY$330,MATCH($K359,$K$4:$K$330,0),MATCH(Y$3,$G$3:$BY$3,0))</f>
        <v>171429</v>
      </c>
      <c r="Z359" s="32">
        <f>INDEX($G$4:$BY$330,MATCH($K359,$K$4:$K$330,0),MATCH(Z$3,$G$3:$BY$3,0))</f>
        <v>1738469.06</v>
      </c>
    </row>
    <row r="360" spans="5:26" x14ac:dyDescent="0.55000000000000004">
      <c r="E360">
        <v>2</v>
      </c>
      <c r="G360" s="32" t="str">
        <f t="shared" ref="G360:G378" si="56">INDEX($G$4:$BY$330,MATCH($K360,$K$4:$K$330,0),MATCH(G$3,$G$3:$BY$3,0))</f>
        <v>Van Buren County</v>
      </c>
      <c r="H360" s="86"/>
      <c r="I360" s="86"/>
      <c r="J360" s="32">
        <f t="shared" ref="J360:J378" si="57">INDEX($G$4:$BY$330,MATCH($K360,$K$4:$K$330,0),MATCH(J$3,$G$3:$BY$3,0))</f>
        <v>913.19367493995196</v>
      </c>
      <c r="K360" s="45">
        <f t="shared" ref="K360:K378" si="58">LARGE($K$4:$K$330,$E360)</f>
        <v>565906</v>
      </c>
      <c r="L360" s="32">
        <f t="shared" ref="L360:L378" si="59">INDEX($G$4:$BY$330,MATCH($K360,$K$4:$K$330,0),MATCH(L$3,$G$3:$BY$3,0))</f>
        <v>346557.12</v>
      </c>
      <c r="M360" s="70">
        <f t="shared" ref="M360:N378" si="60">INDEX($G$4:$BY$330,MATCH($K360,$K$4:$K$330,0),MATCH(M$3,$G$3:$BY$3,0))</f>
        <v>0.23824773053160445</v>
      </c>
      <c r="N360" s="70">
        <f t="shared" si="60"/>
        <v>-0.13950056700421573</v>
      </c>
      <c r="O360" s="46"/>
      <c r="P360" s="89"/>
      <c r="Q360" s="89"/>
      <c r="R360" s="32">
        <f t="shared" ref="R360:S378" si="61">INDEX($G$4:$BY$330,MATCH($K360,$K$4:$K$330,0),MATCH(R$3,$G$3:$BY$3,0))</f>
        <v>713.41328522057336</v>
      </c>
      <c r="S360" s="32">
        <f t="shared" si="61"/>
        <v>326963</v>
      </c>
      <c r="T360" s="32">
        <f t="shared" ref="T360:T378" si="62">INDEX($G$4:$BY$330,MATCH($K360,$K$4:$K$330,0),MATCH(T$3,$G$3:$BY$3,0))</f>
        <v>374892.99</v>
      </c>
      <c r="U360" s="46"/>
      <c r="V360" s="89"/>
      <c r="W360" s="89"/>
      <c r="X360" s="32">
        <f t="shared" ref="X360:Y378" si="63">INDEX($G$4:$BY$330,MATCH($K360,$K$4:$K$330,0),MATCH(X$3,$G$3:$BY$3,0))</f>
        <v>737.48867243867244</v>
      </c>
      <c r="Y360" s="32">
        <f t="shared" si="63"/>
        <v>312772</v>
      </c>
      <c r="Z360" s="32">
        <f t="shared" ref="Z360:Z378" si="64">INDEX($G$4:$BY$330,MATCH($K360,$K$4:$K$330,0),MATCH(Z$3,$G$3:$BY$3,0))</f>
        <v>402739.51</v>
      </c>
    </row>
    <row r="361" spans="5:26" x14ac:dyDescent="0.55000000000000004">
      <c r="E361">
        <v>3</v>
      </c>
      <c r="G361" s="32" t="str">
        <f t="shared" si="56"/>
        <v>Waterloo</v>
      </c>
      <c r="H361" s="86"/>
      <c r="I361" s="86"/>
      <c r="J361" s="32">
        <f t="shared" si="57"/>
        <v>396.47209865770566</v>
      </c>
      <c r="K361" s="45">
        <f t="shared" si="58"/>
        <v>534736</v>
      </c>
      <c r="L361" s="32">
        <f t="shared" si="59"/>
        <v>3736299.33</v>
      </c>
      <c r="M361" s="70">
        <f t="shared" si="60"/>
        <v>8.8414361353617882E-2</v>
      </c>
      <c r="N361" s="70">
        <f t="shared" si="60"/>
        <v>-5.3033333759805838E-2</v>
      </c>
      <c r="O361" s="46"/>
      <c r="P361" s="89"/>
      <c r="Q361" s="89"/>
      <c r="R361" s="32">
        <f t="shared" si="61"/>
        <v>406.54836650601521</v>
      </c>
      <c r="S361" s="32">
        <f t="shared" si="61"/>
        <v>277052</v>
      </c>
      <c r="T361" s="32">
        <f t="shared" si="62"/>
        <v>4143104.46</v>
      </c>
      <c r="U361" s="46"/>
      <c r="V361" s="89"/>
      <c r="W361" s="89"/>
      <c r="X361" s="32">
        <f t="shared" si="63"/>
        <v>364.26577297696531</v>
      </c>
      <c r="Y361" s="32">
        <f t="shared" si="63"/>
        <v>0</v>
      </c>
      <c r="Z361" s="32">
        <f t="shared" si="64"/>
        <v>3945544.7199999997</v>
      </c>
    </row>
    <row r="362" spans="5:26" x14ac:dyDescent="0.55000000000000004">
      <c r="E362">
        <v>4</v>
      </c>
      <c r="G362" s="32" t="str">
        <f t="shared" si="56"/>
        <v>Western Dubuque Co</v>
      </c>
      <c r="H362" s="86"/>
      <c r="I362" s="86"/>
      <c r="J362" s="32">
        <f t="shared" si="57"/>
        <v>515.15314472534226</v>
      </c>
      <c r="K362" s="45">
        <f t="shared" si="58"/>
        <v>519987</v>
      </c>
      <c r="L362" s="32">
        <f t="shared" si="59"/>
        <v>1071475.6099999999</v>
      </c>
      <c r="M362" s="70">
        <f t="shared" si="60"/>
        <v>7.1134962470424459E-2</v>
      </c>
      <c r="N362" s="70">
        <f t="shared" si="60"/>
        <v>-0.1788781139850103</v>
      </c>
      <c r="O362" s="46"/>
      <c r="P362" s="89"/>
      <c r="Q362" s="89"/>
      <c r="R362" s="32">
        <f t="shared" si="61"/>
        <v>525.50509531502428</v>
      </c>
      <c r="S362" s="32">
        <f t="shared" si="61"/>
        <v>447049</v>
      </c>
      <c r="T362" s="32">
        <f t="shared" si="62"/>
        <v>1179389.27</v>
      </c>
      <c r="U362" s="46"/>
      <c r="V362" s="89"/>
      <c r="W362" s="89"/>
      <c r="X362" s="32">
        <f t="shared" si="63"/>
        <v>480.94139653252739</v>
      </c>
      <c r="Y362" s="32">
        <f t="shared" si="63"/>
        <v>206947</v>
      </c>
      <c r="Z362" s="32">
        <f t="shared" si="64"/>
        <v>1304892.2799999998</v>
      </c>
    </row>
    <row r="363" spans="5:26" x14ac:dyDescent="0.55000000000000004">
      <c r="E363">
        <v>5</v>
      </c>
      <c r="G363" s="32" t="str">
        <f t="shared" si="56"/>
        <v>Davis County</v>
      </c>
      <c r="H363" s="86"/>
      <c r="I363" s="86"/>
      <c r="J363" s="32">
        <f t="shared" si="57"/>
        <v>778.5697607904317</v>
      </c>
      <c r="K363" s="45">
        <f t="shared" si="58"/>
        <v>498139</v>
      </c>
      <c r="L363" s="32">
        <f t="shared" si="59"/>
        <v>400174.79000000004</v>
      </c>
      <c r="M363" s="70">
        <f t="shared" si="60"/>
        <v>0.12695032332228315</v>
      </c>
      <c r="N363" s="70">
        <f t="shared" si="60"/>
        <v>-0.1847626367969217</v>
      </c>
      <c r="O363" s="46"/>
      <c r="P363" s="89"/>
      <c r="Q363" s="89"/>
      <c r="R363" s="32">
        <f t="shared" si="61"/>
        <v>751.89775843881864</v>
      </c>
      <c r="S363" s="32">
        <f t="shared" si="61"/>
        <v>421859</v>
      </c>
      <c r="T363" s="32">
        <f t="shared" si="62"/>
        <v>433499.89</v>
      </c>
      <c r="U363" s="46"/>
      <c r="V363" s="89"/>
      <c r="W363" s="89"/>
      <c r="X363" s="32">
        <f t="shared" si="63"/>
        <v>690.86431289640598</v>
      </c>
      <c r="Y363" s="32">
        <f t="shared" si="63"/>
        <v>326078</v>
      </c>
      <c r="Z363" s="32">
        <f t="shared" si="64"/>
        <v>490869.05000000005</v>
      </c>
    </row>
    <row r="364" spans="5:26" x14ac:dyDescent="0.55000000000000004">
      <c r="E364">
        <v>6</v>
      </c>
      <c r="G364" s="32" t="str">
        <f t="shared" si="56"/>
        <v>College Community</v>
      </c>
      <c r="H364" s="86"/>
      <c r="I364" s="86"/>
      <c r="J364" s="32">
        <f t="shared" si="57"/>
        <v>437.46770371235107</v>
      </c>
      <c r="K364" s="45">
        <f t="shared" si="58"/>
        <v>465846</v>
      </c>
      <c r="L364" s="32">
        <f t="shared" si="59"/>
        <v>1782563.0099999998</v>
      </c>
      <c r="M364" s="70">
        <f t="shared" si="60"/>
        <v>0.10123587182655099</v>
      </c>
      <c r="N364" s="70">
        <f t="shared" si="60"/>
        <v>-0.11783127586608542</v>
      </c>
      <c r="O364" s="46"/>
      <c r="P364" s="89"/>
      <c r="Q364" s="89"/>
      <c r="R364" s="32">
        <f t="shared" si="61"/>
        <v>436.65502934511011</v>
      </c>
      <c r="S364" s="32">
        <f t="shared" si="61"/>
        <v>287006</v>
      </c>
      <c r="T364" s="32">
        <f t="shared" si="62"/>
        <v>1967312.92</v>
      </c>
      <c r="U364" s="46"/>
      <c r="V364" s="89"/>
      <c r="W364" s="89"/>
      <c r="X364" s="32">
        <f t="shared" si="63"/>
        <v>397.25159241929776</v>
      </c>
      <c r="Y364" s="32">
        <f t="shared" si="63"/>
        <v>0</v>
      </c>
      <c r="Z364" s="32">
        <f t="shared" si="64"/>
        <v>2020659.9500000002</v>
      </c>
    </row>
    <row r="365" spans="5:26" x14ac:dyDescent="0.55000000000000004">
      <c r="E365">
        <v>7</v>
      </c>
      <c r="G365" s="32" t="str">
        <f t="shared" si="56"/>
        <v>Central Decatur</v>
      </c>
      <c r="H365" s="86"/>
      <c r="I365" s="86"/>
      <c r="J365" s="32">
        <f t="shared" si="57"/>
        <v>1096.1903639909003</v>
      </c>
      <c r="K365" s="45">
        <f t="shared" si="58"/>
        <v>461156</v>
      </c>
      <c r="L365" s="32">
        <f t="shared" si="59"/>
        <v>213439.55000000005</v>
      </c>
      <c r="M365" s="70">
        <f t="shared" si="60"/>
        <v>0.31542116842011658</v>
      </c>
      <c r="N365" s="70">
        <f t="shared" si="60"/>
        <v>-0.20992304543918167</v>
      </c>
      <c r="O365" s="46"/>
      <c r="P365" s="89"/>
      <c r="Q365" s="89"/>
      <c r="R365" s="32">
        <f t="shared" si="61"/>
        <v>867.82523106859094</v>
      </c>
      <c r="S365" s="32">
        <f t="shared" si="61"/>
        <v>300186</v>
      </c>
      <c r="T365" s="32">
        <f t="shared" si="62"/>
        <v>235001.82000000007</v>
      </c>
      <c r="U365" s="46"/>
      <c r="V365" s="89"/>
      <c r="W365" s="89"/>
      <c r="X365" s="32">
        <f t="shared" si="63"/>
        <v>833.33793792255688</v>
      </c>
      <c r="Y365" s="32">
        <f t="shared" si="63"/>
        <v>272186</v>
      </c>
      <c r="Z365" s="32">
        <f t="shared" si="64"/>
        <v>270150.32999999996</v>
      </c>
    </row>
    <row r="366" spans="5:26" x14ac:dyDescent="0.55000000000000004">
      <c r="E366">
        <v>8</v>
      </c>
      <c r="G366" s="32" t="str">
        <f t="shared" si="56"/>
        <v>Eddyville-Blakesburg-Fremont</v>
      </c>
      <c r="H366" s="86"/>
      <c r="I366" s="86"/>
      <c r="J366" s="32">
        <f t="shared" si="57"/>
        <v>783.85959380610416</v>
      </c>
      <c r="K366" s="45">
        <f t="shared" si="58"/>
        <v>389480</v>
      </c>
      <c r="L366" s="32">
        <f t="shared" si="59"/>
        <v>309095.67000000004</v>
      </c>
      <c r="M366" s="70">
        <f t="shared" si="60"/>
        <v>0.22936946052212373</v>
      </c>
      <c r="N366" s="70">
        <f t="shared" si="60"/>
        <v>-0.16042947933920004</v>
      </c>
      <c r="O366" s="46"/>
      <c r="P366" s="89"/>
      <c r="Q366" s="89"/>
      <c r="R366" s="32">
        <f t="shared" si="61"/>
        <v>824.3001598355977</v>
      </c>
      <c r="S366" s="32">
        <f t="shared" si="61"/>
        <v>388227</v>
      </c>
      <c r="T366" s="32">
        <f t="shared" si="62"/>
        <v>333777.51</v>
      </c>
      <c r="U366" s="46"/>
      <c r="V366" s="89"/>
      <c r="W366" s="89"/>
      <c r="X366" s="32">
        <f t="shared" si="63"/>
        <v>637.6110835494419</v>
      </c>
      <c r="Y366" s="32">
        <f t="shared" si="63"/>
        <v>197338</v>
      </c>
      <c r="Z366" s="32">
        <f t="shared" si="64"/>
        <v>368159.27</v>
      </c>
    </row>
    <row r="367" spans="5:26" x14ac:dyDescent="0.55000000000000004">
      <c r="E367">
        <v>9</v>
      </c>
      <c r="G367" s="32" t="str">
        <f t="shared" si="56"/>
        <v>Nodaway Valley</v>
      </c>
      <c r="H367" s="86"/>
      <c r="I367" s="86"/>
      <c r="J367" s="32">
        <f t="shared" si="57"/>
        <v>939.20361314437002</v>
      </c>
      <c r="K367" s="45">
        <f t="shared" si="58"/>
        <v>380360</v>
      </c>
      <c r="L367" s="32">
        <f t="shared" si="59"/>
        <v>222702.64</v>
      </c>
      <c r="M367" s="70">
        <f t="shared" si="60"/>
        <v>0.44705414684884426</v>
      </c>
      <c r="N367" s="70">
        <f t="shared" si="60"/>
        <v>-0.19140868661492616</v>
      </c>
      <c r="O367" s="46"/>
      <c r="P367" s="89"/>
      <c r="Q367" s="89"/>
      <c r="R367" s="32">
        <f t="shared" si="61"/>
        <v>597.15660142901527</v>
      </c>
      <c r="S367" s="32">
        <f t="shared" si="61"/>
        <v>139120</v>
      </c>
      <c r="T367" s="32">
        <f t="shared" si="62"/>
        <v>245329.41999999998</v>
      </c>
      <c r="U367" s="46"/>
      <c r="V367" s="89"/>
      <c r="W367" s="89"/>
      <c r="X367" s="32">
        <f t="shared" si="63"/>
        <v>649.04524491333837</v>
      </c>
      <c r="Y367" s="32">
        <f t="shared" si="63"/>
        <v>155221</v>
      </c>
      <c r="Z367" s="32">
        <f t="shared" si="64"/>
        <v>275420.52</v>
      </c>
    </row>
    <row r="368" spans="5:26" x14ac:dyDescent="0.55000000000000004">
      <c r="E368">
        <v>10</v>
      </c>
      <c r="G368" s="32" t="str">
        <f t="shared" si="56"/>
        <v>Johnston</v>
      </c>
      <c r="H368" s="86"/>
      <c r="I368" s="86"/>
      <c r="J368" s="32">
        <f t="shared" si="57"/>
        <v>399.19923486737702</v>
      </c>
      <c r="K368" s="45">
        <f t="shared" si="58"/>
        <v>369596</v>
      </c>
      <c r="L368" s="32">
        <f t="shared" si="59"/>
        <v>2447792.52</v>
      </c>
      <c r="M368" s="70">
        <f t="shared" si="60"/>
        <v>0.10814807314865736</v>
      </c>
      <c r="N368" s="70">
        <f t="shared" si="60"/>
        <v>-1.4404253264108338E-2</v>
      </c>
      <c r="O368" s="46"/>
      <c r="P368" s="89"/>
      <c r="Q368" s="89"/>
      <c r="R368" s="32">
        <f t="shared" si="61"/>
        <v>374.5020539715299</v>
      </c>
      <c r="S368" s="32">
        <f t="shared" si="61"/>
        <v>0</v>
      </c>
      <c r="T368" s="32">
        <f t="shared" si="62"/>
        <v>2649264.98</v>
      </c>
      <c r="U368" s="46"/>
      <c r="V368" s="89"/>
      <c r="W368" s="89"/>
      <c r="X368" s="32">
        <f t="shared" si="63"/>
        <v>360.23997563169041</v>
      </c>
      <c r="Y368" s="32">
        <f t="shared" si="63"/>
        <v>0</v>
      </c>
      <c r="Z368" s="32">
        <f t="shared" si="64"/>
        <v>2483566.44</v>
      </c>
    </row>
    <row r="369" spans="5:26" x14ac:dyDescent="0.55000000000000004">
      <c r="E369">
        <v>11</v>
      </c>
      <c r="G369" s="32" t="str">
        <f t="shared" si="56"/>
        <v>Decorah</v>
      </c>
      <c r="H369" s="86"/>
      <c r="I369" s="86"/>
      <c r="J369" s="32">
        <f t="shared" si="57"/>
        <v>563.27094690211038</v>
      </c>
      <c r="K369" s="45">
        <f t="shared" si="58"/>
        <v>351781</v>
      </c>
      <c r="L369" s="32">
        <f t="shared" si="59"/>
        <v>563703.27</v>
      </c>
      <c r="M369" s="70">
        <f t="shared" si="60"/>
        <v>-9.0885890101268893E-2</v>
      </c>
      <c r="N369" s="70">
        <f t="shared" si="60"/>
        <v>-0.16784803413689878</v>
      </c>
      <c r="O369" s="46"/>
      <c r="P369" s="89"/>
      <c r="Q369" s="89"/>
      <c r="R369" s="32">
        <f t="shared" si="61"/>
        <v>562.4139526389481</v>
      </c>
      <c r="S369" s="32">
        <f t="shared" si="61"/>
        <v>297896</v>
      </c>
      <c r="T369" s="32">
        <f t="shared" si="62"/>
        <v>625981.4</v>
      </c>
      <c r="U369" s="46"/>
      <c r="V369" s="89"/>
      <c r="W369" s="89"/>
      <c r="X369" s="32">
        <f t="shared" si="63"/>
        <v>619.58222930326622</v>
      </c>
      <c r="Y369" s="32">
        <f t="shared" si="63"/>
        <v>333692</v>
      </c>
      <c r="Z369" s="32">
        <f t="shared" si="64"/>
        <v>677404.24</v>
      </c>
    </row>
    <row r="370" spans="5:26" x14ac:dyDescent="0.55000000000000004">
      <c r="E370">
        <v>12</v>
      </c>
      <c r="G370" s="32" t="str">
        <f t="shared" si="56"/>
        <v>Manson-Northwest Webster</v>
      </c>
      <c r="H370" s="86"/>
      <c r="I370" s="86"/>
      <c r="J370" s="32">
        <f t="shared" si="57"/>
        <v>880.30914224664207</v>
      </c>
      <c r="K370" s="45">
        <f t="shared" si="58"/>
        <v>349535</v>
      </c>
      <c r="L370" s="32">
        <f t="shared" si="59"/>
        <v>227243.54999999993</v>
      </c>
      <c r="M370" s="70">
        <f t="shared" si="60"/>
        <v>-5.0209824177889122E-3</v>
      </c>
      <c r="N370" s="70">
        <f t="shared" si="60"/>
        <v>-0.15649745531536802</v>
      </c>
      <c r="O370" s="46"/>
      <c r="P370" s="89"/>
      <c r="Q370" s="89"/>
      <c r="R370" s="32">
        <f t="shared" si="61"/>
        <v>838.11317629179325</v>
      </c>
      <c r="S370" s="32">
        <f t="shared" si="61"/>
        <v>300734</v>
      </c>
      <c r="T370" s="32">
        <f t="shared" si="62"/>
        <v>250744.46999999997</v>
      </c>
      <c r="U370" s="46"/>
      <c r="V370" s="89"/>
      <c r="W370" s="89"/>
      <c r="X370" s="32">
        <f t="shared" si="63"/>
        <v>884.75146379044691</v>
      </c>
      <c r="Y370" s="32">
        <f t="shared" si="63"/>
        <v>304799</v>
      </c>
      <c r="Z370" s="32">
        <f t="shared" si="64"/>
        <v>269404.70000000007</v>
      </c>
    </row>
    <row r="371" spans="5:26" x14ac:dyDescent="0.55000000000000004">
      <c r="E371">
        <v>13</v>
      </c>
      <c r="G371" s="32" t="str">
        <f t="shared" si="56"/>
        <v>Benton</v>
      </c>
      <c r="H371" s="86"/>
      <c r="I371" s="86"/>
      <c r="J371" s="32">
        <f t="shared" si="57"/>
        <v>576.87085413754085</v>
      </c>
      <c r="K371" s="45">
        <f t="shared" si="58"/>
        <v>345541</v>
      </c>
      <c r="L371" s="32">
        <f t="shared" si="59"/>
        <v>520976.71000000008</v>
      </c>
      <c r="M371" s="70">
        <f t="shared" si="60"/>
        <v>0.14213822330654413</v>
      </c>
      <c r="N371" s="70">
        <f t="shared" si="60"/>
        <v>-0.17147833447804831</v>
      </c>
      <c r="O371" s="46"/>
      <c r="P371" s="89"/>
      <c r="Q371" s="89"/>
      <c r="R371" s="32">
        <f t="shared" si="61"/>
        <v>533.3506423622789</v>
      </c>
      <c r="S371" s="32">
        <f t="shared" si="61"/>
        <v>226398</v>
      </c>
      <c r="T371" s="32">
        <f t="shared" si="62"/>
        <v>566534.40000000002</v>
      </c>
      <c r="U371" s="46"/>
      <c r="V371" s="89"/>
      <c r="W371" s="89"/>
      <c r="X371" s="32">
        <f t="shared" si="63"/>
        <v>505.0797200950621</v>
      </c>
      <c r="Y371" s="32">
        <f t="shared" si="63"/>
        <v>136292</v>
      </c>
      <c r="Z371" s="32">
        <f t="shared" si="64"/>
        <v>628802.76</v>
      </c>
    </row>
    <row r="372" spans="5:26" x14ac:dyDescent="0.55000000000000004">
      <c r="E372">
        <v>14</v>
      </c>
      <c r="G372" s="32" t="str">
        <f t="shared" si="56"/>
        <v>Allamakee</v>
      </c>
      <c r="H372" s="86"/>
      <c r="I372" s="86"/>
      <c r="J372" s="32">
        <f t="shared" si="57"/>
        <v>656.06976105465526</v>
      </c>
      <c r="K372" s="45">
        <f t="shared" si="58"/>
        <v>337781</v>
      </c>
      <c r="L372" s="32">
        <f t="shared" si="59"/>
        <v>378844</v>
      </c>
      <c r="M372" s="70">
        <f t="shared" si="60"/>
        <v>6.2881288123106213E-2</v>
      </c>
      <c r="N372" s="70">
        <f t="shared" si="60"/>
        <v>-0.17279799695381332</v>
      </c>
      <c r="O372" s="46"/>
      <c r="P372" s="89"/>
      <c r="Q372" s="89"/>
      <c r="R372" s="32">
        <f t="shared" si="61"/>
        <v>677.31562328390987</v>
      </c>
      <c r="S372" s="32">
        <f t="shared" si="61"/>
        <v>323685</v>
      </c>
      <c r="T372" s="32">
        <f t="shared" si="62"/>
        <v>416350.05000000005</v>
      </c>
      <c r="U372" s="46"/>
      <c r="V372" s="89"/>
      <c r="W372" s="89"/>
      <c r="X372" s="32">
        <f t="shared" si="63"/>
        <v>617.25591407595391</v>
      </c>
      <c r="Y372" s="32">
        <f t="shared" si="63"/>
        <v>223036</v>
      </c>
      <c r="Z372" s="32">
        <f t="shared" si="64"/>
        <v>457982.44999999995</v>
      </c>
    </row>
    <row r="373" spans="5:26" x14ac:dyDescent="0.55000000000000004">
      <c r="E373">
        <v>15</v>
      </c>
      <c r="G373" s="32" t="str">
        <f t="shared" si="56"/>
        <v>Clarion-Goldfield-Dows</v>
      </c>
      <c r="H373" s="86"/>
      <c r="I373" s="86"/>
      <c r="J373" s="32">
        <f t="shared" si="57"/>
        <v>701.64291777188339</v>
      </c>
      <c r="K373" s="45">
        <f t="shared" si="58"/>
        <v>334408</v>
      </c>
      <c r="L373" s="32">
        <f t="shared" si="59"/>
        <v>326890.45000000007</v>
      </c>
      <c r="M373" s="70">
        <f t="shared" si="60"/>
        <v>1.4683643564156919E-2</v>
      </c>
      <c r="N373" s="70">
        <f t="shared" si="60"/>
        <v>-0.18538621920294884</v>
      </c>
      <c r="O373" s="46"/>
      <c r="P373" s="89"/>
      <c r="Q373" s="89"/>
      <c r="R373" s="32">
        <f t="shared" si="61"/>
        <v>660.74832556167871</v>
      </c>
      <c r="S373" s="32">
        <f t="shared" si="61"/>
        <v>263908</v>
      </c>
      <c r="T373" s="32">
        <f t="shared" si="62"/>
        <v>359574.12</v>
      </c>
      <c r="U373" s="46"/>
      <c r="V373" s="89"/>
      <c r="W373" s="89"/>
      <c r="X373" s="32">
        <f t="shared" si="63"/>
        <v>691.48933485052237</v>
      </c>
      <c r="Y373" s="32">
        <f t="shared" si="63"/>
        <v>267180</v>
      </c>
      <c r="Z373" s="32">
        <f t="shared" si="64"/>
        <v>401282.74</v>
      </c>
    </row>
    <row r="374" spans="5:26" x14ac:dyDescent="0.55000000000000004">
      <c r="E374">
        <v>16</v>
      </c>
      <c r="G374" s="32" t="str">
        <f t="shared" si="56"/>
        <v>Cedar Rapids</v>
      </c>
      <c r="H374" s="86"/>
      <c r="I374" s="86"/>
      <c r="J374" s="32">
        <f t="shared" si="57"/>
        <v>364.3114283016306</v>
      </c>
      <c r="K374" s="45">
        <f t="shared" si="58"/>
        <v>296155</v>
      </c>
      <c r="L374" s="32">
        <f t="shared" si="59"/>
        <v>5876701.4099999992</v>
      </c>
      <c r="M374" s="70">
        <f t="shared" si="60"/>
        <v>0.65002000446582608</v>
      </c>
      <c r="N374" s="70">
        <f t="shared" si="60"/>
        <v>0.55881441835112677</v>
      </c>
      <c r="O374" s="46"/>
      <c r="P374" s="89"/>
      <c r="Q374" s="89"/>
      <c r="R374" s="32">
        <f t="shared" si="61"/>
        <v>274.04791462045739</v>
      </c>
      <c r="S374" s="32">
        <f t="shared" si="61"/>
        <v>0</v>
      </c>
      <c r="T374" s="32">
        <f t="shared" si="62"/>
        <v>4687534.7700000005</v>
      </c>
      <c r="U374" s="46"/>
      <c r="V374" s="89"/>
      <c r="W374" s="89"/>
      <c r="X374" s="32">
        <f t="shared" si="63"/>
        <v>220.79212816548366</v>
      </c>
      <c r="Y374" s="32">
        <f t="shared" si="63"/>
        <v>0</v>
      </c>
      <c r="Z374" s="32">
        <f t="shared" si="64"/>
        <v>3769981.43</v>
      </c>
    </row>
    <row r="375" spans="5:26" x14ac:dyDescent="0.55000000000000004">
      <c r="E375">
        <v>17</v>
      </c>
      <c r="G375" s="32" t="str">
        <f t="shared" si="56"/>
        <v>Howard-Winneshiek</v>
      </c>
      <c r="H375" s="86"/>
      <c r="I375" s="86"/>
      <c r="J375" s="32">
        <f t="shared" si="57"/>
        <v>592.62487604718763</v>
      </c>
      <c r="K375" s="45">
        <f t="shared" si="58"/>
        <v>287524</v>
      </c>
      <c r="L375" s="32">
        <f t="shared" si="59"/>
        <v>405728.58000000007</v>
      </c>
      <c r="M375" s="70">
        <f t="shared" si="60"/>
        <v>8.4369928954661222E-2</v>
      </c>
      <c r="N375" s="70">
        <f t="shared" si="60"/>
        <v>-0.18097916621962137</v>
      </c>
      <c r="O375" s="46"/>
      <c r="P375" s="89"/>
      <c r="Q375" s="89"/>
      <c r="R375" s="32">
        <f t="shared" si="61"/>
        <v>667.20763721090771</v>
      </c>
      <c r="S375" s="32">
        <f t="shared" si="61"/>
        <v>331582</v>
      </c>
      <c r="T375" s="32">
        <f t="shared" si="62"/>
        <v>441578.20999999996</v>
      </c>
      <c r="U375" s="46"/>
      <c r="V375" s="89"/>
      <c r="W375" s="89"/>
      <c r="X375" s="32">
        <f t="shared" si="63"/>
        <v>546.51540975364503</v>
      </c>
      <c r="Y375" s="32">
        <f t="shared" si="63"/>
        <v>156829</v>
      </c>
      <c r="Z375" s="32">
        <f t="shared" si="64"/>
        <v>495382.49</v>
      </c>
    </row>
    <row r="376" spans="5:26" x14ac:dyDescent="0.55000000000000004">
      <c r="E376">
        <v>18</v>
      </c>
      <c r="G376" s="32" t="str">
        <f t="shared" si="56"/>
        <v>North Butler</v>
      </c>
      <c r="H376" s="86"/>
      <c r="I376" s="86"/>
      <c r="J376" s="32">
        <f t="shared" si="57"/>
        <v>828.96942321056281</v>
      </c>
      <c r="K376" s="45">
        <f t="shared" si="58"/>
        <v>277519</v>
      </c>
      <c r="L376" s="32">
        <f t="shared" si="59"/>
        <v>199635.8</v>
      </c>
      <c r="M376" s="70">
        <f t="shared" si="60"/>
        <v>1.0467189973750408</v>
      </c>
      <c r="N376" s="70">
        <f t="shared" si="60"/>
        <v>-0.16739996150540967</v>
      </c>
      <c r="O376" s="46"/>
      <c r="P376" s="89"/>
      <c r="Q376" s="89"/>
      <c r="R376" s="32">
        <f t="shared" si="61"/>
        <v>634.44730375426616</v>
      </c>
      <c r="S376" s="32">
        <f t="shared" si="61"/>
        <v>148482</v>
      </c>
      <c r="T376" s="32">
        <f t="shared" si="62"/>
        <v>223304.12</v>
      </c>
      <c r="U376" s="46"/>
      <c r="V376" s="89"/>
      <c r="W376" s="89"/>
      <c r="X376" s="32">
        <f t="shared" si="63"/>
        <v>405.02356418918919</v>
      </c>
      <c r="Y376" s="32">
        <f t="shared" si="63"/>
        <v>0</v>
      </c>
      <c r="Z376" s="32">
        <f t="shared" si="64"/>
        <v>239773.95</v>
      </c>
    </row>
    <row r="377" spans="5:26" x14ac:dyDescent="0.55000000000000004">
      <c r="E377">
        <v>19</v>
      </c>
      <c r="G377" s="32" t="str">
        <f t="shared" si="56"/>
        <v>Cardinal</v>
      </c>
      <c r="H377" s="86"/>
      <c r="I377" s="86"/>
      <c r="J377" s="32">
        <f t="shared" si="57"/>
        <v>831.28490103345598</v>
      </c>
      <c r="K377" s="45">
        <f t="shared" si="58"/>
        <v>276571</v>
      </c>
      <c r="L377" s="32">
        <f t="shared" si="59"/>
        <v>198009.55</v>
      </c>
      <c r="M377" s="70">
        <f t="shared" si="60"/>
        <v>0.32812713631486534</v>
      </c>
      <c r="N377" s="70">
        <f t="shared" si="60"/>
        <v>-0.16004377572825151</v>
      </c>
      <c r="O377" s="46"/>
      <c r="P377" s="89"/>
      <c r="Q377" s="89"/>
      <c r="R377" s="32">
        <f t="shared" si="61"/>
        <v>889.21021439776882</v>
      </c>
      <c r="S377" s="32">
        <f t="shared" si="61"/>
        <v>291521</v>
      </c>
      <c r="T377" s="32">
        <f t="shared" si="62"/>
        <v>218618.90000000002</v>
      </c>
      <c r="U377" s="46"/>
      <c r="V377" s="89"/>
      <c r="W377" s="89"/>
      <c r="X377" s="32">
        <f t="shared" si="63"/>
        <v>625.90762458179256</v>
      </c>
      <c r="Y377" s="32">
        <f t="shared" si="63"/>
        <v>119715</v>
      </c>
      <c r="Z377" s="32">
        <f t="shared" si="64"/>
        <v>235737.94</v>
      </c>
    </row>
    <row r="378" spans="5:26" x14ac:dyDescent="0.55000000000000004">
      <c r="E378">
        <v>20</v>
      </c>
      <c r="G378" s="32" t="str">
        <f t="shared" si="56"/>
        <v>Maple Valley-Anthon Oto</v>
      </c>
      <c r="H378" s="86"/>
      <c r="I378" s="86"/>
      <c r="J378" s="32">
        <f t="shared" si="57"/>
        <v>778.45534376018259</v>
      </c>
      <c r="K378" s="45">
        <f t="shared" si="58"/>
        <v>264933</v>
      </c>
      <c r="L378" s="32">
        <f t="shared" si="59"/>
        <v>212882.89</v>
      </c>
      <c r="M378" s="70">
        <f t="shared" si="60"/>
        <v>0.53334662108630182</v>
      </c>
      <c r="N378" s="70">
        <f t="shared" si="60"/>
        <v>-0.24516685351677325</v>
      </c>
      <c r="O378" s="46"/>
      <c r="P378" s="89"/>
      <c r="Q378" s="89"/>
      <c r="R378" s="32">
        <f t="shared" si="61"/>
        <v>565.09540177207452</v>
      </c>
      <c r="S378" s="32">
        <f t="shared" si="61"/>
        <v>120467</v>
      </c>
      <c r="T378" s="32">
        <f t="shared" si="62"/>
        <v>249444.45</v>
      </c>
      <c r="U378" s="46"/>
      <c r="V378" s="89"/>
      <c r="W378" s="89"/>
      <c r="X378" s="32">
        <f t="shared" si="63"/>
        <v>507.68386811892844</v>
      </c>
      <c r="Y378" s="32">
        <f t="shared" si="63"/>
        <v>62894</v>
      </c>
      <c r="Z378" s="32">
        <f t="shared" si="64"/>
        <v>282026.42</v>
      </c>
    </row>
    <row r="379" spans="5:26" x14ac:dyDescent="0.55000000000000004">
      <c r="G379" s="48"/>
      <c r="J379" s="72"/>
      <c r="K379" s="48"/>
      <c r="L379" s="48"/>
      <c r="M379" s="48"/>
      <c r="N379" s="48"/>
      <c r="O379" s="48"/>
      <c r="R379" s="72"/>
      <c r="S379" s="48"/>
      <c r="T379" s="48"/>
      <c r="U379" s="48"/>
      <c r="X379" s="48"/>
      <c r="Y379" s="48"/>
    </row>
    <row r="380" spans="5:26" x14ac:dyDescent="0.55000000000000004">
      <c r="G380" s="48"/>
      <c r="J380" s="72"/>
      <c r="K380" s="48"/>
      <c r="L380" s="48"/>
      <c r="M380" s="48"/>
      <c r="N380" s="48"/>
      <c r="O380" s="48"/>
      <c r="R380" s="72"/>
      <c r="S380" s="48"/>
      <c r="T380" s="48"/>
      <c r="U380" s="48"/>
      <c r="X380" s="48"/>
      <c r="Y380" s="48"/>
    </row>
    <row r="381" spans="5:26" x14ac:dyDescent="0.55000000000000004">
      <c r="G381" s="48"/>
      <c r="J381" s="72"/>
      <c r="K381" s="48"/>
      <c r="L381" s="48"/>
      <c r="M381" s="48"/>
      <c r="N381" s="48"/>
      <c r="O381" s="48"/>
      <c r="R381" s="72"/>
      <c r="S381" s="48"/>
      <c r="T381" s="48"/>
      <c r="U381" s="48"/>
      <c r="X381" s="48"/>
      <c r="Y381" s="48"/>
    </row>
    <row r="382" spans="5:26" x14ac:dyDescent="0.55000000000000004">
      <c r="G382" s="47" t="str">
        <f>CONCATENATE("Highest ",M3)</f>
        <v>Highest Percent Change in Per Pupil Costs FY 2019 to FY 2021</v>
      </c>
      <c r="J382" s="72"/>
      <c r="K382" s="48"/>
      <c r="L382" s="48"/>
      <c r="M382" s="48"/>
      <c r="N382" s="48"/>
      <c r="O382" s="48"/>
      <c r="R382" s="72"/>
      <c r="S382" s="48"/>
      <c r="T382" s="48"/>
      <c r="U382" s="48"/>
      <c r="X382" s="48"/>
      <c r="Y382" s="48"/>
    </row>
    <row r="383" spans="5:26" x14ac:dyDescent="0.55000000000000004">
      <c r="E383">
        <v>1</v>
      </c>
      <c r="G383" s="32" t="str">
        <f>INDEX($G$4:$BY$330,MATCH($M383,$M$4:$M$330,0),MATCH(G$3,$G$3:$BY$3,0))</f>
        <v>South Page</v>
      </c>
      <c r="J383" s="32">
        <f t="shared" ref="J383:L402" si="65">INDEX($G$4:$BY$330,MATCH($M383,$M$4:$M$330,0),MATCH(J$3,$G$3:$BY$3,0))</f>
        <v>481.79630769230766</v>
      </c>
      <c r="K383" s="32">
        <f t="shared" si="65"/>
        <v>26319</v>
      </c>
      <c r="L383" s="32">
        <f t="shared" si="65"/>
        <v>67631.28</v>
      </c>
      <c r="M383" s="94">
        <f>LARGE($M$4:$M$330,$E383)</f>
        <v>1.5990192237711625</v>
      </c>
      <c r="N383" s="70">
        <f>INDEX($G$4:$BY$330,MATCH($M383,$M$4:$M$330,0),MATCH(N$3,$G$3:$BY$3,0))</f>
        <v>0.84351993065465092</v>
      </c>
      <c r="R383" s="32">
        <f>INDEX($G$4:$BY$330,MATCH($M383,$M$4:$M$330,0),MATCH(R$3,$G$3:$BY$3,0))</f>
        <v>472.68657653307582</v>
      </c>
      <c r="S383" s="32">
        <f>INDEX($G$4:$BY$330,MATCH($M383,$M$4:$M$330,0),MATCH(S$3,$G$3:$BY$3,0))</f>
        <v>18975</v>
      </c>
      <c r="T383" s="32">
        <f>INDEX($G$4:$BY$330,MATCH($M383,$M$4:$M$330,0),MATCH(T$3,$G$3:$BY$3,0))</f>
        <v>78918.39</v>
      </c>
      <c r="X383" s="32">
        <f>INDEX($G$4:$BY$330,MATCH($M383,$M$4:$M$330,0),MATCH(X$3,$G$3:$BY$3,0))</f>
        <v>185.37620010106116</v>
      </c>
      <c r="Y383" s="32">
        <f>INDEX($G$4:$BY$330,MATCH($M383,$M$4:$M$330,0),MATCH(Y$3,$G$3:$BY$3,0))</f>
        <v>0</v>
      </c>
      <c r="Z383" s="32">
        <f>INDEX($G$4:$BY$330,MATCH($M383,$M$4:$M$330,0),MATCH(Z$3,$G$3:$BY$3,0))</f>
        <v>36685.950000000004</v>
      </c>
    </row>
    <row r="384" spans="5:26" x14ac:dyDescent="0.55000000000000004">
      <c r="E384">
        <v>2</v>
      </c>
      <c r="G384" s="32" t="str">
        <f t="shared" ref="G384:G402" si="66">INDEX($G$4:$BY$330,MATCH($M384,$M$4:$M$330,0),MATCH(G$3,$G$3:$BY$3,0))</f>
        <v>Rock Valley</v>
      </c>
      <c r="J384" s="32">
        <f t="shared" si="65"/>
        <v>198.82294776119406</v>
      </c>
      <c r="K384" s="32">
        <f t="shared" si="65"/>
        <v>658</v>
      </c>
      <c r="L384" s="32">
        <f t="shared" si="65"/>
        <v>159195.65000000002</v>
      </c>
      <c r="M384" s="94">
        <f t="shared" ref="M384:M402" si="67">LARGE($M$4:$M$330,$E384)</f>
        <v>1.3915648635486497</v>
      </c>
      <c r="N384" s="70">
        <f t="shared" ref="N384:N402" si="68">INDEX($G$4:$BY$330,MATCH($M384,$M$4:$M$330,0),MATCH(N$3,$G$3:$BY$3,0))</f>
        <v>1.4421672249134867</v>
      </c>
      <c r="R384" s="32">
        <f t="shared" ref="R384:S402" si="69">INDEX($G$4:$BY$330,MATCH($M384,$M$4:$M$330,0),MATCH(R$3,$G$3:$BY$3,0))</f>
        <v>107.14727024001989</v>
      </c>
      <c r="S384" s="32">
        <f t="shared" si="69"/>
        <v>0</v>
      </c>
      <c r="T384" s="32">
        <f t="shared" ref="T384:T402" si="70">INDEX($G$4:$BY$330,MATCH($M384,$M$4:$M$330,0),MATCH(T$3,$G$3:$BY$3,0))</f>
        <v>86157.119999999995</v>
      </c>
      <c r="X384" s="32">
        <f t="shared" ref="X384:Y402" si="71">INDEX($G$4:$BY$330,MATCH($M384,$M$4:$M$330,0),MATCH(X$3,$G$3:$BY$3,0))</f>
        <v>83.135084810610891</v>
      </c>
      <c r="Y384" s="32">
        <f t="shared" si="71"/>
        <v>0</v>
      </c>
      <c r="Z384" s="32">
        <f t="shared" ref="Z384:Z402" si="72">INDEX($G$4:$BY$330,MATCH($M384,$M$4:$M$330,0),MATCH(Z$3,$G$3:$BY$3,0))</f>
        <v>65186.22</v>
      </c>
    </row>
    <row r="385" spans="5:26" x14ac:dyDescent="0.55000000000000004">
      <c r="E385">
        <v>3</v>
      </c>
      <c r="G385" s="32" t="str">
        <f t="shared" si="66"/>
        <v>Twin Rivers</v>
      </c>
      <c r="J385" s="32">
        <f t="shared" si="65"/>
        <v>848.9662222222222</v>
      </c>
      <c r="K385" s="32">
        <f t="shared" si="65"/>
        <v>67789</v>
      </c>
      <c r="L385" s="32">
        <f t="shared" si="65"/>
        <v>46821.440000000002</v>
      </c>
      <c r="M385" s="94">
        <f t="shared" si="67"/>
        <v>1.1346270718446418</v>
      </c>
      <c r="N385" s="70">
        <f t="shared" si="68"/>
        <v>-0.27328963685776503</v>
      </c>
      <c r="R385" s="32">
        <f t="shared" si="69"/>
        <v>522.59741258741258</v>
      </c>
      <c r="S385" s="32">
        <f t="shared" si="69"/>
        <v>20239</v>
      </c>
      <c r="T385" s="32">
        <f t="shared" si="70"/>
        <v>54492.429999999993</v>
      </c>
      <c r="X385" s="32">
        <f t="shared" si="71"/>
        <v>397.71172839506175</v>
      </c>
      <c r="Y385" s="32">
        <f t="shared" si="71"/>
        <v>0</v>
      </c>
      <c r="Z385" s="32">
        <f t="shared" si="72"/>
        <v>64429.3</v>
      </c>
    </row>
    <row r="386" spans="5:26" x14ac:dyDescent="0.55000000000000004">
      <c r="E386">
        <v>4</v>
      </c>
      <c r="G386" s="32" t="str">
        <f t="shared" si="66"/>
        <v>Central Lyon</v>
      </c>
      <c r="J386" s="32">
        <f t="shared" si="65"/>
        <v>263.69926394628101</v>
      </c>
      <c r="K386" s="32">
        <f t="shared" si="65"/>
        <v>634</v>
      </c>
      <c r="L386" s="32">
        <f t="shared" si="65"/>
        <v>203574.71</v>
      </c>
      <c r="M386" s="94">
        <f t="shared" si="67"/>
        <v>1.1088520560956254</v>
      </c>
      <c r="N386" s="70">
        <f t="shared" si="68"/>
        <v>1.1666553318209565</v>
      </c>
      <c r="R386" s="32">
        <f t="shared" si="69"/>
        <v>209.62888859695218</v>
      </c>
      <c r="S386" s="32">
        <f t="shared" si="69"/>
        <v>0</v>
      </c>
      <c r="T386" s="32">
        <f t="shared" si="70"/>
        <v>159569.51</v>
      </c>
      <c r="X386" s="32">
        <f t="shared" si="71"/>
        <v>125.04398456215064</v>
      </c>
      <c r="Y386" s="32">
        <f t="shared" si="71"/>
        <v>0</v>
      </c>
      <c r="Z386" s="32">
        <f t="shared" si="72"/>
        <v>93958.049999999988</v>
      </c>
    </row>
    <row r="387" spans="5:26" x14ac:dyDescent="0.55000000000000004">
      <c r="E387">
        <v>5</v>
      </c>
      <c r="G387" s="32" t="str">
        <f>INDEX($G$4:$BY$330,MATCH($M387,$M$4:$M$330,0),MATCH(G$3,$G$3:$BY$3,0))</f>
        <v>West Burlington</v>
      </c>
      <c r="J387" s="32">
        <f t="shared" si="65"/>
        <v>15.063743925628565</v>
      </c>
      <c r="K387" s="32">
        <f t="shared" si="65"/>
        <v>387</v>
      </c>
      <c r="L387" s="32">
        <f t="shared" si="65"/>
        <v>6742.67</v>
      </c>
      <c r="M387" s="94">
        <f t="shared" si="67"/>
        <v>1.1080606864176539</v>
      </c>
      <c r="N387" s="70">
        <f t="shared" si="68"/>
        <v>1.1166157603458071</v>
      </c>
      <c r="R387" s="32">
        <f t="shared" si="69"/>
        <v>18.841337059329319</v>
      </c>
      <c r="S387" s="32">
        <f t="shared" si="69"/>
        <v>0</v>
      </c>
      <c r="T387" s="32">
        <f t="shared" si="70"/>
        <v>8764.99</v>
      </c>
      <c r="X387" s="32">
        <f t="shared" si="71"/>
        <v>7.1457828622700763</v>
      </c>
      <c r="Y387" s="32">
        <f t="shared" si="71"/>
        <v>0</v>
      </c>
      <c r="Z387" s="32">
        <f t="shared" si="72"/>
        <v>3185.59</v>
      </c>
    </row>
    <row r="388" spans="5:26" x14ac:dyDescent="0.55000000000000004">
      <c r="E388">
        <v>6</v>
      </c>
      <c r="G388" s="32" t="str">
        <f t="shared" si="66"/>
        <v>North Butler</v>
      </c>
      <c r="J388" s="32">
        <f t="shared" si="65"/>
        <v>828.96942321056281</v>
      </c>
      <c r="K388" s="32">
        <f t="shared" si="65"/>
        <v>277519</v>
      </c>
      <c r="L388" s="32">
        <f t="shared" si="65"/>
        <v>199635.8</v>
      </c>
      <c r="M388" s="94">
        <f t="shared" si="67"/>
        <v>1.0467189973750408</v>
      </c>
      <c r="N388" s="70">
        <f t="shared" si="68"/>
        <v>-0.16739996150540967</v>
      </c>
      <c r="R388" s="32">
        <f t="shared" si="69"/>
        <v>634.44730375426616</v>
      </c>
      <c r="S388" s="32">
        <f t="shared" si="69"/>
        <v>148482</v>
      </c>
      <c r="T388" s="32">
        <f t="shared" si="70"/>
        <v>223304.12</v>
      </c>
      <c r="X388" s="32">
        <f t="shared" si="71"/>
        <v>405.02356418918919</v>
      </c>
      <c r="Y388" s="32">
        <f t="shared" si="71"/>
        <v>0</v>
      </c>
      <c r="Z388" s="32">
        <f t="shared" si="72"/>
        <v>239773.95</v>
      </c>
    </row>
    <row r="389" spans="5:26" x14ac:dyDescent="0.55000000000000004">
      <c r="E389">
        <v>7</v>
      </c>
      <c r="G389" s="32" t="str">
        <f t="shared" si="66"/>
        <v>Lone Tree</v>
      </c>
      <c r="J389" s="32">
        <f t="shared" si="65"/>
        <v>321.44291998900195</v>
      </c>
      <c r="K389" s="32">
        <f t="shared" si="65"/>
        <v>298</v>
      </c>
      <c r="L389" s="32">
        <f t="shared" si="65"/>
        <v>116610.79000000001</v>
      </c>
      <c r="M389" s="94">
        <f t="shared" si="67"/>
        <v>0.90664198370899052</v>
      </c>
      <c r="N389" s="70">
        <f t="shared" si="68"/>
        <v>0.9240002765288241</v>
      </c>
      <c r="R389" s="32">
        <f t="shared" si="69"/>
        <v>240.53165801693524</v>
      </c>
      <c r="S389" s="32">
        <f t="shared" si="69"/>
        <v>0</v>
      </c>
      <c r="T389" s="32">
        <f t="shared" si="70"/>
        <v>88058.64</v>
      </c>
      <c r="X389" s="32">
        <f t="shared" si="71"/>
        <v>168.59112656467317</v>
      </c>
      <c r="Y389" s="32">
        <f t="shared" si="71"/>
        <v>0</v>
      </c>
      <c r="Z389" s="32">
        <f t="shared" si="72"/>
        <v>60608.51</v>
      </c>
    </row>
    <row r="390" spans="5:26" x14ac:dyDescent="0.55000000000000004">
      <c r="E390">
        <v>8</v>
      </c>
      <c r="G390" s="32" t="str">
        <f t="shared" si="66"/>
        <v>Lisbon</v>
      </c>
      <c r="J390" s="32">
        <f t="shared" si="65"/>
        <v>294.91757223618089</v>
      </c>
      <c r="K390" s="32">
        <f t="shared" si="65"/>
        <v>521</v>
      </c>
      <c r="L390" s="32">
        <f t="shared" si="65"/>
        <v>187282.50999999998</v>
      </c>
      <c r="M390" s="94">
        <f t="shared" si="67"/>
        <v>0.81832779530503608</v>
      </c>
      <c r="N390" s="70">
        <f t="shared" si="68"/>
        <v>0.74189001462468562</v>
      </c>
      <c r="R390" s="32">
        <f t="shared" si="69"/>
        <v>268.00280402788536</v>
      </c>
      <c r="S390" s="32">
        <f t="shared" si="69"/>
        <v>0</v>
      </c>
      <c r="T390" s="32">
        <f t="shared" si="70"/>
        <v>172995.81</v>
      </c>
      <c r="X390" s="32">
        <f t="shared" si="71"/>
        <v>162.19164278171669</v>
      </c>
      <c r="Y390" s="32">
        <f t="shared" si="71"/>
        <v>0</v>
      </c>
      <c r="Z390" s="32">
        <f t="shared" si="72"/>
        <v>107516.84</v>
      </c>
    </row>
    <row r="391" spans="5:26" x14ac:dyDescent="0.55000000000000004">
      <c r="E391">
        <v>9</v>
      </c>
      <c r="G391" s="32" t="str">
        <f t="shared" si="66"/>
        <v>Glidden-Ralston</v>
      </c>
      <c r="J391" s="32">
        <f t="shared" si="65"/>
        <v>341.39603636363637</v>
      </c>
      <c r="K391" s="32">
        <f t="shared" si="65"/>
        <v>225</v>
      </c>
      <c r="L391" s="32">
        <f t="shared" si="65"/>
        <v>93658.91</v>
      </c>
      <c r="M391" s="94">
        <f t="shared" si="67"/>
        <v>0.7554688471634371</v>
      </c>
      <c r="N391" s="70">
        <f t="shared" si="68"/>
        <v>0.80305868999311947</v>
      </c>
      <c r="R391" s="32">
        <f t="shared" si="69"/>
        <v>276.26435251798563</v>
      </c>
      <c r="S391" s="32">
        <f t="shared" si="69"/>
        <v>0</v>
      </c>
      <c r="T391" s="32">
        <f t="shared" si="70"/>
        <v>76801.490000000005</v>
      </c>
      <c r="X391" s="32">
        <f t="shared" si="71"/>
        <v>194.47570198427556</v>
      </c>
      <c r="Y391" s="32">
        <f t="shared" si="71"/>
        <v>0</v>
      </c>
      <c r="Z391" s="32">
        <f t="shared" si="72"/>
        <v>51944.460000000006</v>
      </c>
    </row>
    <row r="392" spans="5:26" x14ac:dyDescent="0.55000000000000004">
      <c r="E392">
        <v>10</v>
      </c>
      <c r="G392" s="32" t="str">
        <f t="shared" si="66"/>
        <v>GMG</v>
      </c>
      <c r="J392" s="32">
        <f t="shared" si="65"/>
        <v>758.09546444121906</v>
      </c>
      <c r="K392" s="32">
        <f t="shared" si="65"/>
        <v>113346</v>
      </c>
      <c r="L392" s="32">
        <f t="shared" si="65"/>
        <v>95585.109999999986</v>
      </c>
      <c r="M392" s="94">
        <f t="shared" si="67"/>
        <v>0.69985582447347783</v>
      </c>
      <c r="N392" s="70">
        <f t="shared" si="68"/>
        <v>-0.19850820483150131</v>
      </c>
      <c r="R392" s="32">
        <f t="shared" si="69"/>
        <v>442.61122956645352</v>
      </c>
      <c r="S392" s="32">
        <f t="shared" si="69"/>
        <v>17318</v>
      </c>
      <c r="T392" s="32">
        <f t="shared" si="70"/>
        <v>107232.8</v>
      </c>
      <c r="X392" s="32">
        <f t="shared" si="71"/>
        <v>445.97633136094674</v>
      </c>
      <c r="Y392" s="32">
        <f t="shared" si="71"/>
        <v>8870</v>
      </c>
      <c r="Z392" s="32">
        <f t="shared" si="72"/>
        <v>119259</v>
      </c>
    </row>
    <row r="393" spans="5:26" x14ac:dyDescent="0.55000000000000004">
      <c r="E393">
        <v>11</v>
      </c>
      <c r="G393" s="32" t="str">
        <f t="shared" si="66"/>
        <v>Boyden-Hull</v>
      </c>
      <c r="J393" s="32">
        <f t="shared" si="65"/>
        <v>382.65861773280744</v>
      </c>
      <c r="K393" s="32">
        <f t="shared" si="65"/>
        <v>20891</v>
      </c>
      <c r="L393" s="32">
        <f t="shared" si="65"/>
        <v>202237.24</v>
      </c>
      <c r="M393" s="94">
        <f t="shared" si="67"/>
        <v>0.69215807582099909</v>
      </c>
      <c r="N393" s="70">
        <f t="shared" si="68"/>
        <v>0.4925151821802588</v>
      </c>
      <c r="R393" s="32">
        <f t="shared" si="69"/>
        <v>247.70674005080437</v>
      </c>
      <c r="S393" s="32">
        <f t="shared" si="69"/>
        <v>0</v>
      </c>
      <c r="T393" s="32">
        <f t="shared" si="70"/>
        <v>146270.82999999999</v>
      </c>
      <c r="X393" s="32">
        <f t="shared" si="71"/>
        <v>226.1364485981309</v>
      </c>
      <c r="Y393" s="32">
        <f t="shared" si="71"/>
        <v>0</v>
      </c>
      <c r="Z393" s="32">
        <f t="shared" si="72"/>
        <v>135500.96000000002</v>
      </c>
    </row>
    <row r="394" spans="5:26" x14ac:dyDescent="0.55000000000000004">
      <c r="E394">
        <v>12</v>
      </c>
      <c r="G394" s="32" t="str">
        <f t="shared" si="66"/>
        <v>Pella</v>
      </c>
      <c r="J394" s="32">
        <f t="shared" si="65"/>
        <v>336.69322348572757</v>
      </c>
      <c r="K394" s="32">
        <f t="shared" si="65"/>
        <v>1764</v>
      </c>
      <c r="L394" s="32">
        <f t="shared" si="65"/>
        <v>723641.55</v>
      </c>
      <c r="M394" s="94">
        <f t="shared" si="67"/>
        <v>0.69129776788388042</v>
      </c>
      <c r="N394" s="70">
        <f t="shared" si="68"/>
        <v>0.68679350784023729</v>
      </c>
      <c r="R394" s="32">
        <f t="shared" si="69"/>
        <v>311.28620931537608</v>
      </c>
      <c r="S394" s="32">
        <f t="shared" si="69"/>
        <v>0</v>
      </c>
      <c r="T394" s="32">
        <f t="shared" si="70"/>
        <v>665654.43000000005</v>
      </c>
      <c r="X394" s="32">
        <f t="shared" si="71"/>
        <v>199.07388863109051</v>
      </c>
      <c r="Y394" s="32">
        <f t="shared" si="71"/>
        <v>0</v>
      </c>
      <c r="Z394" s="32">
        <f t="shared" si="72"/>
        <v>429004.23000000004</v>
      </c>
    </row>
    <row r="395" spans="5:26" x14ac:dyDescent="0.55000000000000004">
      <c r="E395">
        <v>13</v>
      </c>
      <c r="G395" s="32" t="str">
        <f t="shared" si="66"/>
        <v>Moc-Floyd Valley</v>
      </c>
      <c r="J395" s="32">
        <f t="shared" si="65"/>
        <v>287.06456360997862</v>
      </c>
      <c r="K395" s="32">
        <f t="shared" si="65"/>
        <v>1185</v>
      </c>
      <c r="L395" s="32">
        <f t="shared" si="65"/>
        <v>414226.13</v>
      </c>
      <c r="M395" s="94">
        <f t="shared" si="67"/>
        <v>0.65897454534617317</v>
      </c>
      <c r="N395" s="70">
        <f t="shared" si="68"/>
        <v>0.70904107389333382</v>
      </c>
      <c r="R395" s="32">
        <f t="shared" si="69"/>
        <v>281.39271555648946</v>
      </c>
      <c r="S395" s="32">
        <f t="shared" si="69"/>
        <v>0</v>
      </c>
      <c r="T395" s="32">
        <f t="shared" si="70"/>
        <v>401744.38</v>
      </c>
      <c r="X395" s="32">
        <f t="shared" si="71"/>
        <v>173.03735275219532</v>
      </c>
      <c r="Y395" s="32">
        <f t="shared" si="71"/>
        <v>0</v>
      </c>
      <c r="Z395" s="32">
        <f t="shared" si="72"/>
        <v>242373.41999999998</v>
      </c>
    </row>
    <row r="396" spans="5:26" x14ac:dyDescent="0.55000000000000004">
      <c r="E396">
        <v>14</v>
      </c>
      <c r="G396" s="32" t="str">
        <f t="shared" si="66"/>
        <v>Pocahontas Area</v>
      </c>
      <c r="J396" s="32">
        <f t="shared" si="65"/>
        <v>656.40420799519075</v>
      </c>
      <c r="K396" s="32">
        <f t="shared" si="65"/>
        <v>205987</v>
      </c>
      <c r="L396" s="32">
        <f t="shared" si="65"/>
        <v>230784.36</v>
      </c>
      <c r="M396" s="94">
        <f t="shared" si="67"/>
        <v>0.65809851798293584</v>
      </c>
      <c r="N396" s="70">
        <f t="shared" si="68"/>
        <v>-0.14483079286153586</v>
      </c>
      <c r="R396" s="32">
        <f t="shared" si="69"/>
        <v>506.99737583395103</v>
      </c>
      <c r="S396" s="32">
        <f t="shared" si="69"/>
        <v>84941</v>
      </c>
      <c r="T396" s="32">
        <f t="shared" si="70"/>
        <v>257028.72999999998</v>
      </c>
      <c r="X396" s="32">
        <f t="shared" si="71"/>
        <v>395.87768813260953</v>
      </c>
      <c r="Y396" s="32">
        <f t="shared" si="71"/>
        <v>0</v>
      </c>
      <c r="Z396" s="32">
        <f t="shared" si="72"/>
        <v>269869.81999999995</v>
      </c>
    </row>
    <row r="397" spans="5:26" x14ac:dyDescent="0.55000000000000004">
      <c r="E397">
        <v>15</v>
      </c>
      <c r="G397" s="32" t="str">
        <f t="shared" si="66"/>
        <v>Osage</v>
      </c>
      <c r="J397" s="32">
        <f t="shared" si="65"/>
        <v>545.57420267769669</v>
      </c>
      <c r="K397" s="32">
        <f t="shared" si="65"/>
        <v>182581</v>
      </c>
      <c r="L397" s="32">
        <f t="shared" si="65"/>
        <v>318638.01999999996</v>
      </c>
      <c r="M397" s="94">
        <f t="shared" si="67"/>
        <v>0.65639787967274177</v>
      </c>
      <c r="N397" s="70">
        <f t="shared" si="68"/>
        <v>5.0956259379885738E-2</v>
      </c>
      <c r="R397" s="32">
        <f t="shared" si="69"/>
        <v>422.99345118968199</v>
      </c>
      <c r="S397" s="32">
        <f t="shared" si="69"/>
        <v>37705</v>
      </c>
      <c r="T397" s="32">
        <f t="shared" si="70"/>
        <v>342735.31</v>
      </c>
      <c r="X397" s="32">
        <f t="shared" si="71"/>
        <v>329.37388375882671</v>
      </c>
      <c r="Y397" s="32">
        <f t="shared" si="71"/>
        <v>0</v>
      </c>
      <c r="Z397" s="32">
        <f t="shared" si="72"/>
        <v>303188.65999999997</v>
      </c>
    </row>
    <row r="398" spans="5:26" x14ac:dyDescent="0.55000000000000004">
      <c r="E398">
        <v>16</v>
      </c>
      <c r="G398" s="32" t="str">
        <f t="shared" si="66"/>
        <v>Sidney</v>
      </c>
      <c r="J398" s="32">
        <f t="shared" si="65"/>
        <v>714.41092077087785</v>
      </c>
      <c r="K398" s="32">
        <f t="shared" si="65"/>
        <v>137328</v>
      </c>
      <c r="L398" s="32">
        <f t="shared" si="65"/>
        <v>129575.91999999998</v>
      </c>
      <c r="M398" s="94">
        <f t="shared" si="67"/>
        <v>0.65179931815664616</v>
      </c>
      <c r="N398" s="70">
        <f t="shared" si="68"/>
        <v>-0.23661740755639429</v>
      </c>
      <c r="R398" s="32">
        <f t="shared" si="69"/>
        <v>653.84871729743463</v>
      </c>
      <c r="S398" s="32">
        <f t="shared" si="69"/>
        <v>107394</v>
      </c>
      <c r="T398" s="32">
        <f t="shared" si="70"/>
        <v>150026.23999999999</v>
      </c>
      <c r="X398" s="32">
        <f t="shared" si="71"/>
        <v>432.504671068721</v>
      </c>
      <c r="Y398" s="32">
        <f t="shared" si="71"/>
        <v>7112</v>
      </c>
      <c r="Z398" s="32">
        <f t="shared" si="72"/>
        <v>169739.16</v>
      </c>
    </row>
    <row r="399" spans="5:26" x14ac:dyDescent="0.55000000000000004">
      <c r="E399">
        <v>17</v>
      </c>
      <c r="G399" s="32" t="str">
        <f t="shared" si="66"/>
        <v>Cedar Rapids</v>
      </c>
      <c r="J399" s="32">
        <f t="shared" si="65"/>
        <v>364.3114283016306</v>
      </c>
      <c r="K399" s="32">
        <f t="shared" si="65"/>
        <v>296155</v>
      </c>
      <c r="L399" s="32">
        <f t="shared" si="65"/>
        <v>5876701.4099999992</v>
      </c>
      <c r="M399" s="94">
        <f t="shared" si="67"/>
        <v>0.65002000446582608</v>
      </c>
      <c r="N399" s="70">
        <f t="shared" si="68"/>
        <v>0.55881441835112677</v>
      </c>
      <c r="R399" s="32">
        <f t="shared" si="69"/>
        <v>274.04791462045739</v>
      </c>
      <c r="S399" s="32">
        <f t="shared" si="69"/>
        <v>0</v>
      </c>
      <c r="T399" s="32">
        <f t="shared" si="70"/>
        <v>4687534.7700000005</v>
      </c>
      <c r="X399" s="32">
        <f t="shared" si="71"/>
        <v>220.79212816548366</v>
      </c>
      <c r="Y399" s="32">
        <f t="shared" si="71"/>
        <v>0</v>
      </c>
      <c r="Z399" s="32">
        <f t="shared" si="72"/>
        <v>3769981.43</v>
      </c>
    </row>
    <row r="400" spans="5:26" x14ac:dyDescent="0.55000000000000004">
      <c r="E400">
        <v>18</v>
      </c>
      <c r="G400" s="32" t="str">
        <f t="shared" si="66"/>
        <v>Orient-Macksburg</v>
      </c>
      <c r="J400" s="32">
        <f t="shared" si="65"/>
        <v>516.66936416184967</v>
      </c>
      <c r="K400" s="32">
        <f t="shared" si="65"/>
        <v>32321</v>
      </c>
      <c r="L400" s="32">
        <f t="shared" si="65"/>
        <v>66001.180000000008</v>
      </c>
      <c r="M400" s="94">
        <f t="shared" si="67"/>
        <v>0.59702577909860188</v>
      </c>
      <c r="N400" s="70">
        <f t="shared" si="68"/>
        <v>6.2550762052611855E-2</v>
      </c>
      <c r="R400" s="32">
        <f t="shared" si="69"/>
        <v>373.59775222164137</v>
      </c>
      <c r="S400" s="32">
        <f t="shared" si="69"/>
        <v>0</v>
      </c>
      <c r="T400" s="32">
        <f t="shared" si="70"/>
        <v>71469.25</v>
      </c>
      <c r="X400" s="32">
        <f t="shared" si="71"/>
        <v>323.51973958333332</v>
      </c>
      <c r="Y400" s="32">
        <f t="shared" si="71"/>
        <v>0</v>
      </c>
      <c r="Z400" s="32">
        <f t="shared" si="72"/>
        <v>62115.79</v>
      </c>
    </row>
    <row r="401" spans="5:26" x14ac:dyDescent="0.55000000000000004">
      <c r="E401">
        <v>19</v>
      </c>
      <c r="G401" s="32" t="str">
        <f t="shared" si="66"/>
        <v>Humboldt</v>
      </c>
      <c r="J401" s="32">
        <f t="shared" si="65"/>
        <v>297.15991091314032</v>
      </c>
      <c r="K401" s="32">
        <f t="shared" si="65"/>
        <v>992</v>
      </c>
      <c r="L401" s="32">
        <f t="shared" si="65"/>
        <v>359254.96</v>
      </c>
      <c r="M401" s="94">
        <f t="shared" si="67"/>
        <v>0.58590389991343339</v>
      </c>
      <c r="N401" s="70">
        <f t="shared" si="68"/>
        <v>0.60416425915113425</v>
      </c>
      <c r="R401" s="32">
        <f t="shared" si="69"/>
        <v>255.4426476714155</v>
      </c>
      <c r="S401" s="32">
        <f t="shared" si="69"/>
        <v>0</v>
      </c>
      <c r="T401" s="32">
        <f t="shared" si="70"/>
        <v>306607.81</v>
      </c>
      <c r="X401" s="32">
        <f t="shared" si="71"/>
        <v>187.37573627844714</v>
      </c>
      <c r="Y401" s="32">
        <f t="shared" si="71"/>
        <v>0</v>
      </c>
      <c r="Z401" s="32">
        <f t="shared" si="72"/>
        <v>223951.47999999998</v>
      </c>
    </row>
    <row r="402" spans="5:26" x14ac:dyDescent="0.55000000000000004">
      <c r="E402">
        <v>20</v>
      </c>
      <c r="G402" s="32" t="str">
        <f t="shared" si="66"/>
        <v>Williamsburg</v>
      </c>
      <c r="J402" s="32">
        <f t="shared" si="65"/>
        <v>451.7417393675027</v>
      </c>
      <c r="K402" s="32">
        <f t="shared" si="65"/>
        <v>115442</v>
      </c>
      <c r="L402" s="32">
        <f t="shared" si="65"/>
        <v>381654.61</v>
      </c>
      <c r="M402" s="94">
        <f t="shared" si="67"/>
        <v>0.56872150794679821</v>
      </c>
      <c r="N402" s="70">
        <f t="shared" si="68"/>
        <v>0.17567325001849046</v>
      </c>
      <c r="R402" s="32">
        <f t="shared" si="69"/>
        <v>338.23510334996439</v>
      </c>
      <c r="S402" s="32">
        <f t="shared" si="69"/>
        <v>0</v>
      </c>
      <c r="T402" s="32">
        <f t="shared" si="70"/>
        <v>379635.08</v>
      </c>
      <c r="X402" s="32">
        <f t="shared" si="71"/>
        <v>287.96809190100242</v>
      </c>
      <c r="Y402" s="32">
        <f t="shared" si="71"/>
        <v>0</v>
      </c>
      <c r="Z402" s="32">
        <f t="shared" si="72"/>
        <v>324626.43</v>
      </c>
    </row>
    <row r="406" spans="5:26" x14ac:dyDescent="0.55000000000000004">
      <c r="G406" s="26" t="s">
        <v>1357</v>
      </c>
    </row>
    <row r="407" spans="5:26" x14ac:dyDescent="0.55000000000000004">
      <c r="E407">
        <v>1</v>
      </c>
      <c r="G407" s="32" t="str">
        <f>INDEX($G$4:$BY$330,MATCH($N407,$N$4:$N$330,0),MATCH(G$3,$G$3:$BY$3,0))</f>
        <v>Rock Valley</v>
      </c>
      <c r="J407" s="32">
        <f>INDEX($G$4:$BY$330,MATCH($N407,$N$4:$N$330,0),MATCH(J$3,$G$3:$BY$3,0))</f>
        <v>198.82294776119406</v>
      </c>
      <c r="K407" s="32">
        <f>INDEX($G$4:$BY$330,MATCH($N407,$N$4:$N$330,0),MATCH(K$3,$G$3:$BY$3,0))</f>
        <v>658</v>
      </c>
      <c r="L407" s="32">
        <f>INDEX($G$4:$BY$330,MATCH($N407,$N$4:$N$330,0),MATCH(L$3,$G$3:$BY$3,0))</f>
        <v>159195.65000000002</v>
      </c>
      <c r="M407" s="70">
        <f>INDEX($G$4:$BY$330,MATCH($N407,$N$4:$N$330,0),MATCH(M$3,$G$3:$BY$3,0))</f>
        <v>1.3915648635486497</v>
      </c>
      <c r="N407" s="94">
        <f>LARGE($N$4:$N$330,$E407)</f>
        <v>1.4421672249134867</v>
      </c>
      <c r="R407" s="32">
        <f>INDEX($G$4:$BY$330,MATCH($N407,$N$4:$N$330,0),MATCH(R$3,$G$3:$BY$3,0))</f>
        <v>107.14727024001989</v>
      </c>
      <c r="S407" s="32">
        <f>INDEX($G$4:$BY$330,MATCH($N407,$N$4:$N$330,0),MATCH(S$3,$G$3:$BY$3,0))</f>
        <v>0</v>
      </c>
      <c r="T407" s="32">
        <f>INDEX($G$4:$BY$330,MATCH($N407,$N$4:$N$330,0),MATCH(T$3,$G$3:$BY$3,0))</f>
        <v>86157.119999999995</v>
      </c>
      <c r="X407" s="32">
        <f>INDEX($G$4:$BY$330,MATCH($N407,$N$4:$N$330,0),MATCH(X$3,$G$3:$BY$3,0))</f>
        <v>83.135084810610891</v>
      </c>
      <c r="Y407" s="32">
        <f>INDEX($G$4:$BY$330,MATCH($N407,$N$4:$N$330,0),MATCH(Y$3,$G$3:$BY$3,0))</f>
        <v>0</v>
      </c>
      <c r="Z407" s="32">
        <f>INDEX($G$4:$BY$330,MATCH($N407,$N$4:$N$330,0),MATCH(Z$3,$G$3:$BY$3,0))</f>
        <v>65186.22</v>
      </c>
    </row>
    <row r="408" spans="5:26" x14ac:dyDescent="0.55000000000000004">
      <c r="E408">
        <v>2</v>
      </c>
      <c r="G408" s="32" t="str">
        <f t="shared" ref="G408:G426" si="73">INDEX($G$4:$BY$330,MATCH($N408,$N$4:$N$330,0),MATCH(G$3,$G$3:$BY$3,0))</f>
        <v>Central Lyon</v>
      </c>
      <c r="J408" s="32">
        <f t="shared" ref="J408:L426" si="74">INDEX($G$4:$BY$330,MATCH($N408,$N$4:$N$330,0),MATCH(J$3,$G$3:$BY$3,0))</f>
        <v>263.69926394628101</v>
      </c>
      <c r="K408" s="32">
        <f t="shared" si="74"/>
        <v>634</v>
      </c>
      <c r="L408" s="32">
        <f t="shared" si="74"/>
        <v>203574.71</v>
      </c>
      <c r="M408" s="70">
        <f t="shared" ref="M408:M426" si="75">INDEX($G$4:$BY$330,MATCH($N408,$N$4:$N$330,0),MATCH(M$3,$G$3:$BY$3,0))</f>
        <v>1.1088520560956254</v>
      </c>
      <c r="N408" s="94">
        <f t="shared" ref="N408:N426" si="76">LARGE($N$4:$N$330,$E408)</f>
        <v>1.1666553318209565</v>
      </c>
      <c r="R408" s="32">
        <f t="shared" ref="R408:T426" si="77">INDEX($G$4:$BY$330,MATCH($N408,$N$4:$N$330,0),MATCH(R$3,$G$3:$BY$3,0))</f>
        <v>209.62888859695218</v>
      </c>
      <c r="S408" s="32">
        <f t="shared" si="77"/>
        <v>0</v>
      </c>
      <c r="T408" s="32">
        <f t="shared" si="77"/>
        <v>159569.51</v>
      </c>
      <c r="X408" s="32">
        <f t="shared" ref="X408:Z426" si="78">INDEX($G$4:$BY$330,MATCH($N408,$N$4:$N$330,0),MATCH(X$3,$G$3:$BY$3,0))</f>
        <v>125.04398456215064</v>
      </c>
      <c r="Y408" s="32">
        <f t="shared" si="78"/>
        <v>0</v>
      </c>
      <c r="Z408" s="32">
        <f t="shared" si="78"/>
        <v>93958.049999999988</v>
      </c>
    </row>
    <row r="409" spans="5:26" x14ac:dyDescent="0.55000000000000004">
      <c r="E409">
        <v>3</v>
      </c>
      <c r="G409" s="32" t="str">
        <f t="shared" si="73"/>
        <v>West Burlington</v>
      </c>
      <c r="J409" s="32">
        <f t="shared" si="74"/>
        <v>15.063743925628565</v>
      </c>
      <c r="K409" s="32">
        <f t="shared" si="74"/>
        <v>387</v>
      </c>
      <c r="L409" s="32">
        <f t="shared" si="74"/>
        <v>6742.67</v>
      </c>
      <c r="M409" s="70">
        <f t="shared" si="75"/>
        <v>1.1080606864176539</v>
      </c>
      <c r="N409" s="94">
        <f t="shared" si="76"/>
        <v>1.1166157603458071</v>
      </c>
      <c r="R409" s="32">
        <f t="shared" si="77"/>
        <v>18.841337059329319</v>
      </c>
      <c r="S409" s="32">
        <f t="shared" si="77"/>
        <v>0</v>
      </c>
      <c r="T409" s="32">
        <f t="shared" si="77"/>
        <v>8764.99</v>
      </c>
      <c r="X409" s="32">
        <f t="shared" si="78"/>
        <v>7.1457828622700763</v>
      </c>
      <c r="Y409" s="32">
        <f t="shared" si="78"/>
        <v>0</v>
      </c>
      <c r="Z409" s="32">
        <f t="shared" si="78"/>
        <v>3185.59</v>
      </c>
    </row>
    <row r="410" spans="5:26" x14ac:dyDescent="0.55000000000000004">
      <c r="E410">
        <v>4</v>
      </c>
      <c r="G410" s="32" t="str">
        <f t="shared" si="73"/>
        <v>Lone Tree</v>
      </c>
      <c r="J410" s="32">
        <f t="shared" si="74"/>
        <v>321.44291998900195</v>
      </c>
      <c r="K410" s="32">
        <f t="shared" si="74"/>
        <v>298</v>
      </c>
      <c r="L410" s="32">
        <f t="shared" si="74"/>
        <v>116610.79000000001</v>
      </c>
      <c r="M410" s="70">
        <f t="shared" si="75"/>
        <v>0.90664198370899052</v>
      </c>
      <c r="N410" s="94">
        <f t="shared" si="76"/>
        <v>0.9240002765288241</v>
      </c>
      <c r="R410" s="32">
        <f t="shared" si="77"/>
        <v>240.53165801693524</v>
      </c>
      <c r="S410" s="32">
        <f t="shared" si="77"/>
        <v>0</v>
      </c>
      <c r="T410" s="32">
        <f t="shared" si="77"/>
        <v>88058.64</v>
      </c>
      <c r="X410" s="32">
        <f t="shared" si="78"/>
        <v>168.59112656467317</v>
      </c>
      <c r="Y410" s="32">
        <f t="shared" si="78"/>
        <v>0</v>
      </c>
      <c r="Z410" s="32">
        <f t="shared" si="78"/>
        <v>60608.51</v>
      </c>
    </row>
    <row r="411" spans="5:26" x14ac:dyDescent="0.55000000000000004">
      <c r="E411">
        <v>5</v>
      </c>
      <c r="G411" s="32" t="str">
        <f t="shared" si="73"/>
        <v>South Page</v>
      </c>
      <c r="J411" s="32">
        <f t="shared" si="74"/>
        <v>481.79630769230766</v>
      </c>
      <c r="K411" s="32">
        <f t="shared" si="74"/>
        <v>26319</v>
      </c>
      <c r="L411" s="32">
        <f t="shared" si="74"/>
        <v>67631.28</v>
      </c>
      <c r="M411" s="70">
        <f t="shared" si="75"/>
        <v>1.5990192237711625</v>
      </c>
      <c r="N411" s="94">
        <f t="shared" si="76"/>
        <v>0.84351993065465092</v>
      </c>
      <c r="R411" s="32">
        <f t="shared" si="77"/>
        <v>472.68657653307582</v>
      </c>
      <c r="S411" s="32">
        <f t="shared" si="77"/>
        <v>18975</v>
      </c>
      <c r="T411" s="32">
        <f t="shared" si="77"/>
        <v>78918.39</v>
      </c>
      <c r="X411" s="32">
        <f t="shared" si="78"/>
        <v>185.37620010106116</v>
      </c>
      <c r="Y411" s="32">
        <f t="shared" si="78"/>
        <v>0</v>
      </c>
      <c r="Z411" s="32">
        <f t="shared" si="78"/>
        <v>36685.950000000004</v>
      </c>
    </row>
    <row r="412" spans="5:26" x14ac:dyDescent="0.55000000000000004">
      <c r="E412">
        <v>6</v>
      </c>
      <c r="G412" s="32" t="str">
        <f t="shared" si="73"/>
        <v>Glidden-Ralston</v>
      </c>
      <c r="J412" s="32">
        <f t="shared" si="74"/>
        <v>341.39603636363637</v>
      </c>
      <c r="K412" s="32">
        <f t="shared" si="74"/>
        <v>225</v>
      </c>
      <c r="L412" s="32">
        <f t="shared" si="74"/>
        <v>93658.91</v>
      </c>
      <c r="M412" s="70">
        <f t="shared" si="75"/>
        <v>0.7554688471634371</v>
      </c>
      <c r="N412" s="94">
        <f t="shared" si="76"/>
        <v>0.80305868999311947</v>
      </c>
      <c r="R412" s="32">
        <f t="shared" si="77"/>
        <v>276.26435251798563</v>
      </c>
      <c r="S412" s="32">
        <f t="shared" si="77"/>
        <v>0</v>
      </c>
      <c r="T412" s="32">
        <f t="shared" si="77"/>
        <v>76801.490000000005</v>
      </c>
      <c r="X412" s="32">
        <f t="shared" si="78"/>
        <v>194.47570198427556</v>
      </c>
      <c r="Y412" s="32">
        <f t="shared" si="78"/>
        <v>0</v>
      </c>
      <c r="Z412" s="32">
        <f t="shared" si="78"/>
        <v>51944.460000000006</v>
      </c>
    </row>
    <row r="413" spans="5:26" x14ac:dyDescent="0.55000000000000004">
      <c r="E413">
        <v>7</v>
      </c>
      <c r="G413" s="32" t="str">
        <f t="shared" si="73"/>
        <v>Lisbon</v>
      </c>
      <c r="J413" s="32">
        <f t="shared" si="74"/>
        <v>294.91757223618089</v>
      </c>
      <c r="K413" s="32">
        <f t="shared" si="74"/>
        <v>521</v>
      </c>
      <c r="L413" s="32">
        <f t="shared" si="74"/>
        <v>187282.50999999998</v>
      </c>
      <c r="M413" s="70">
        <f t="shared" si="75"/>
        <v>0.81832779530503608</v>
      </c>
      <c r="N413" s="94">
        <f t="shared" si="76"/>
        <v>0.74189001462468562</v>
      </c>
      <c r="R413" s="32">
        <f t="shared" si="77"/>
        <v>268.00280402788536</v>
      </c>
      <c r="S413" s="32">
        <f t="shared" si="77"/>
        <v>0</v>
      </c>
      <c r="T413" s="32">
        <f t="shared" si="77"/>
        <v>172995.81</v>
      </c>
      <c r="X413" s="32">
        <f t="shared" si="78"/>
        <v>162.19164278171669</v>
      </c>
      <c r="Y413" s="32">
        <f t="shared" si="78"/>
        <v>0</v>
      </c>
      <c r="Z413" s="32">
        <f t="shared" si="78"/>
        <v>107516.84</v>
      </c>
    </row>
    <row r="414" spans="5:26" x14ac:dyDescent="0.55000000000000004">
      <c r="E414">
        <v>8</v>
      </c>
      <c r="G414" s="32" t="str">
        <f t="shared" si="73"/>
        <v>Moc-Floyd Valley</v>
      </c>
      <c r="J414" s="32">
        <f t="shared" si="74"/>
        <v>287.06456360997862</v>
      </c>
      <c r="K414" s="32">
        <f t="shared" si="74"/>
        <v>1185</v>
      </c>
      <c r="L414" s="32">
        <f t="shared" si="74"/>
        <v>414226.13</v>
      </c>
      <c r="M414" s="70">
        <f t="shared" si="75"/>
        <v>0.65897454534617317</v>
      </c>
      <c r="N414" s="94">
        <f t="shared" si="76"/>
        <v>0.70904107389333382</v>
      </c>
      <c r="R414" s="32">
        <f t="shared" si="77"/>
        <v>281.39271555648946</v>
      </c>
      <c r="S414" s="32">
        <f t="shared" si="77"/>
        <v>0</v>
      </c>
      <c r="T414" s="32">
        <f t="shared" si="77"/>
        <v>401744.38</v>
      </c>
      <c r="X414" s="32">
        <f t="shared" si="78"/>
        <v>173.03735275219532</v>
      </c>
      <c r="Y414" s="32">
        <f t="shared" si="78"/>
        <v>0</v>
      </c>
      <c r="Z414" s="32">
        <f t="shared" si="78"/>
        <v>242373.41999999998</v>
      </c>
    </row>
    <row r="415" spans="5:26" x14ac:dyDescent="0.55000000000000004">
      <c r="E415">
        <v>9</v>
      </c>
      <c r="G415" s="32" t="str">
        <f t="shared" si="73"/>
        <v>Pella</v>
      </c>
      <c r="J415" s="32">
        <f t="shared" si="74"/>
        <v>336.69322348572757</v>
      </c>
      <c r="K415" s="32">
        <f t="shared" si="74"/>
        <v>1764</v>
      </c>
      <c r="L415" s="32">
        <f t="shared" si="74"/>
        <v>723641.55</v>
      </c>
      <c r="M415" s="70">
        <f t="shared" si="75"/>
        <v>0.69129776788388042</v>
      </c>
      <c r="N415" s="94">
        <f t="shared" si="76"/>
        <v>0.68679350784023729</v>
      </c>
      <c r="R415" s="32">
        <f t="shared" si="77"/>
        <v>311.28620931537608</v>
      </c>
      <c r="S415" s="32">
        <f t="shared" si="77"/>
        <v>0</v>
      </c>
      <c r="T415" s="32">
        <f t="shared" si="77"/>
        <v>665654.43000000005</v>
      </c>
      <c r="X415" s="32">
        <f t="shared" si="78"/>
        <v>199.07388863109051</v>
      </c>
      <c r="Y415" s="32">
        <f t="shared" si="78"/>
        <v>0</v>
      </c>
      <c r="Z415" s="32">
        <f t="shared" si="78"/>
        <v>429004.23000000004</v>
      </c>
    </row>
    <row r="416" spans="5:26" x14ac:dyDescent="0.55000000000000004">
      <c r="E416">
        <v>10</v>
      </c>
      <c r="G416" s="32" t="str">
        <f t="shared" si="73"/>
        <v>Sioux Center</v>
      </c>
      <c r="J416" s="32">
        <f t="shared" si="74"/>
        <v>280.84840038960067</v>
      </c>
      <c r="K416" s="32">
        <f t="shared" si="74"/>
        <v>1093</v>
      </c>
      <c r="L416" s="32">
        <f t="shared" si="74"/>
        <v>373755.36000000004</v>
      </c>
      <c r="M416" s="70">
        <f t="shared" si="75"/>
        <v>0.56551304124114354</v>
      </c>
      <c r="N416" s="94">
        <f t="shared" si="76"/>
        <v>0.67314296887810687</v>
      </c>
      <c r="R416" s="32">
        <f t="shared" si="77"/>
        <v>268.12603255028404</v>
      </c>
      <c r="S416" s="32">
        <f t="shared" si="77"/>
        <v>0</v>
      </c>
      <c r="T416" s="32">
        <f t="shared" si="77"/>
        <v>349260.97</v>
      </c>
      <c r="X416" s="32">
        <f t="shared" si="78"/>
        <v>179.39703662062323</v>
      </c>
      <c r="Y416" s="32">
        <f t="shared" si="78"/>
        <v>0</v>
      </c>
      <c r="Z416" s="32">
        <f t="shared" si="78"/>
        <v>223385.19000000003</v>
      </c>
    </row>
    <row r="417" spans="5:26" x14ac:dyDescent="0.55000000000000004">
      <c r="E417">
        <v>11</v>
      </c>
      <c r="G417" s="32" t="str">
        <f t="shared" si="73"/>
        <v>Humboldt</v>
      </c>
      <c r="J417" s="32">
        <f t="shared" si="74"/>
        <v>297.15991091314032</v>
      </c>
      <c r="K417" s="32">
        <f t="shared" si="74"/>
        <v>992</v>
      </c>
      <c r="L417" s="32">
        <f t="shared" si="74"/>
        <v>359254.96</v>
      </c>
      <c r="M417" s="70">
        <f t="shared" si="75"/>
        <v>0.58590389991343339</v>
      </c>
      <c r="N417" s="94">
        <f t="shared" si="76"/>
        <v>0.60416425915113425</v>
      </c>
      <c r="R417" s="32">
        <f t="shared" si="77"/>
        <v>255.4426476714155</v>
      </c>
      <c r="S417" s="32">
        <f t="shared" si="77"/>
        <v>0</v>
      </c>
      <c r="T417" s="32">
        <f t="shared" si="77"/>
        <v>306607.81</v>
      </c>
      <c r="X417" s="32">
        <f t="shared" si="78"/>
        <v>187.37573627844714</v>
      </c>
      <c r="Y417" s="32">
        <f t="shared" si="78"/>
        <v>0</v>
      </c>
      <c r="Z417" s="32">
        <f t="shared" si="78"/>
        <v>223951.47999999998</v>
      </c>
    </row>
    <row r="418" spans="5:26" x14ac:dyDescent="0.55000000000000004">
      <c r="E418">
        <v>12</v>
      </c>
      <c r="G418" s="32" t="str">
        <f t="shared" si="73"/>
        <v>Cedar Rapids</v>
      </c>
      <c r="J418" s="32">
        <f t="shared" si="74"/>
        <v>364.3114283016306</v>
      </c>
      <c r="K418" s="32">
        <f t="shared" si="74"/>
        <v>296155</v>
      </c>
      <c r="L418" s="32">
        <f t="shared" si="74"/>
        <v>5876701.4099999992</v>
      </c>
      <c r="M418" s="70">
        <f t="shared" si="75"/>
        <v>0.65002000446582608</v>
      </c>
      <c r="N418" s="94">
        <f t="shared" si="76"/>
        <v>0.55881441835112677</v>
      </c>
      <c r="R418" s="32">
        <f t="shared" si="77"/>
        <v>274.04791462045739</v>
      </c>
      <c r="S418" s="32">
        <f t="shared" si="77"/>
        <v>0</v>
      </c>
      <c r="T418" s="32">
        <f t="shared" si="77"/>
        <v>4687534.7700000005</v>
      </c>
      <c r="X418" s="32">
        <f t="shared" si="78"/>
        <v>220.79212816548366</v>
      </c>
      <c r="Y418" s="32">
        <f t="shared" si="78"/>
        <v>0</v>
      </c>
      <c r="Z418" s="32">
        <f t="shared" si="78"/>
        <v>3769981.43</v>
      </c>
    </row>
    <row r="419" spans="5:26" x14ac:dyDescent="0.55000000000000004">
      <c r="E419">
        <v>13</v>
      </c>
      <c r="G419" s="32" t="str">
        <f t="shared" si="73"/>
        <v>Spencer</v>
      </c>
      <c r="J419" s="32">
        <f t="shared" si="74"/>
        <v>202.98204342273306</v>
      </c>
      <c r="K419" s="32">
        <f t="shared" si="74"/>
        <v>1602</v>
      </c>
      <c r="L419" s="32">
        <f t="shared" si="74"/>
        <v>395735.35</v>
      </c>
      <c r="M419" s="70">
        <f t="shared" si="75"/>
        <v>0.45519898928202612</v>
      </c>
      <c r="N419" s="94">
        <f t="shared" si="76"/>
        <v>0.53537564671000171</v>
      </c>
      <c r="R419" s="32">
        <f t="shared" si="77"/>
        <v>178.59621955077509</v>
      </c>
      <c r="S419" s="32">
        <f t="shared" si="77"/>
        <v>0</v>
      </c>
      <c r="T419" s="32">
        <f t="shared" si="77"/>
        <v>338725.59</v>
      </c>
      <c r="X419" s="32">
        <f t="shared" si="78"/>
        <v>139.4874824115164</v>
      </c>
      <c r="Y419" s="32">
        <f t="shared" si="78"/>
        <v>0</v>
      </c>
      <c r="Z419" s="32">
        <f t="shared" si="78"/>
        <v>257744.97</v>
      </c>
    </row>
    <row r="420" spans="5:26" x14ac:dyDescent="0.55000000000000004">
      <c r="E420">
        <v>14</v>
      </c>
      <c r="G420" s="32" t="str">
        <f t="shared" si="73"/>
        <v>Waukee</v>
      </c>
      <c r="J420" s="32">
        <f t="shared" si="74"/>
        <v>284.3720840924517</v>
      </c>
      <c r="K420" s="32">
        <f t="shared" si="74"/>
        <v>9166</v>
      </c>
      <c r="L420" s="32">
        <f t="shared" si="74"/>
        <v>3175005.1</v>
      </c>
      <c r="M420" s="70">
        <f t="shared" si="75"/>
        <v>0.36787419525845355</v>
      </c>
      <c r="N420" s="94">
        <f t="shared" si="76"/>
        <v>0.52306912586113596</v>
      </c>
      <c r="R420" s="32">
        <f t="shared" si="77"/>
        <v>233.21262783501265</v>
      </c>
      <c r="S420" s="32">
        <f t="shared" si="77"/>
        <v>0</v>
      </c>
      <c r="T420" s="32">
        <f t="shared" si="77"/>
        <v>2471960.5700000003</v>
      </c>
      <c r="X420" s="32">
        <f t="shared" si="78"/>
        <v>207.89344888454519</v>
      </c>
      <c r="Y420" s="32">
        <f t="shared" si="78"/>
        <v>0</v>
      </c>
      <c r="Z420" s="32">
        <f t="shared" si="78"/>
        <v>2084609.98</v>
      </c>
    </row>
    <row r="421" spans="5:26" x14ac:dyDescent="0.55000000000000004">
      <c r="E421">
        <v>15</v>
      </c>
      <c r="G421" s="32" t="str">
        <f t="shared" si="73"/>
        <v>Boyden-Hull</v>
      </c>
      <c r="J421" s="32">
        <f t="shared" si="74"/>
        <v>382.65861773280744</v>
      </c>
      <c r="K421" s="32">
        <f t="shared" si="74"/>
        <v>20891</v>
      </c>
      <c r="L421" s="32">
        <f t="shared" si="74"/>
        <v>202237.24</v>
      </c>
      <c r="M421" s="70">
        <f t="shared" si="75"/>
        <v>0.69215807582099909</v>
      </c>
      <c r="N421" s="94">
        <f t="shared" si="76"/>
        <v>0.4925151821802588</v>
      </c>
      <c r="R421" s="32">
        <f t="shared" si="77"/>
        <v>247.70674005080437</v>
      </c>
      <c r="S421" s="32">
        <f t="shared" si="77"/>
        <v>0</v>
      </c>
      <c r="T421" s="32">
        <f t="shared" si="77"/>
        <v>146270.82999999999</v>
      </c>
      <c r="X421" s="32">
        <f t="shared" si="78"/>
        <v>226.1364485981309</v>
      </c>
      <c r="Y421" s="32">
        <f t="shared" si="78"/>
        <v>0</v>
      </c>
      <c r="Z421" s="32">
        <f t="shared" si="78"/>
        <v>135500.96000000002</v>
      </c>
    </row>
    <row r="422" spans="5:26" x14ac:dyDescent="0.55000000000000004">
      <c r="E422">
        <v>16</v>
      </c>
      <c r="G422" s="32" t="str">
        <f t="shared" si="73"/>
        <v>Des Moines</v>
      </c>
      <c r="J422" s="32">
        <f t="shared" si="74"/>
        <v>246.32598025310432</v>
      </c>
      <c r="K422" s="32">
        <f t="shared" si="74"/>
        <v>26837</v>
      </c>
      <c r="L422" s="32">
        <f t="shared" si="74"/>
        <v>8048935.6299999999</v>
      </c>
      <c r="M422" s="70">
        <f t="shared" si="75"/>
        <v>0.48606911411620679</v>
      </c>
      <c r="N422" s="94">
        <f t="shared" si="76"/>
        <v>0.47262326629515861</v>
      </c>
      <c r="R422" s="32">
        <f t="shared" si="77"/>
        <v>245.12163482627702</v>
      </c>
      <c r="S422" s="32">
        <f t="shared" si="77"/>
        <v>0</v>
      </c>
      <c r="T422" s="32">
        <f t="shared" si="77"/>
        <v>8102618.2000000002</v>
      </c>
      <c r="X422" s="32">
        <f t="shared" si="78"/>
        <v>165.75674570802113</v>
      </c>
      <c r="Y422" s="32">
        <f t="shared" si="78"/>
        <v>0</v>
      </c>
      <c r="Z422" s="32">
        <f t="shared" si="78"/>
        <v>5465712.6600000001</v>
      </c>
    </row>
    <row r="423" spans="5:26" x14ac:dyDescent="0.55000000000000004">
      <c r="E423">
        <v>17</v>
      </c>
      <c r="G423" s="32" t="str">
        <f t="shared" si="73"/>
        <v>Van Meter</v>
      </c>
      <c r="J423" s="32">
        <f t="shared" si="74"/>
        <v>317.50015187077179</v>
      </c>
      <c r="K423" s="32">
        <f t="shared" si="74"/>
        <v>593</v>
      </c>
      <c r="L423" s="32">
        <f t="shared" si="74"/>
        <v>229372.36</v>
      </c>
      <c r="M423" s="70">
        <f t="shared" si="75"/>
        <v>0.25775650171860881</v>
      </c>
      <c r="N423" s="94">
        <f t="shared" si="76"/>
        <v>0.4617823402552243</v>
      </c>
      <c r="R423" s="32">
        <f t="shared" si="77"/>
        <v>244.02893254369496</v>
      </c>
      <c r="S423" s="32">
        <f t="shared" si="77"/>
        <v>0</v>
      </c>
      <c r="T423" s="32">
        <f t="shared" si="77"/>
        <v>168941.23</v>
      </c>
      <c r="X423" s="32">
        <f t="shared" si="78"/>
        <v>252.43371943371946</v>
      </c>
      <c r="Y423" s="32">
        <f t="shared" si="78"/>
        <v>0</v>
      </c>
      <c r="Z423" s="32">
        <f t="shared" si="78"/>
        <v>156912.80000000002</v>
      </c>
    </row>
    <row r="424" spans="5:26" x14ac:dyDescent="0.55000000000000004">
      <c r="E424">
        <v>18</v>
      </c>
      <c r="G424" s="32" t="str">
        <f t="shared" si="73"/>
        <v>Sheldon</v>
      </c>
      <c r="J424" s="32">
        <f t="shared" si="74"/>
        <v>334.54672017713807</v>
      </c>
      <c r="K424" s="32">
        <f t="shared" si="74"/>
        <v>887</v>
      </c>
      <c r="L424" s="32">
        <f t="shared" si="74"/>
        <v>361728.19</v>
      </c>
      <c r="M424" s="70">
        <f t="shared" si="75"/>
        <v>0.38328332188889974</v>
      </c>
      <c r="N424" s="94">
        <f t="shared" si="76"/>
        <v>0.43304898553822774</v>
      </c>
      <c r="R424" s="32">
        <f t="shared" si="77"/>
        <v>307.42496718544908</v>
      </c>
      <c r="S424" s="32">
        <f t="shared" si="77"/>
        <v>0</v>
      </c>
      <c r="T424" s="32">
        <f t="shared" si="77"/>
        <v>327899.46999999997</v>
      </c>
      <c r="X424" s="32">
        <f t="shared" si="78"/>
        <v>241.84974609562136</v>
      </c>
      <c r="Y424" s="32">
        <f t="shared" si="78"/>
        <v>0</v>
      </c>
      <c r="Z424" s="32">
        <f t="shared" si="78"/>
        <v>252418.58000000002</v>
      </c>
    </row>
    <row r="425" spans="5:26" x14ac:dyDescent="0.55000000000000004">
      <c r="E425">
        <v>19</v>
      </c>
      <c r="G425" s="32" t="str">
        <f t="shared" si="73"/>
        <v>Marshalltown</v>
      </c>
      <c r="J425" s="32">
        <f t="shared" si="74"/>
        <v>256.74214031226103</v>
      </c>
      <c r="K425" s="32">
        <f t="shared" si="74"/>
        <v>4388</v>
      </c>
      <c r="L425" s="32">
        <f t="shared" si="74"/>
        <v>1371980.9400000002</v>
      </c>
      <c r="M425" s="70">
        <f t="shared" si="75"/>
        <v>0.44333050402945984</v>
      </c>
      <c r="N425" s="94">
        <f t="shared" si="76"/>
        <v>0.41950536937951749</v>
      </c>
      <c r="R425" s="32">
        <f t="shared" si="77"/>
        <v>222.32892831613484</v>
      </c>
      <c r="S425" s="32">
        <f t="shared" si="77"/>
        <v>0</v>
      </c>
      <c r="T425" s="32">
        <f t="shared" si="77"/>
        <v>1213004.3999999999</v>
      </c>
      <c r="X425" s="32">
        <f t="shared" si="78"/>
        <v>177.88173921045367</v>
      </c>
      <c r="Y425" s="32">
        <f t="shared" si="78"/>
        <v>0</v>
      </c>
      <c r="Z425" s="32">
        <f t="shared" si="78"/>
        <v>966520.43</v>
      </c>
    </row>
    <row r="426" spans="5:26" x14ac:dyDescent="0.55000000000000004">
      <c r="E426">
        <v>20</v>
      </c>
      <c r="G426" s="32" t="str">
        <f t="shared" si="73"/>
        <v>West Des Moines</v>
      </c>
      <c r="J426" s="32">
        <f t="shared" si="74"/>
        <v>261.05786458391606</v>
      </c>
      <c r="K426" s="32">
        <f t="shared" si="74"/>
        <v>7316</v>
      </c>
      <c r="L426" s="32">
        <f t="shared" si="74"/>
        <v>2325732.0299999998</v>
      </c>
      <c r="M426" s="70">
        <f t="shared" si="75"/>
        <v>0.42832780686164473</v>
      </c>
      <c r="N426" s="94">
        <f t="shared" si="76"/>
        <v>0.41894273877081539</v>
      </c>
      <c r="R426" s="32">
        <f t="shared" si="77"/>
        <v>273.03281672292565</v>
      </c>
      <c r="S426" s="32">
        <f t="shared" si="77"/>
        <v>0</v>
      </c>
      <c r="T426" s="32">
        <f t="shared" si="77"/>
        <v>2434660.9300000002</v>
      </c>
      <c r="X426" s="32">
        <f t="shared" si="78"/>
        <v>182.77167421218138</v>
      </c>
      <c r="Y426" s="32">
        <f t="shared" si="78"/>
        <v>0</v>
      </c>
      <c r="Z426" s="32">
        <f t="shared" si="78"/>
        <v>1639059.82</v>
      </c>
    </row>
    <row r="429" spans="5:26" x14ac:dyDescent="0.55000000000000004">
      <c r="G429" s="26" t="s">
        <v>1358</v>
      </c>
    </row>
    <row r="430" spans="5:26" x14ac:dyDescent="0.55000000000000004">
      <c r="E430">
        <v>1</v>
      </c>
      <c r="G430" s="32" t="str">
        <f>INDEX($G$4:$BY$330,MATCH($N430,$N$4:$N$330,0),MATCH(G$3,$G$3:$BY$3,0))</f>
        <v>Hamburg</v>
      </c>
      <c r="J430" s="32">
        <f>INDEX($G$4:$BY$330,MATCH($N430,$N$4:$N$330,0),MATCH(J$3,$G$3:$BY$3,0))</f>
        <v>225.92176211453744</v>
      </c>
      <c r="K430" s="32">
        <f>INDEX($G$4:$BY$330,MATCH($N430,$N$4:$N$330,0),MATCH(K$3,$G$3:$BY$3,0))</f>
        <v>186</v>
      </c>
      <c r="L430" s="32">
        <f>INDEX($G$4:$BY$330,MATCH($N430,$N$4:$N$330,0),MATCH(L$3,$G$3:$BY$3,0))</f>
        <v>51098.239999999998</v>
      </c>
      <c r="M430" s="70">
        <f>INDEX($G$4:$BY$330,MATCH($N430,$N$4:$N$330,0),MATCH(M$3,$G$3:$BY$3,0))</f>
        <v>-0.42208761972849185</v>
      </c>
      <c r="N430" s="94">
        <f>SMALL($N$4:$N$330,$E430)</f>
        <v>-0.44378587827112254</v>
      </c>
      <c r="R430" s="32">
        <f>INDEX($G$4:$BY$330,MATCH($N430,$N$4:$N$330,0),MATCH(R$3,$G$3:$BY$3,0))</f>
        <v>277.99493212669682</v>
      </c>
      <c r="S430" s="32">
        <f>INDEX($G$4:$BY$330,MATCH($N430,$N$4:$N$330,0),MATCH(S$3,$G$3:$BY$3,0))</f>
        <v>0</v>
      </c>
      <c r="T430" s="32">
        <f>INDEX($G$4:$BY$330,MATCH($N430,$N$4:$N$330,0),MATCH(T$3,$G$3:$BY$3,0))</f>
        <v>61436.88</v>
      </c>
      <c r="X430" s="32">
        <f>INDEX($G$4:$BY$330,MATCH($N430,$N$4:$N$330,0),MATCH(X$3,$G$3:$BY$3,0))</f>
        <v>390.92736170212771</v>
      </c>
      <c r="Y430" s="32">
        <f>INDEX($G$4:$BY$330,MATCH($N430,$N$4:$N$330,0),MATCH(Y$3,$G$3:$BY$3,0))</f>
        <v>0</v>
      </c>
      <c r="Z430" s="32">
        <f>INDEX($G$4:$BY$330,MATCH($N430,$N$4:$N$330,0),MATCH(Z$3,$G$3:$BY$3,0))</f>
        <v>91867.930000000008</v>
      </c>
    </row>
    <row r="431" spans="5:26" x14ac:dyDescent="0.55000000000000004">
      <c r="E431">
        <v>2</v>
      </c>
      <c r="G431" s="32" t="str">
        <f t="shared" ref="G431:G449" si="79">INDEX($G$4:$BY$330,MATCH($N431,$N$4:$N$330,0),MATCH(G$3,$G$3:$BY$3,0))</f>
        <v>Stanton</v>
      </c>
      <c r="J431" s="32">
        <f t="shared" ref="J431:L449" si="80">INDEX($G$4:$BY$330,MATCH($N431,$N$4:$N$330,0),MATCH(J$3,$G$3:$BY$3,0))</f>
        <v>337.89500290528764</v>
      </c>
      <c r="K431" s="32">
        <f t="shared" si="80"/>
        <v>141</v>
      </c>
      <c r="L431" s="32">
        <f t="shared" si="80"/>
        <v>58010.73</v>
      </c>
      <c r="M431" s="70">
        <f t="shared" ref="M431:M449" si="81">INDEX($G$4:$BY$330,MATCH($N431,$N$4:$N$330,0),MATCH(M$3,$G$3:$BY$3,0))</f>
        <v>-0.14654911885209715</v>
      </c>
      <c r="N431" s="94">
        <f t="shared" ref="N431:N449" si="82">SMALL($N$4:$N$330,$E431)</f>
        <v>-0.28210308355182856</v>
      </c>
      <c r="R431" s="32">
        <f t="shared" ref="R431:T449" si="83">INDEX($G$4:$BY$330,MATCH($N431,$N$4:$N$330,0),MATCH(R$3,$G$3:$BY$3,0))</f>
        <v>437.83834823776965</v>
      </c>
      <c r="S431" s="32">
        <f t="shared" si="83"/>
        <v>10792</v>
      </c>
      <c r="T431" s="32">
        <f t="shared" si="83"/>
        <v>72441.070000000007</v>
      </c>
      <c r="X431" s="32">
        <f t="shared" ref="X431:Z449" si="84">INDEX($G$4:$BY$330,MATCH($N431,$N$4:$N$330,0),MATCH(X$3,$G$3:$BY$3,0))</f>
        <v>395.91616854483101</v>
      </c>
      <c r="Y431" s="32">
        <f t="shared" si="84"/>
        <v>0</v>
      </c>
      <c r="Z431" s="32">
        <f t="shared" si="84"/>
        <v>80806.490000000005</v>
      </c>
    </row>
    <row r="432" spans="5:26" x14ac:dyDescent="0.55000000000000004">
      <c r="E432">
        <v>3</v>
      </c>
      <c r="G432" s="32" t="str">
        <f t="shared" si="79"/>
        <v>Twin Rivers</v>
      </c>
      <c r="J432" s="32">
        <f t="shared" si="80"/>
        <v>848.9662222222222</v>
      </c>
      <c r="K432" s="32">
        <f t="shared" si="80"/>
        <v>67789</v>
      </c>
      <c r="L432" s="32">
        <f t="shared" si="80"/>
        <v>46821.440000000002</v>
      </c>
      <c r="M432" s="70">
        <f t="shared" si="81"/>
        <v>1.1346270718446418</v>
      </c>
      <c r="N432" s="94">
        <f t="shared" si="82"/>
        <v>-0.27328963685776503</v>
      </c>
      <c r="R432" s="32">
        <f t="shared" si="83"/>
        <v>522.59741258741258</v>
      </c>
      <c r="S432" s="32">
        <f t="shared" si="83"/>
        <v>20239</v>
      </c>
      <c r="T432" s="32">
        <f t="shared" si="83"/>
        <v>54492.429999999993</v>
      </c>
      <c r="X432" s="32">
        <f t="shared" si="84"/>
        <v>397.71172839506175</v>
      </c>
      <c r="Y432" s="32">
        <f t="shared" si="84"/>
        <v>0</v>
      </c>
      <c r="Z432" s="32">
        <f t="shared" si="84"/>
        <v>64429.3</v>
      </c>
    </row>
    <row r="433" spans="5:26" x14ac:dyDescent="0.55000000000000004">
      <c r="E433">
        <v>4</v>
      </c>
      <c r="G433" s="32" t="str">
        <f t="shared" si="79"/>
        <v>Remsen-Union</v>
      </c>
      <c r="J433" s="32">
        <f t="shared" si="80"/>
        <v>442.8797133757962</v>
      </c>
      <c r="K433" s="32">
        <f t="shared" si="80"/>
        <v>30159</v>
      </c>
      <c r="L433" s="32">
        <f t="shared" si="80"/>
        <v>108905.23000000001</v>
      </c>
      <c r="M433" s="70">
        <f t="shared" si="81"/>
        <v>7.7912530568073068E-2</v>
      </c>
      <c r="N433" s="94">
        <f t="shared" si="82"/>
        <v>-0.270205426301525</v>
      </c>
      <c r="R433" s="32">
        <f t="shared" si="83"/>
        <v>329.25280799764778</v>
      </c>
      <c r="S433" s="32">
        <f t="shared" si="83"/>
        <v>0</v>
      </c>
      <c r="T433" s="32">
        <f t="shared" si="83"/>
        <v>111978.88</v>
      </c>
      <c r="X433" s="32">
        <f t="shared" si="84"/>
        <v>410.86795154185023</v>
      </c>
      <c r="Y433" s="32">
        <f t="shared" si="84"/>
        <v>0</v>
      </c>
      <c r="Z433" s="32">
        <f t="shared" si="84"/>
        <v>149227.24</v>
      </c>
    </row>
    <row r="434" spans="5:26" x14ac:dyDescent="0.55000000000000004">
      <c r="E434">
        <v>5</v>
      </c>
      <c r="G434" s="32" t="str">
        <f t="shared" si="79"/>
        <v>Stratford</v>
      </c>
      <c r="J434" s="32">
        <f t="shared" si="80"/>
        <v>549.01905434015532</v>
      </c>
      <c r="K434" s="32">
        <f t="shared" si="80"/>
        <v>28650</v>
      </c>
      <c r="L434" s="32">
        <f t="shared" si="80"/>
        <v>49146</v>
      </c>
      <c r="M434" s="70">
        <f t="shared" si="81"/>
        <v>0.14263396767145348</v>
      </c>
      <c r="N434" s="94">
        <f t="shared" si="82"/>
        <v>-0.26325595117275502</v>
      </c>
      <c r="R434" s="32">
        <f t="shared" si="83"/>
        <v>480.13786472148536</v>
      </c>
      <c r="S434" s="32">
        <f t="shared" si="83"/>
        <v>14940</v>
      </c>
      <c r="T434" s="32">
        <f t="shared" si="83"/>
        <v>57464.789999999994</v>
      </c>
      <c r="X434" s="32">
        <f t="shared" si="84"/>
        <v>480.48550093341629</v>
      </c>
      <c r="Y434" s="32">
        <f t="shared" si="84"/>
        <v>10507</v>
      </c>
      <c r="Z434" s="32">
        <f t="shared" si="84"/>
        <v>66707.01999999999</v>
      </c>
    </row>
    <row r="435" spans="5:26" x14ac:dyDescent="0.55000000000000004">
      <c r="E435">
        <v>6</v>
      </c>
      <c r="G435" s="32" t="str">
        <f t="shared" si="79"/>
        <v>North Mahaska</v>
      </c>
      <c r="J435" s="32">
        <f t="shared" si="80"/>
        <v>418.56651855143292</v>
      </c>
      <c r="K435" s="32">
        <f t="shared" si="80"/>
        <v>32289</v>
      </c>
      <c r="L435" s="32">
        <f t="shared" si="80"/>
        <v>156107.78999999998</v>
      </c>
      <c r="M435" s="70">
        <f t="shared" si="81"/>
        <v>-7.4207538590383608E-3</v>
      </c>
      <c r="N435" s="94">
        <f t="shared" si="82"/>
        <v>-0.26188432238262638</v>
      </c>
      <c r="R435" s="32">
        <f t="shared" si="83"/>
        <v>461.71189408498827</v>
      </c>
      <c r="S435" s="32">
        <f t="shared" si="83"/>
        <v>37765</v>
      </c>
      <c r="T435" s="32">
        <f t="shared" si="83"/>
        <v>178454.68000000002</v>
      </c>
      <c r="X435" s="32">
        <f t="shared" si="84"/>
        <v>421.69581943081448</v>
      </c>
      <c r="Y435" s="32">
        <f t="shared" si="84"/>
        <v>3359</v>
      </c>
      <c r="Z435" s="32">
        <f t="shared" si="84"/>
        <v>211495.02</v>
      </c>
    </row>
    <row r="436" spans="5:26" x14ac:dyDescent="0.55000000000000004">
      <c r="E436">
        <v>7</v>
      </c>
      <c r="G436" s="32" t="str">
        <f t="shared" si="79"/>
        <v>West Bend-Mallard</v>
      </c>
      <c r="J436" s="32">
        <f t="shared" si="80"/>
        <v>764.02549226441624</v>
      </c>
      <c r="K436" s="32">
        <f t="shared" si="80"/>
        <v>118651</v>
      </c>
      <c r="L436" s="32">
        <f t="shared" si="80"/>
        <v>98637.849999999977</v>
      </c>
      <c r="M436" s="70">
        <f t="shared" si="81"/>
        <v>0.41623712555162257</v>
      </c>
      <c r="N436" s="94">
        <f t="shared" si="82"/>
        <v>-0.25252452764188799</v>
      </c>
      <c r="R436" s="32">
        <f t="shared" si="83"/>
        <v>543.24968553459121</v>
      </c>
      <c r="S436" s="32">
        <f t="shared" si="83"/>
        <v>46417</v>
      </c>
      <c r="T436" s="32">
        <f t="shared" si="83"/>
        <v>109061.06</v>
      </c>
      <c r="X436" s="32">
        <f t="shared" si="84"/>
        <v>539.47568417741434</v>
      </c>
      <c r="Y436" s="32">
        <f t="shared" si="84"/>
        <v>39538</v>
      </c>
      <c r="Z436" s="32">
        <f t="shared" si="84"/>
        <v>131961.32</v>
      </c>
    </row>
    <row r="437" spans="5:26" x14ac:dyDescent="0.55000000000000004">
      <c r="E437">
        <v>8</v>
      </c>
      <c r="G437" s="32" t="str">
        <f t="shared" si="79"/>
        <v>Clay Central-Everly</v>
      </c>
      <c r="J437" s="32">
        <f t="shared" si="80"/>
        <v>542.37070512820503</v>
      </c>
      <c r="K437" s="32">
        <f t="shared" si="80"/>
        <v>61008</v>
      </c>
      <c r="L437" s="32">
        <f t="shared" si="80"/>
        <v>108211.65999999997</v>
      </c>
      <c r="M437" s="70">
        <f t="shared" si="81"/>
        <v>0.16515965847303909</v>
      </c>
      <c r="N437" s="94">
        <f t="shared" si="82"/>
        <v>-0.25091099344804668</v>
      </c>
      <c r="R437" s="32">
        <f t="shared" si="83"/>
        <v>395.77228915662647</v>
      </c>
      <c r="S437" s="32">
        <f t="shared" si="83"/>
        <v>4881</v>
      </c>
      <c r="T437" s="32">
        <f t="shared" si="83"/>
        <v>126515.4</v>
      </c>
      <c r="X437" s="32">
        <f t="shared" si="84"/>
        <v>465.49045977011491</v>
      </c>
      <c r="Y437" s="32">
        <f t="shared" si="84"/>
        <v>17533</v>
      </c>
      <c r="Z437" s="32">
        <f t="shared" si="84"/>
        <v>144457.68</v>
      </c>
    </row>
    <row r="438" spans="5:26" x14ac:dyDescent="0.55000000000000004">
      <c r="E438">
        <v>9</v>
      </c>
      <c r="G438" s="32" t="str">
        <f t="shared" si="79"/>
        <v>Maple Valley-Anthon Oto</v>
      </c>
      <c r="J438" s="32">
        <f t="shared" si="80"/>
        <v>778.45534376018259</v>
      </c>
      <c r="K438" s="32">
        <f t="shared" si="80"/>
        <v>264933</v>
      </c>
      <c r="L438" s="32">
        <f t="shared" si="80"/>
        <v>212882.89</v>
      </c>
      <c r="M438" s="70">
        <f t="shared" si="81"/>
        <v>0.53334662108630182</v>
      </c>
      <c r="N438" s="94">
        <f t="shared" si="82"/>
        <v>-0.24516685351677325</v>
      </c>
      <c r="R438" s="32">
        <f t="shared" si="83"/>
        <v>565.09540177207452</v>
      </c>
      <c r="S438" s="32">
        <f t="shared" si="83"/>
        <v>120467</v>
      </c>
      <c r="T438" s="32">
        <f t="shared" si="83"/>
        <v>249444.45</v>
      </c>
      <c r="X438" s="32">
        <f t="shared" si="84"/>
        <v>507.68386811892844</v>
      </c>
      <c r="Y438" s="32">
        <f t="shared" si="84"/>
        <v>62894</v>
      </c>
      <c r="Z438" s="32">
        <f t="shared" si="84"/>
        <v>282026.42</v>
      </c>
    </row>
    <row r="439" spans="5:26" x14ac:dyDescent="0.55000000000000004">
      <c r="E439">
        <v>10</v>
      </c>
      <c r="G439" s="32" t="str">
        <f t="shared" si="79"/>
        <v>Waco</v>
      </c>
      <c r="J439" s="32">
        <f t="shared" si="80"/>
        <v>316.493652769135</v>
      </c>
      <c r="K439" s="32">
        <f t="shared" si="80"/>
        <v>395</v>
      </c>
      <c r="L439" s="32">
        <f t="shared" si="80"/>
        <v>152186.59</v>
      </c>
      <c r="M439" s="70">
        <f t="shared" si="81"/>
        <v>-0.27206034929084233</v>
      </c>
      <c r="N439" s="94">
        <f t="shared" si="82"/>
        <v>-0.23811152757230486</v>
      </c>
      <c r="R439" s="32">
        <f t="shared" si="83"/>
        <v>313.63744530110444</v>
      </c>
      <c r="S439" s="32">
        <f t="shared" si="83"/>
        <v>0</v>
      </c>
      <c r="T439" s="32">
        <f t="shared" si="83"/>
        <v>150514.61000000002</v>
      </c>
      <c r="X439" s="32">
        <f t="shared" si="84"/>
        <v>434.78007065669163</v>
      </c>
      <c r="Y439" s="32">
        <f t="shared" si="84"/>
        <v>9467</v>
      </c>
      <c r="Z439" s="32">
        <f t="shared" si="84"/>
        <v>199749.17</v>
      </c>
    </row>
    <row r="440" spans="5:26" x14ac:dyDescent="0.55000000000000004">
      <c r="E440">
        <v>11</v>
      </c>
      <c r="G440" s="32" t="str">
        <f t="shared" si="79"/>
        <v>Sidney</v>
      </c>
      <c r="J440" s="32">
        <f t="shared" si="80"/>
        <v>714.41092077087785</v>
      </c>
      <c r="K440" s="32">
        <f t="shared" si="80"/>
        <v>137328</v>
      </c>
      <c r="L440" s="32">
        <f t="shared" si="80"/>
        <v>129575.91999999998</v>
      </c>
      <c r="M440" s="70">
        <f t="shared" si="81"/>
        <v>0.65179931815664616</v>
      </c>
      <c r="N440" s="94">
        <f t="shared" si="82"/>
        <v>-0.23661740755639429</v>
      </c>
      <c r="R440" s="32">
        <f t="shared" si="83"/>
        <v>653.84871729743463</v>
      </c>
      <c r="S440" s="32">
        <f t="shared" si="83"/>
        <v>107394</v>
      </c>
      <c r="T440" s="32">
        <f t="shared" si="83"/>
        <v>150026.23999999999</v>
      </c>
      <c r="X440" s="32">
        <f t="shared" si="84"/>
        <v>432.504671068721</v>
      </c>
      <c r="Y440" s="32">
        <f t="shared" si="84"/>
        <v>7112</v>
      </c>
      <c r="Z440" s="32">
        <f t="shared" si="84"/>
        <v>169739.16</v>
      </c>
    </row>
    <row r="441" spans="5:26" x14ac:dyDescent="0.55000000000000004">
      <c r="E441">
        <v>12</v>
      </c>
      <c r="G441" s="32" t="str">
        <f t="shared" si="79"/>
        <v>Seymour</v>
      </c>
      <c r="J441" s="32">
        <f t="shared" si="80"/>
        <v>427.17532846715324</v>
      </c>
      <c r="K441" s="32">
        <f t="shared" si="80"/>
        <v>22015</v>
      </c>
      <c r="L441" s="32">
        <f t="shared" si="80"/>
        <v>95031.039999999994</v>
      </c>
      <c r="M441" s="70">
        <f t="shared" si="81"/>
        <v>1.8464196220808048E-2</v>
      </c>
      <c r="N441" s="94">
        <f t="shared" si="82"/>
        <v>-0.23587905391556849</v>
      </c>
      <c r="R441" s="32">
        <f t="shared" si="83"/>
        <v>465.27811495894315</v>
      </c>
      <c r="S441" s="32">
        <f t="shared" si="83"/>
        <v>23588</v>
      </c>
      <c r="T441" s="32">
        <f t="shared" si="83"/>
        <v>106736.4</v>
      </c>
      <c r="X441" s="32">
        <f t="shared" si="84"/>
        <v>419.43087449933245</v>
      </c>
      <c r="Y441" s="32">
        <f t="shared" si="84"/>
        <v>1295</v>
      </c>
      <c r="Z441" s="32">
        <f t="shared" si="84"/>
        <v>124366.49</v>
      </c>
    </row>
    <row r="442" spans="5:26" x14ac:dyDescent="0.55000000000000004">
      <c r="E442">
        <v>13</v>
      </c>
      <c r="G442" s="32" t="str">
        <f t="shared" si="79"/>
        <v>Newell-Fonda</v>
      </c>
      <c r="J442" s="32">
        <f t="shared" si="80"/>
        <v>502.34257631822396</v>
      </c>
      <c r="K442" s="32">
        <f t="shared" si="80"/>
        <v>67242</v>
      </c>
      <c r="L442" s="32">
        <f t="shared" si="80"/>
        <v>149970.93000000002</v>
      </c>
      <c r="M442" s="70">
        <f t="shared" si="81"/>
        <v>-3.4743771501364704E-3</v>
      </c>
      <c r="N442" s="94">
        <f t="shared" si="82"/>
        <v>-0.23262797321557169</v>
      </c>
      <c r="R442" s="32">
        <f t="shared" si="83"/>
        <v>434.2939195298373</v>
      </c>
      <c r="S442" s="32">
        <f t="shared" si="83"/>
        <v>23545</v>
      </c>
      <c r="T442" s="32">
        <f t="shared" si="83"/>
        <v>168586.63</v>
      </c>
      <c r="X442" s="32">
        <f t="shared" si="84"/>
        <v>504.09398895497026</v>
      </c>
      <c r="Y442" s="32">
        <f t="shared" si="84"/>
        <v>41893</v>
      </c>
      <c r="Z442" s="32">
        <f t="shared" si="84"/>
        <v>195434.45</v>
      </c>
    </row>
    <row r="443" spans="5:26" x14ac:dyDescent="0.55000000000000004">
      <c r="E443">
        <v>14</v>
      </c>
      <c r="G443" s="32" t="str">
        <f t="shared" si="79"/>
        <v>Belle Plaine</v>
      </c>
      <c r="J443" s="32">
        <f t="shared" si="80"/>
        <v>457.33654791154794</v>
      </c>
      <c r="K443" s="32">
        <f t="shared" si="80"/>
        <v>53973</v>
      </c>
      <c r="L443" s="32">
        <f t="shared" si="80"/>
        <v>169390.17</v>
      </c>
      <c r="M443" s="70">
        <f t="shared" si="81"/>
        <v>-0.34810331671908917</v>
      </c>
      <c r="N443" s="94">
        <f t="shared" si="82"/>
        <v>-0.23209147218919515</v>
      </c>
      <c r="R443" s="32">
        <f t="shared" si="83"/>
        <v>411.36433933933938</v>
      </c>
      <c r="S443" s="32">
        <f t="shared" si="83"/>
        <v>16140</v>
      </c>
      <c r="T443" s="32">
        <f t="shared" si="83"/>
        <v>203034.92</v>
      </c>
      <c r="X443" s="32">
        <f t="shared" si="84"/>
        <v>701.54759126834767</v>
      </c>
      <c r="Y443" s="32">
        <f t="shared" si="84"/>
        <v>152216</v>
      </c>
      <c r="Z443" s="32">
        <f t="shared" si="84"/>
        <v>220586.38999999996</v>
      </c>
    </row>
    <row r="444" spans="5:26" x14ac:dyDescent="0.55000000000000004">
      <c r="E444">
        <v>15</v>
      </c>
      <c r="G444" s="32" t="str">
        <f t="shared" si="79"/>
        <v>Griswold</v>
      </c>
      <c r="J444" s="32">
        <f t="shared" si="80"/>
        <v>859.79716267339211</v>
      </c>
      <c r="K444" s="32">
        <f t="shared" si="80"/>
        <v>244070</v>
      </c>
      <c r="L444" s="32">
        <f t="shared" si="80"/>
        <v>165021.49</v>
      </c>
      <c r="M444" s="70">
        <f t="shared" si="81"/>
        <v>0.33058535840981551</v>
      </c>
      <c r="N444" s="94">
        <f t="shared" si="82"/>
        <v>-0.23046957626312475</v>
      </c>
      <c r="R444" s="32">
        <f t="shared" si="83"/>
        <v>704.21397102599724</v>
      </c>
      <c r="S444" s="32">
        <f t="shared" si="83"/>
        <v>162831</v>
      </c>
      <c r="T444" s="32">
        <f t="shared" si="83"/>
        <v>192022.41999999998</v>
      </c>
      <c r="X444" s="32">
        <f t="shared" si="84"/>
        <v>646.17963608207515</v>
      </c>
      <c r="Y444" s="32">
        <f t="shared" si="84"/>
        <v>119372</v>
      </c>
      <c r="Z444" s="32">
        <f t="shared" si="84"/>
        <v>214444.40000000002</v>
      </c>
    </row>
    <row r="445" spans="5:26" x14ac:dyDescent="0.55000000000000004">
      <c r="E445">
        <v>16</v>
      </c>
      <c r="G445" s="32" t="str">
        <f t="shared" si="79"/>
        <v>Southeast Warren</v>
      </c>
      <c r="J445" s="32">
        <f t="shared" si="80"/>
        <v>518.19511924570156</v>
      </c>
      <c r="K445" s="32">
        <f t="shared" si="80"/>
        <v>92693</v>
      </c>
      <c r="L445" s="32">
        <f t="shared" si="80"/>
        <v>187598.74</v>
      </c>
      <c r="M445" s="70">
        <f t="shared" si="81"/>
        <v>0.18968441986998386</v>
      </c>
      <c r="N445" s="94">
        <f t="shared" si="82"/>
        <v>-0.22309441089702722</v>
      </c>
      <c r="R445" s="32">
        <f t="shared" si="83"/>
        <v>568.20759905916407</v>
      </c>
      <c r="S445" s="32">
        <f t="shared" si="83"/>
        <v>103433</v>
      </c>
      <c r="T445" s="32">
        <f t="shared" si="83"/>
        <v>210615.34000000003</v>
      </c>
      <c r="X445" s="32">
        <f t="shared" si="84"/>
        <v>435.57359463641052</v>
      </c>
      <c r="Y445" s="32">
        <f t="shared" si="84"/>
        <v>11904</v>
      </c>
      <c r="Z445" s="32">
        <f t="shared" si="84"/>
        <v>241469.16</v>
      </c>
    </row>
    <row r="446" spans="5:26" x14ac:dyDescent="0.55000000000000004">
      <c r="E446">
        <v>17</v>
      </c>
      <c r="G446" s="32" t="str">
        <f t="shared" si="79"/>
        <v>Guthrie Center</v>
      </c>
      <c r="J446" s="32">
        <f t="shared" si="80"/>
        <v>547.47647058823532</v>
      </c>
      <c r="K446" s="32">
        <f t="shared" si="80"/>
        <v>86640</v>
      </c>
      <c r="L446" s="32">
        <f t="shared" si="80"/>
        <v>149760.34</v>
      </c>
      <c r="M446" s="70">
        <f t="shared" si="81"/>
        <v>-9.1608366158214497E-3</v>
      </c>
      <c r="N446" s="94">
        <f t="shared" si="82"/>
        <v>-0.22128772801954932</v>
      </c>
      <c r="R446" s="32">
        <f t="shared" si="83"/>
        <v>579.48824843610362</v>
      </c>
      <c r="S446" s="32">
        <f t="shared" si="83"/>
        <v>88814</v>
      </c>
      <c r="T446" s="32">
        <f t="shared" si="83"/>
        <v>170564.94</v>
      </c>
      <c r="X446" s="32">
        <f t="shared" si="84"/>
        <v>552.53818260306491</v>
      </c>
      <c r="Y446" s="32">
        <f t="shared" si="84"/>
        <v>63673</v>
      </c>
      <c r="Z446" s="32">
        <f t="shared" si="84"/>
        <v>192317.94</v>
      </c>
    </row>
    <row r="447" spans="5:26" x14ac:dyDescent="0.55000000000000004">
      <c r="E447">
        <v>18</v>
      </c>
      <c r="G447" s="32" t="str">
        <f t="shared" si="79"/>
        <v>BCLUW</v>
      </c>
      <c r="J447" s="32">
        <f t="shared" si="80"/>
        <v>605.25178777393296</v>
      </c>
      <c r="K447" s="32">
        <f t="shared" si="80"/>
        <v>134430</v>
      </c>
      <c r="L447" s="32">
        <f t="shared" si="80"/>
        <v>180421.97999999998</v>
      </c>
      <c r="M447" s="70">
        <f t="shared" si="81"/>
        <v>1.0935604275749033E-2</v>
      </c>
      <c r="N447" s="94">
        <f t="shared" si="82"/>
        <v>-0.21743656423982874</v>
      </c>
      <c r="R447" s="32">
        <f t="shared" si="83"/>
        <v>623.4514398644834</v>
      </c>
      <c r="S447" s="32">
        <f t="shared" si="83"/>
        <v>128778</v>
      </c>
      <c r="T447" s="32">
        <f t="shared" si="83"/>
        <v>202461.75</v>
      </c>
      <c r="X447" s="32">
        <f t="shared" si="84"/>
        <v>598.70459128556001</v>
      </c>
      <c r="Y447" s="32">
        <f t="shared" si="84"/>
        <v>101968</v>
      </c>
      <c r="Z447" s="32">
        <f t="shared" si="84"/>
        <v>230552.53000000003</v>
      </c>
    </row>
    <row r="448" spans="5:26" x14ac:dyDescent="0.55000000000000004">
      <c r="E448">
        <v>19</v>
      </c>
      <c r="G448" s="32" t="str">
        <f t="shared" si="79"/>
        <v>Rudd-Rockford-Marble Rock</v>
      </c>
      <c r="J448" s="32">
        <f t="shared" si="80"/>
        <v>532.13584541062801</v>
      </c>
      <c r="K448" s="32">
        <f t="shared" si="80"/>
        <v>76718</v>
      </c>
      <c r="L448" s="32">
        <f t="shared" si="80"/>
        <v>143586.23999999999</v>
      </c>
      <c r="M448" s="70">
        <f t="shared" si="81"/>
        <v>3.1158709051150521E-2</v>
      </c>
      <c r="N448" s="94">
        <f t="shared" si="82"/>
        <v>-0.21581021312836576</v>
      </c>
      <c r="R448" s="32">
        <f t="shared" si="83"/>
        <v>580.25456937799049</v>
      </c>
      <c r="S448" s="32">
        <f t="shared" si="83"/>
        <v>83258</v>
      </c>
      <c r="T448" s="32">
        <f t="shared" si="83"/>
        <v>159288.41</v>
      </c>
      <c r="X448" s="32">
        <f t="shared" si="84"/>
        <v>516.05620040807071</v>
      </c>
      <c r="Y448" s="32">
        <f t="shared" si="84"/>
        <v>44531</v>
      </c>
      <c r="Z448" s="32">
        <f t="shared" si="84"/>
        <v>183101.39</v>
      </c>
    </row>
    <row r="449" spans="5:26" x14ac:dyDescent="0.55000000000000004">
      <c r="E449">
        <v>20</v>
      </c>
      <c r="G449" s="32" t="str">
        <f t="shared" si="79"/>
        <v>George-Little Rock</v>
      </c>
      <c r="J449" s="32">
        <f t="shared" si="80"/>
        <v>593.64369358944691</v>
      </c>
      <c r="K449" s="32">
        <f t="shared" si="80"/>
        <v>106646</v>
      </c>
      <c r="L449" s="32">
        <f t="shared" si="80"/>
        <v>149867.44</v>
      </c>
      <c r="M449" s="70">
        <f t="shared" si="81"/>
        <v>0.19144607910100564</v>
      </c>
      <c r="N449" s="94">
        <f t="shared" si="82"/>
        <v>-0.21344267123567343</v>
      </c>
      <c r="R449" s="32">
        <f t="shared" si="83"/>
        <v>592.161191928672</v>
      </c>
      <c r="S449" s="32">
        <f t="shared" si="83"/>
        <v>89967</v>
      </c>
      <c r="T449" s="32">
        <f t="shared" si="83"/>
        <v>162412.1</v>
      </c>
      <c r="X449" s="32">
        <f t="shared" si="84"/>
        <v>498.25477124183004</v>
      </c>
      <c r="Y449" s="32">
        <f t="shared" si="84"/>
        <v>38163</v>
      </c>
      <c r="Z449" s="32">
        <f t="shared" si="84"/>
        <v>190535.94</v>
      </c>
    </row>
  </sheetData>
  <pageMargins left="0.7" right="0.7" top="0.75" bottom="0.75" header="0.3" footer="0.3"/>
  <pageSetup paperSize="5" scale="68" fitToHeight="0" orientation="landscape" horizontalDpi="1200" verticalDpi="1200" r:id="rId1"/>
  <rowBreaks count="4" manualBreakCount="4">
    <brk id="318" min="6" max="25" man="1"/>
    <brk id="333" min="6" max="25" man="1"/>
    <brk id="381" min="6" max="25" man="1"/>
    <brk id="428" min="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TransportationData</vt:lpstr>
      <vt:lpstr>FinalPayment_NoReorg</vt:lpstr>
      <vt:lpstr>FinalPayment</vt:lpstr>
      <vt:lpstr>Payment</vt:lpstr>
      <vt:lpstr>Payment 1 through 9</vt:lpstr>
      <vt:lpstr>FinalPayment 10</vt:lpstr>
      <vt:lpstr>Notes</vt:lpstr>
      <vt:lpstr>RawTransportationData</vt:lpstr>
      <vt:lpstr>Compare</vt:lpstr>
      <vt:lpstr>Compare!Print_Area</vt:lpstr>
      <vt:lpstr>FinalPayment_NoReorg!Print_Area</vt:lpstr>
      <vt:lpstr>Compare!Print_Titles</vt:lpstr>
      <vt:lpstr>FinalPayment_NoReorg!Print_Titles</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Jen</cp:lastModifiedBy>
  <cp:lastPrinted>2020-02-05T21:50:36Z</cp:lastPrinted>
  <dcterms:created xsi:type="dcterms:W3CDTF">2010-12-06T14:40:28Z</dcterms:created>
  <dcterms:modified xsi:type="dcterms:W3CDTF">2020-02-26T21:48:15Z</dcterms:modified>
</cp:coreProperties>
</file>