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840" windowWidth="20320" windowHeight="139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Gregory Mulder</author>
    <author>Greg Mulder</author>
  </authors>
  <commentList>
    <comment ref="D89" authorId="0">
      <text>
        <r>
          <rPr>
            <b/>
            <sz val="8"/>
            <rFont val="Tahoma"/>
            <family val="0"/>
          </rPr>
          <t xml:space="preserve">Source:  Cambell and LaHerrere, Scientific American, March 1998.  They state the P50 reserve value is 850 Gbo = 1445 PW*hrs.  I estimate that the recoverable economic supply is 670 PW*hrs.
</t>
        </r>
      </text>
    </comment>
    <comment ref="D90" authorId="0">
      <text>
        <r>
          <rPr>
            <b/>
            <sz val="8"/>
            <rFont val="Tahoma"/>
            <family val="0"/>
          </rPr>
          <t xml:space="preserve">Source:  Fouda, "Scientific American", March 1998
</t>
        </r>
      </text>
    </comment>
    <comment ref="C103" authorId="1">
      <text>
        <r>
          <rPr>
            <b/>
            <sz val="8"/>
            <rFont val="Tahoma"/>
            <family val="0"/>
          </rPr>
          <t>Greg Mulder:</t>
        </r>
        <r>
          <rPr>
            <sz val="8"/>
            <rFont val="Tahoma"/>
            <family val="0"/>
          </rPr>
          <t xml:space="preserve">
Source: Ristinen &amp; Kraushaar "Energy and the Environment" front cover</t>
        </r>
      </text>
    </comment>
  </commentList>
</comments>
</file>

<file path=xl/sharedStrings.xml><?xml version="1.0" encoding="utf-8"?>
<sst xmlns="http://schemas.openxmlformats.org/spreadsheetml/2006/main" count="129" uniqueCount="107">
  <si>
    <t>you must pay an equivalent of 0.25% for</t>
  </si>
  <si>
    <t>The Energy Budget</t>
  </si>
  <si>
    <t>articles pertaining to Energy in Albania.)</t>
  </si>
  <si>
    <t>#Nuclear Reactors Built</t>
  </si>
  <si>
    <t>Coal Plants Built</t>
  </si>
  <si>
    <t>rate goal is set at:</t>
  </si>
  <si>
    <t>Currently, your 2040 population growth</t>
  </si>
  <si>
    <r>
      <t xml:space="preserve">2040.  </t>
    </r>
    <r>
      <rPr>
        <b/>
        <i/>
        <sz val="10"/>
        <rFont val="Arial"/>
        <family val="2"/>
      </rPr>
      <t>Warning:</t>
    </r>
    <r>
      <rPr>
        <sz val="10"/>
        <rFont val="Arial"/>
        <family val="0"/>
      </rPr>
      <t xml:space="preserve">  If your budgeting or</t>
    </r>
  </si>
  <si>
    <t>Oil:  670 PW*Hrs</t>
  </si>
  <si>
    <t>Sources:  Kraushaar/Ristinen "Energy and Problems</t>
  </si>
  <si>
    <t xml:space="preserve"> of a Technical Society" 1993 and Scientific American, March 1998.</t>
  </si>
  <si>
    <t xml:space="preserve">growth rate of 1.8%.  This is equal to a </t>
  </si>
  <si>
    <t>J</t>
  </si>
  <si>
    <t>kWh</t>
  </si>
  <si>
    <t>btu</t>
  </si>
  <si>
    <t>Crude Petroleum (42 gallon barrel)</t>
  </si>
  <si>
    <t>6.12*10^9</t>
  </si>
  <si>
    <t>5.8*10^-4</t>
  </si>
  <si>
    <t>Bituminous coal (1 ton=2000lb=0.907tonne)</t>
  </si>
  <si>
    <t>2.81*10^10</t>
  </si>
  <si>
    <t>2.66*10^7</t>
  </si>
  <si>
    <t>Natural gas (1000 cubic feet @ STP)</t>
  </si>
  <si>
    <t>1.09*10^9</t>
  </si>
  <si>
    <t>1.035*10^6</t>
  </si>
  <si>
    <t>Gasoline (1 US gallon=0.83UK/Canada/Imperial gallons)</t>
  </si>
  <si>
    <t>1.32*10^8</t>
  </si>
  <si>
    <t>1.25*10^5</t>
  </si>
  <si>
    <t>Uranium235 (1 gram)</t>
  </si>
  <si>
    <t>8.28*10^10</t>
  </si>
  <si>
    <t>2.30*10^4</t>
  </si>
  <si>
    <t>7.84*10^7</t>
  </si>
  <si>
    <t>Deuterium (1 gram)</t>
  </si>
  <si>
    <t>2.38*10^11</t>
  </si>
  <si>
    <t>6.6*10^4</t>
  </si>
  <si>
    <t>2.25*10^8</t>
  </si>
  <si>
    <t>Some Energy Equivalents</t>
  </si>
  <si>
    <t>There is a useful Energy Industry Conversion page available at http://www.eppo.go.th/ref/UNIT-OIL.html</t>
  </si>
  <si>
    <t>Or a 2044 Population of:</t>
  </si>
  <si>
    <r>
      <t>Oil:</t>
    </r>
    <r>
      <rPr>
        <b/>
        <sz val="10"/>
        <color indexed="10"/>
        <rFont val="Arial"/>
        <family val="2"/>
      </rPr>
      <t xml:space="preserve">  640 PW*Hrs</t>
    </r>
  </si>
  <si>
    <r>
      <t xml:space="preserve">Gas: </t>
    </r>
    <r>
      <rPr>
        <b/>
        <sz val="10"/>
        <color indexed="10"/>
        <rFont val="Arial"/>
        <family val="2"/>
      </rPr>
      <t xml:space="preserve"> 430 PW*Hrs</t>
    </r>
  </si>
  <si>
    <r>
      <t xml:space="preserve">Coal: </t>
    </r>
    <r>
      <rPr>
        <b/>
        <sz val="10"/>
        <color indexed="10"/>
        <rFont val="Arial"/>
        <family val="2"/>
      </rPr>
      <t xml:space="preserve"> 53,000 PW*Hrs</t>
    </r>
  </si>
  <si>
    <t xml:space="preserve">In 2005 you are elected Energy Czar of the </t>
  </si>
  <si>
    <r>
      <t>Global Energy Consumption Normalized (1950-2004)</t>
    </r>
    <r>
      <rPr>
        <sz val="8"/>
        <rFont val="Arial"/>
        <family val="2"/>
      </rPr>
      <t xml:space="preserve"> Sources:  Worldwatch, Vital Signs 1996 &amp; 2000 &amp; 2006</t>
    </r>
  </si>
  <si>
    <t>Year</t>
  </si>
  <si>
    <t>Oil</t>
  </si>
  <si>
    <t>Gas</t>
  </si>
  <si>
    <t>Coal</t>
  </si>
  <si>
    <t>Wind</t>
  </si>
  <si>
    <t>Solar</t>
  </si>
  <si>
    <t>Nuclear</t>
  </si>
  <si>
    <t>Total</t>
  </si>
  <si>
    <t>Global Pop.</t>
  </si>
  <si>
    <t>PerCap Energy</t>
  </si>
  <si>
    <t>PW*hrs</t>
  </si>
  <si>
    <t>Millions of People</t>
  </si>
  <si>
    <t>KW*hours per person</t>
  </si>
  <si>
    <t>Estimated Amount of Remaining</t>
  </si>
  <si>
    <t>Non-Renewable Resources</t>
  </si>
  <si>
    <t>Gas:  450 PW*Hrs</t>
  </si>
  <si>
    <t>Coal:  53,600 PW*Hrs</t>
  </si>
  <si>
    <t>You may raise or lower this birthrate by</t>
  </si>
  <si>
    <t>changing the average family size as follows:</t>
  </si>
  <si>
    <t>2.1 kids/woman = no growth</t>
  </si>
  <si>
    <t>1.9 kids/woman = -0.4%</t>
  </si>
  <si>
    <t>2.9 kids/woman = 2.7%</t>
  </si>
  <si>
    <t>3.1 kids/woman = 3.5%</t>
  </si>
  <si>
    <t>Remember your limits:</t>
  </si>
  <si>
    <t>planet.  Your job is to manage the planet's</t>
  </si>
  <si>
    <t xml:space="preserve">remaining non-renewable energy resources </t>
  </si>
  <si>
    <t>and project how new energy resources</t>
  </si>
  <si>
    <t>will be utilized.</t>
  </si>
  <si>
    <t>life.  Thus, you are in charge of how the</t>
  </si>
  <si>
    <t>resources will be spent until the year</t>
  </si>
  <si>
    <t>policies turn out to be too wildly unpopular,</t>
  </si>
  <si>
    <t>you can be unseated.  (Consult recent</t>
  </si>
  <si>
    <r>
      <t>1.</t>
    </r>
    <r>
      <rPr>
        <sz val="10"/>
        <rFont val="Arial"/>
        <family val="0"/>
      </rPr>
      <t xml:space="preserve">  You are appointed to the position for</t>
    </r>
  </si>
  <si>
    <t>supplies on the planet Earth.  You may not</t>
  </si>
  <si>
    <t>overspend these resources.</t>
  </si>
  <si>
    <r>
      <t xml:space="preserve">2. </t>
    </r>
    <r>
      <rPr>
        <sz val="10"/>
        <rFont val="Arial"/>
        <family val="0"/>
      </rPr>
      <t xml:space="preserve"> Certain energy resources come in limited</t>
    </r>
  </si>
  <si>
    <r>
      <t>3.</t>
    </r>
    <r>
      <rPr>
        <sz val="10"/>
        <rFont val="Arial"/>
        <family val="0"/>
      </rPr>
      <t xml:space="preserve">  You may increase without limit the </t>
    </r>
  </si>
  <si>
    <t xml:space="preserve">amount of energy being created by Nuclear, </t>
  </si>
  <si>
    <t>Wind, and Solar Power.  However, it may</t>
  </si>
  <si>
    <t>cost you.</t>
  </si>
  <si>
    <r>
      <t>4.</t>
    </r>
    <r>
      <rPr>
        <sz val="10"/>
        <rFont val="Arial"/>
        <family val="0"/>
      </rPr>
      <t xml:space="preserve">  Population growth:</t>
    </r>
  </si>
  <si>
    <t xml:space="preserve">The human race currently has an annual </t>
  </si>
  <si>
    <t>fertility rate of about 2.7 children per</t>
  </si>
  <si>
    <t xml:space="preserve">woman (i.e. for every one hundred women, </t>
  </si>
  <si>
    <t>270 children will be born to them in their</t>
  </si>
  <si>
    <t>collective lifetimes).</t>
  </si>
  <si>
    <t>You may add a total of 0.5 PW*hrs per year</t>
  </si>
  <si>
    <t>in new energy sources without serious cost</t>
  </si>
  <si>
    <t>0.5 PW*hrs in new sources in one year,</t>
  </si>
  <si>
    <t xml:space="preserve">to the global economy.  If you go above </t>
  </si>
  <si>
    <t>every additional 0.5 PW*hrs.</t>
  </si>
  <si>
    <t>Guidelines for the Game</t>
  </si>
  <si>
    <t>#Reactors Built</t>
  </si>
  <si>
    <t>Land Mass (Oregons)-Wind</t>
  </si>
  <si>
    <t>Land Mass (Oregons)-Solar</t>
  </si>
  <si>
    <t>Global Cost (billions of US dollars)</t>
  </si>
  <si>
    <t>Tot. Global Cost (bil.'95$US)</t>
  </si>
  <si>
    <t>Total Coal Plants built</t>
  </si>
  <si>
    <t>2.7 kids/woman = 2.0%</t>
  </si>
  <si>
    <t>2.5 kids/woman = 1.3%</t>
  </si>
  <si>
    <t>2.3 kids/woman = 0.9%</t>
  </si>
  <si>
    <t>Total Land Mass Covered (Oregons)-Wind</t>
  </si>
  <si>
    <t>Total Land Mass Covered (Oregons)-Solar</t>
  </si>
  <si>
    <t>New Energy Added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</si>
</sst>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i/>
      <sz val="18"/>
      <name val="Brush Script MT"/>
      <family val="4"/>
    </font>
    <font>
      <sz val="7"/>
      <name val="Arial"/>
      <family val="2"/>
    </font>
    <font>
      <b/>
      <sz val="10"/>
      <color indexed="13"/>
      <name val="Arial"/>
      <family val="2"/>
    </font>
    <font>
      <b/>
      <sz val="12"/>
      <name val="Arial"/>
      <family val="2"/>
    </font>
    <font>
      <b/>
      <sz val="6"/>
      <color indexed="13"/>
      <name val="Arial"/>
      <family val="2"/>
    </font>
    <font>
      <sz val="8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b/>
      <sz val="8.25"/>
      <name val="Arial"/>
      <family val="0"/>
    </font>
    <font>
      <b/>
      <sz val="10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9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0" fillId="0" borderId="5" xfId="0" applyBorder="1" applyAlignment="1">
      <alignment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/>
    </xf>
    <xf numFmtId="1" fontId="0" fillId="0" borderId="0" xfId="0" applyNumberFormat="1" applyAlignment="1">
      <alignment/>
    </xf>
    <xf numFmtId="0" fontId="0" fillId="4" borderId="5" xfId="0" applyFill="1" applyBorder="1" applyAlignment="1">
      <alignment/>
    </xf>
    <xf numFmtId="0" fontId="4" fillId="4" borderId="5" xfId="0" applyFont="1" applyFill="1" applyBorder="1" applyAlignment="1">
      <alignment/>
    </xf>
    <xf numFmtId="0" fontId="11" fillId="4" borderId="5" xfId="0" applyFont="1" applyFill="1" applyBorder="1" applyAlignment="1">
      <alignment/>
    </xf>
    <xf numFmtId="0" fontId="11" fillId="4" borderId="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/>
    </xf>
    <xf numFmtId="0" fontId="13" fillId="5" borderId="0" xfId="0" applyFont="1" applyFill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0" fontId="5" fillId="0" borderId="5" xfId="0" applyNumberFormat="1" applyFont="1" applyBorder="1" applyAlignment="1">
      <alignment horizontal="center"/>
    </xf>
    <xf numFmtId="0" fontId="18" fillId="0" borderId="0" xfId="0" applyFont="1" applyAlignment="1">
      <alignment/>
    </xf>
    <xf numFmtId="3" fontId="5" fillId="0" borderId="5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1" fontId="7" fillId="0" borderId="0" xfId="0" applyNumberFormat="1" applyFont="1" applyAlignment="1">
      <alignment/>
    </xf>
    <xf numFmtId="0" fontId="3" fillId="0" borderId="5" xfId="0" applyFont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Human Energy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1"/>
          <c:w val="0.7435"/>
          <c:h val="0.782"/>
        </c:manualLayout>
      </c:layout>
      <c:areaChart>
        <c:grouping val="stacked"/>
        <c:varyColors val="0"/>
        <c:ser>
          <c:idx val="1"/>
          <c:order val="0"/>
          <c:tx>
            <c:v>Oil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(Sheet1!$B$4:$B$33,Sheet1!$B$44:$B$78)</c:f>
              <c:numCache/>
            </c:numRef>
          </c:cat>
          <c:val>
            <c:numRef>
              <c:f>(Sheet1!$C$4:$C$33,Sheet1!$C$44:$C$78)</c:f>
              <c:numCache/>
            </c:numRef>
          </c:val>
        </c:ser>
        <c:ser>
          <c:idx val="2"/>
          <c:order val="1"/>
          <c:tx>
            <c:v>N.Gas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(Sheet1!$B$4:$B$33,Sheet1!$B$44:$B$78)</c:f>
              <c:numCache/>
            </c:numRef>
          </c:cat>
          <c:val>
            <c:numRef>
              <c:f>(Sheet1!$D$4:$D$33,Sheet1!$D$44:$D$78)</c:f>
              <c:numCache/>
            </c:numRef>
          </c:val>
        </c:ser>
        <c:ser>
          <c:idx val="3"/>
          <c:order val="2"/>
          <c:tx>
            <c:v>Coal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(Sheet1!$B$4:$B$33,Sheet1!$B$44:$B$78)</c:f>
              <c:numCache/>
            </c:numRef>
          </c:cat>
          <c:val>
            <c:numRef>
              <c:f>(Sheet1!$E$4:$E$33,Sheet1!$E$44:$E$78)</c:f>
              <c:numCache/>
            </c:numRef>
          </c:val>
        </c:ser>
        <c:ser>
          <c:idx val="4"/>
          <c:order val="3"/>
          <c:tx>
            <c:v>Nuclear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(Sheet1!$B$4:$B$33,Sheet1!$B$44:$B$78)</c:f>
              <c:numCache/>
            </c:numRef>
          </c:cat>
          <c:val>
            <c:numRef>
              <c:f>(Sheet1!$F$4:$F$33,Sheet1!$F$44:$F$78)</c:f>
              <c:numCache/>
            </c:numRef>
          </c:val>
        </c:ser>
        <c:ser>
          <c:idx val="5"/>
          <c:order val="4"/>
          <c:tx>
            <c:v>Wind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(Sheet1!$B$4:$B$33,Sheet1!$B$44:$B$78)</c:f>
              <c:numCache/>
            </c:numRef>
          </c:cat>
          <c:val>
            <c:numRef>
              <c:f>(Sheet1!$G$4:$G$33,Sheet1!$G$44:$G$78)</c:f>
              <c:numCache/>
            </c:numRef>
          </c:val>
        </c:ser>
        <c:ser>
          <c:idx val="6"/>
          <c:order val="5"/>
          <c:tx>
            <c:v>Solar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(Sheet1!$B$4:$B$33,Sheet1!$B$44:$B$78)</c:f>
              <c:numCache/>
            </c:numRef>
          </c:cat>
          <c:val>
            <c:numRef>
              <c:f>(Sheet1!$H$4:$H$33,Sheet1!$H$44:$H$78)</c:f>
              <c:numCache/>
            </c:numRef>
          </c:val>
        </c:ser>
        <c:axId val="58270956"/>
        <c:axId val="54676557"/>
      </c:areaChart>
      <c:catAx>
        <c:axId val="58270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76557"/>
        <c:crosses val="autoZero"/>
        <c:auto val="1"/>
        <c:lblOffset val="100"/>
        <c:noMultiLvlLbl val="0"/>
      </c:catAx>
      <c:valAx>
        <c:axId val="54676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PW*hrs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709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5"/>
          <c:y val="0.34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Per Capita Energy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(Sheet1!$B$4:$B$33,Sheet1!$B$44:$B$78)</c:f>
              <c:numCache/>
            </c:numRef>
          </c:cat>
          <c:val>
            <c:numRef>
              <c:f>(Sheet1!$K$4:$K$33,Sheet1!$K$44:$K$78)</c:f>
              <c:numCache/>
            </c:numRef>
          </c:val>
          <c:smooth val="0"/>
        </c:ser>
        <c:marker val="1"/>
        <c:axId val="22326966"/>
        <c:axId val="66724967"/>
      </c:lineChart>
      <c:catAx>
        <c:axId val="22326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24967"/>
        <c:crosses val="autoZero"/>
        <c:auto val="1"/>
        <c:lblOffset val="100"/>
        <c:noMultiLvlLbl val="0"/>
      </c:catAx>
      <c:valAx>
        <c:axId val="66724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KW*hrs per person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26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Global Population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People (Millions)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(Sheet1!$B$4:$B$33,Sheet1!$B$44:$B$78)</c:f>
              <c:numCache/>
            </c:numRef>
          </c:cat>
          <c:val>
            <c:numRef>
              <c:f>(Sheet1!$J$4:$J$33,Sheet1!$J$44:$J$78)</c:f>
              <c:numCache/>
            </c:numRef>
          </c:val>
          <c:smooth val="0"/>
        </c:ser>
        <c:marker val="1"/>
        <c:axId val="63653792"/>
        <c:axId val="36013217"/>
      </c:lineChart>
      <c:catAx>
        <c:axId val="63653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13217"/>
        <c:crosses val="autoZero"/>
        <c:auto val="1"/>
        <c:lblOffset val="100"/>
        <c:noMultiLvlLbl val="0"/>
      </c:catAx>
      <c:valAx>
        <c:axId val="36013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People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53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Global Cost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Cost (U.S. Billions)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(Sheet1!$B$4:$B$33,Sheet1!$B$44:$B$78)</c:f>
              <c:numCache/>
            </c:numRef>
          </c:cat>
          <c:val>
            <c:numRef>
              <c:f>(Sheet1!$Q$4:$Q$33,Sheet1!$Q$44:$Q$78)</c:f>
              <c:numCache/>
            </c:numRef>
          </c:val>
          <c:smooth val="0"/>
        </c:ser>
        <c:axId val="55683498"/>
        <c:axId val="31389435"/>
      </c:lineChart>
      <c:catAx>
        <c:axId val="55683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89435"/>
        <c:crosses val="autoZero"/>
        <c:auto val="1"/>
        <c:lblOffset val="100"/>
        <c:noMultiLvlLbl val="0"/>
      </c:catAx>
      <c:valAx>
        <c:axId val="31389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Cost (Billion $U.S.)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83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0.20225</cdr:x>
      <cdr:y>0.47725</cdr:y>
    </cdr:from>
    <cdr:to>
      <cdr:x>0.9665</cdr:x>
      <cdr:y>0.47725</cdr:y>
    </cdr:to>
    <cdr:sp>
      <cdr:nvSpPr>
        <cdr:cNvPr id="1" name="Line 1"/>
        <cdr:cNvSpPr>
          <a:spLocks/>
        </cdr:cNvSpPr>
      </cdr:nvSpPr>
      <cdr:spPr>
        <a:xfrm>
          <a:off x="533400" y="923925"/>
          <a:ext cx="20193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38100</xdr:rowOff>
    </xdr:from>
    <xdr:to>
      <xdr:col>0</xdr:col>
      <xdr:colOff>2657475</xdr:colOff>
      <xdr:row>78</xdr:row>
      <xdr:rowOff>38100</xdr:rowOff>
    </xdr:to>
    <xdr:graphicFrame>
      <xdr:nvGraphicFramePr>
        <xdr:cNvPr id="1" name="Chart 1"/>
        <xdr:cNvGraphicFramePr/>
      </xdr:nvGraphicFramePr>
      <xdr:xfrm>
        <a:off x="19050" y="11163300"/>
        <a:ext cx="26289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78</xdr:row>
      <xdr:rowOff>85725</xdr:rowOff>
    </xdr:from>
    <xdr:to>
      <xdr:col>0</xdr:col>
      <xdr:colOff>2667000</xdr:colOff>
      <xdr:row>87</xdr:row>
      <xdr:rowOff>171450</xdr:rowOff>
    </xdr:to>
    <xdr:graphicFrame>
      <xdr:nvGraphicFramePr>
        <xdr:cNvPr id="2" name="Chart 2"/>
        <xdr:cNvGraphicFramePr/>
      </xdr:nvGraphicFramePr>
      <xdr:xfrm>
        <a:off x="19050" y="13154025"/>
        <a:ext cx="263842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87</xdr:row>
      <xdr:rowOff>142875</xdr:rowOff>
    </xdr:from>
    <xdr:to>
      <xdr:col>0</xdr:col>
      <xdr:colOff>2676525</xdr:colOff>
      <xdr:row>100</xdr:row>
      <xdr:rowOff>57150</xdr:rowOff>
    </xdr:to>
    <xdr:graphicFrame>
      <xdr:nvGraphicFramePr>
        <xdr:cNvPr id="3" name="Chart 3"/>
        <xdr:cNvGraphicFramePr/>
      </xdr:nvGraphicFramePr>
      <xdr:xfrm>
        <a:off x="28575" y="15068550"/>
        <a:ext cx="2638425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100</xdr:row>
      <xdr:rowOff>57150</xdr:rowOff>
    </xdr:from>
    <xdr:to>
      <xdr:col>0</xdr:col>
      <xdr:colOff>2667000</xdr:colOff>
      <xdr:row>112</xdr:row>
      <xdr:rowOff>133350</xdr:rowOff>
    </xdr:to>
    <xdr:graphicFrame>
      <xdr:nvGraphicFramePr>
        <xdr:cNvPr id="4" name="Chart 4"/>
        <xdr:cNvGraphicFramePr/>
      </xdr:nvGraphicFramePr>
      <xdr:xfrm>
        <a:off x="9525" y="17125950"/>
        <a:ext cx="2657475" cy="1971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1"/>
  <sheetViews>
    <sheetView tabSelected="1" workbookViewId="0" topLeftCell="A52">
      <selection activeCell="L4" sqref="L4"/>
    </sheetView>
  </sheetViews>
  <sheetFormatPr defaultColWidth="11.421875" defaultRowHeight="12.75"/>
  <cols>
    <col min="1" max="1" width="41.28125" style="0" bestFit="1" customWidth="1"/>
    <col min="2" max="2" width="8.8515625" style="0" customWidth="1"/>
    <col min="3" max="3" width="8.28125" style="0" customWidth="1"/>
    <col min="4" max="4" width="6.28125" style="0" customWidth="1"/>
    <col min="5" max="5" width="6.00390625" style="0" bestFit="1" customWidth="1"/>
    <col min="6" max="6" width="6.28125" style="0" customWidth="1"/>
    <col min="7" max="7" width="5.421875" style="0" customWidth="1"/>
    <col min="8" max="8" width="6.421875" style="0" customWidth="1"/>
    <col min="9" max="9" width="7.7109375" style="0" customWidth="1"/>
    <col min="10" max="10" width="8.8515625" style="0" customWidth="1"/>
    <col min="11" max="11" width="16.7109375" style="0" bestFit="1" customWidth="1"/>
    <col min="12" max="12" width="8.8515625" style="0" customWidth="1"/>
    <col min="13" max="13" width="12.421875" style="0" bestFit="1" customWidth="1"/>
    <col min="14" max="16384" width="8.8515625" style="0" customWidth="1"/>
  </cols>
  <sheetData>
    <row r="1" spans="1:11" s="1" customFormat="1" ht="36" customHeight="1">
      <c r="A1" s="16" t="s">
        <v>1</v>
      </c>
      <c r="B1" s="14" t="s">
        <v>42</v>
      </c>
      <c r="C1" s="6"/>
      <c r="D1" s="6"/>
      <c r="E1" s="6"/>
      <c r="F1" s="6"/>
      <c r="G1" s="6"/>
      <c r="H1" s="6"/>
      <c r="I1" s="7"/>
      <c r="J1" s="5"/>
      <c r="K1" s="5"/>
    </row>
    <row r="2" spans="1:33" s="2" customFormat="1" ht="14.25" customHeight="1" thickBot="1">
      <c r="A2" s="17"/>
      <c r="B2" s="29" t="s">
        <v>43</v>
      </c>
      <c r="C2" s="8" t="s">
        <v>44</v>
      </c>
      <c r="D2" s="8" t="s">
        <v>45</v>
      </c>
      <c r="E2" s="8" t="s">
        <v>46</v>
      </c>
      <c r="F2" s="8" t="s">
        <v>49</v>
      </c>
      <c r="G2" s="8" t="s">
        <v>47</v>
      </c>
      <c r="H2" s="8" t="s">
        <v>48</v>
      </c>
      <c r="I2" s="8" t="s">
        <v>50</v>
      </c>
      <c r="J2" s="8" t="s">
        <v>51</v>
      </c>
      <c r="K2" s="8" t="s">
        <v>52</v>
      </c>
      <c r="T2" s="42"/>
      <c r="U2" s="43"/>
      <c r="V2" s="43"/>
      <c r="W2" s="43"/>
      <c r="X2" s="43"/>
      <c r="Y2" s="43"/>
      <c r="Z2" s="43"/>
      <c r="AA2" s="43"/>
      <c r="AB2" s="43"/>
      <c r="AC2" s="43"/>
      <c r="AD2" s="42"/>
      <c r="AE2" s="42"/>
      <c r="AF2" s="42"/>
      <c r="AG2" s="42"/>
    </row>
    <row r="3" spans="1:33" s="3" customFormat="1" ht="10.5" thickTop="1">
      <c r="A3" s="25"/>
      <c r="B3" s="30"/>
      <c r="C3" s="30" t="s">
        <v>53</v>
      </c>
      <c r="D3" s="30" t="s">
        <v>53</v>
      </c>
      <c r="E3" s="30" t="s">
        <v>53</v>
      </c>
      <c r="F3" s="30" t="s">
        <v>53</v>
      </c>
      <c r="G3" s="30" t="s">
        <v>53</v>
      </c>
      <c r="H3" s="30" t="s">
        <v>53</v>
      </c>
      <c r="I3" s="30" t="s">
        <v>53</v>
      </c>
      <c r="J3" s="30" t="s">
        <v>54</v>
      </c>
      <c r="K3" s="30" t="s">
        <v>55</v>
      </c>
      <c r="T3" s="44"/>
      <c r="U3" s="45"/>
      <c r="V3" s="45"/>
      <c r="W3" s="45"/>
      <c r="X3" s="45"/>
      <c r="Y3" s="45"/>
      <c r="Z3" s="45"/>
      <c r="AA3" s="45"/>
      <c r="AB3" s="45"/>
      <c r="AC3" s="45"/>
      <c r="AD3" s="44"/>
      <c r="AE3" s="44"/>
      <c r="AF3" s="44"/>
      <c r="AG3" s="44"/>
    </row>
    <row r="4" spans="1:11" ht="12.75">
      <c r="A4" s="27" t="s">
        <v>41</v>
      </c>
      <c r="B4" s="28">
        <v>1950</v>
      </c>
      <c r="C4" s="34">
        <v>3.63636</v>
      </c>
      <c r="D4" s="34">
        <v>1.31274</v>
      </c>
      <c r="E4" s="34">
        <v>6.205679999999999</v>
      </c>
      <c r="F4" s="34">
        <v>0</v>
      </c>
      <c r="G4" s="34">
        <v>0</v>
      </c>
      <c r="H4" s="34">
        <v>0</v>
      </c>
      <c r="I4" s="34">
        <f aca="true" t="shared" si="0" ref="I4:I42">SUM(C4:H4)</f>
        <v>11.154779999999999</v>
      </c>
      <c r="J4">
        <v>2556</v>
      </c>
      <c r="K4" s="23">
        <f aca="true" t="shared" si="1" ref="K4:K42">(I4/J4)*10^6</f>
        <v>4364.154929577464</v>
      </c>
    </row>
    <row r="5" spans="1:11" ht="12.75">
      <c r="A5" s="26" t="s">
        <v>67</v>
      </c>
      <c r="B5" s="33">
        <v>1955</v>
      </c>
      <c r="C5" s="34">
        <v>5.384339999999999</v>
      </c>
      <c r="D5" s="34">
        <v>2.08494</v>
      </c>
      <c r="E5" s="34">
        <v>7.3359</v>
      </c>
      <c r="F5" s="34">
        <v>0</v>
      </c>
      <c r="G5" s="34">
        <v>0</v>
      </c>
      <c r="H5" s="34">
        <v>0</v>
      </c>
      <c r="I5" s="34">
        <f t="shared" si="0"/>
        <v>14.80518</v>
      </c>
      <c r="J5">
        <v>2780</v>
      </c>
      <c r="K5" s="23">
        <f t="shared" si="1"/>
        <v>5325.604316546762</v>
      </c>
    </row>
    <row r="6" spans="1:11" ht="12.75">
      <c r="A6" s="26" t="s">
        <v>68</v>
      </c>
      <c r="B6" s="9">
        <v>1960</v>
      </c>
      <c r="C6" s="4">
        <v>7.36398</v>
      </c>
      <c r="D6" s="4">
        <v>3.21516</v>
      </c>
      <c r="E6" s="4">
        <v>8.92242</v>
      </c>
      <c r="F6" s="4">
        <v>0.00876</v>
      </c>
      <c r="G6" s="4">
        <v>0</v>
      </c>
      <c r="H6" s="4">
        <v>0</v>
      </c>
      <c r="I6" s="4">
        <f t="shared" si="0"/>
        <v>19.510319999999997</v>
      </c>
      <c r="J6">
        <v>3039</v>
      </c>
      <c r="K6" s="23">
        <f t="shared" si="1"/>
        <v>6419.980256663375</v>
      </c>
    </row>
    <row r="7" spans="1:11" ht="12.75">
      <c r="A7" s="26" t="s">
        <v>69</v>
      </c>
      <c r="B7" s="33">
        <v>1965</v>
      </c>
      <c r="C7" s="34">
        <v>10.593179999999998</v>
      </c>
      <c r="D7" s="34">
        <v>4.66128</v>
      </c>
      <c r="E7" s="34">
        <v>9.118979999999999</v>
      </c>
      <c r="F7" s="34">
        <v>0.0438</v>
      </c>
      <c r="G7" s="34">
        <v>0</v>
      </c>
      <c r="H7" s="34">
        <v>0</v>
      </c>
      <c r="I7" s="34">
        <f t="shared" si="0"/>
        <v>24.417239999999996</v>
      </c>
      <c r="J7">
        <v>3345</v>
      </c>
      <c r="K7" s="23">
        <f t="shared" si="1"/>
        <v>7299.623318385649</v>
      </c>
    </row>
    <row r="8" spans="1:11" ht="12.75">
      <c r="A8" s="26" t="s">
        <v>70</v>
      </c>
      <c r="B8" s="9">
        <v>1970</v>
      </c>
      <c r="C8" s="4">
        <v>16.01262</v>
      </c>
      <c r="D8" s="4">
        <v>7.20252</v>
      </c>
      <c r="E8" s="4">
        <v>9.54018</v>
      </c>
      <c r="F8" s="4">
        <v>0.14016</v>
      </c>
      <c r="G8" s="4">
        <v>0</v>
      </c>
      <c r="H8" s="4">
        <v>0</v>
      </c>
      <c r="I8" s="4">
        <f t="shared" si="0"/>
        <v>32.89548</v>
      </c>
      <c r="J8">
        <v>3707</v>
      </c>
      <c r="K8" s="23">
        <f t="shared" si="1"/>
        <v>8873.88184515781</v>
      </c>
    </row>
    <row r="9" spans="1:11" ht="12.75">
      <c r="A9" s="24"/>
      <c r="B9" s="33">
        <v>1971</v>
      </c>
      <c r="C9" s="34">
        <v>16.918200000000002</v>
      </c>
      <c r="D9" s="34">
        <v>7.76412</v>
      </c>
      <c r="E9" s="34">
        <v>9.512099999999998</v>
      </c>
      <c r="F9" s="34">
        <v>0.21024</v>
      </c>
      <c r="G9" s="34">
        <v>0</v>
      </c>
      <c r="H9" s="34">
        <v>8.760000000000001E-07</v>
      </c>
      <c r="I9" s="34">
        <f t="shared" si="0"/>
        <v>34.404660876</v>
      </c>
      <c r="J9">
        <v>3785</v>
      </c>
      <c r="K9" s="23">
        <f t="shared" si="1"/>
        <v>9089.738672655218</v>
      </c>
    </row>
    <row r="10" spans="1:11" ht="12.75">
      <c r="A10" s="19" t="s">
        <v>94</v>
      </c>
      <c r="B10" s="33">
        <v>1972</v>
      </c>
      <c r="C10" s="34">
        <v>17.89398</v>
      </c>
      <c r="D10" s="34">
        <v>8.2134</v>
      </c>
      <c r="E10" s="34">
        <v>9.512099999999998</v>
      </c>
      <c r="F10" s="34">
        <v>0.28032</v>
      </c>
      <c r="G10" s="34">
        <v>0</v>
      </c>
      <c r="H10" s="34">
        <v>0</v>
      </c>
      <c r="I10" s="34">
        <f t="shared" si="0"/>
        <v>35.8998</v>
      </c>
      <c r="J10">
        <v>3861</v>
      </c>
      <c r="K10" s="23">
        <f t="shared" si="1"/>
        <v>9298.057498057498</v>
      </c>
    </row>
    <row r="11" spans="1:11" ht="12.75">
      <c r="A11" s="20" t="s">
        <v>75</v>
      </c>
      <c r="B11" s="9">
        <v>1973</v>
      </c>
      <c r="C11" s="4">
        <v>19.50858</v>
      </c>
      <c r="D11" s="4">
        <v>8.71182</v>
      </c>
      <c r="E11" s="4">
        <v>9.91926</v>
      </c>
      <c r="F11" s="4">
        <v>0.3942</v>
      </c>
      <c r="G11" s="4">
        <v>0</v>
      </c>
      <c r="H11" s="4">
        <v>0</v>
      </c>
      <c r="I11" s="4">
        <f t="shared" si="0"/>
        <v>38.53386</v>
      </c>
      <c r="J11">
        <v>3937</v>
      </c>
      <c r="K11" s="23">
        <f t="shared" si="1"/>
        <v>9787.62001524003</v>
      </c>
    </row>
    <row r="12" spans="1:11" ht="12.75">
      <c r="A12" s="18" t="s">
        <v>71</v>
      </c>
      <c r="B12" s="33">
        <v>1974</v>
      </c>
      <c r="C12" s="34">
        <v>19.677059999999997</v>
      </c>
      <c r="D12" s="34">
        <v>8.852219999999999</v>
      </c>
      <c r="E12" s="34">
        <v>10.06668</v>
      </c>
      <c r="F12" s="34">
        <v>0.53436</v>
      </c>
      <c r="G12" s="34">
        <v>0</v>
      </c>
      <c r="H12" s="34">
        <v>0</v>
      </c>
      <c r="I12" s="34">
        <f t="shared" si="0"/>
        <v>39.13032</v>
      </c>
      <c r="J12">
        <v>4013</v>
      </c>
      <c r="K12" s="23">
        <f t="shared" si="1"/>
        <v>9750.889608771491</v>
      </c>
    </row>
    <row r="13" spans="1:11" ht="12.75">
      <c r="A13" s="18" t="s">
        <v>72</v>
      </c>
      <c r="B13" s="33">
        <v>1975</v>
      </c>
      <c r="C13" s="34">
        <v>18.66618</v>
      </c>
      <c r="D13" s="34">
        <v>8.89434</v>
      </c>
      <c r="E13" s="34">
        <v>10.179</v>
      </c>
      <c r="F13" s="34">
        <v>0.62196</v>
      </c>
      <c r="G13" s="34">
        <v>0</v>
      </c>
      <c r="H13" s="34">
        <v>1.5768000000000002E-05</v>
      </c>
      <c r="I13" s="34">
        <f t="shared" si="0"/>
        <v>38.361495768</v>
      </c>
      <c r="J13">
        <v>4086</v>
      </c>
      <c r="K13" s="23">
        <f t="shared" si="1"/>
        <v>9388.520745961821</v>
      </c>
    </row>
    <row r="14" spans="1:11" ht="12.75">
      <c r="A14" s="18" t="s">
        <v>7</v>
      </c>
      <c r="B14" s="9">
        <v>1976</v>
      </c>
      <c r="C14" s="4">
        <v>20.36502</v>
      </c>
      <c r="D14" s="4">
        <v>9.266399999999999</v>
      </c>
      <c r="E14" s="4">
        <v>10.7055</v>
      </c>
      <c r="F14" s="4">
        <v>0.7446</v>
      </c>
      <c r="G14" s="4">
        <v>0</v>
      </c>
      <c r="H14" s="4">
        <v>1.752E-05</v>
      </c>
      <c r="I14" s="4">
        <f t="shared" si="0"/>
        <v>41.08153752</v>
      </c>
      <c r="J14">
        <v>4158</v>
      </c>
      <c r="K14" s="23">
        <f t="shared" si="1"/>
        <v>9880.119653679654</v>
      </c>
    </row>
    <row r="15" spans="1:11" ht="12.75">
      <c r="A15" s="18" t="s">
        <v>73</v>
      </c>
      <c r="B15" s="33">
        <v>1977</v>
      </c>
      <c r="C15" s="34">
        <v>20.975759999999998</v>
      </c>
      <c r="D15" s="34">
        <v>9.50508</v>
      </c>
      <c r="E15" s="34">
        <v>11.098619999999999</v>
      </c>
      <c r="F15" s="34">
        <v>0.86724</v>
      </c>
      <c r="G15" s="34">
        <v>0</v>
      </c>
      <c r="H15" s="34">
        <v>1.9272E-05</v>
      </c>
      <c r="I15" s="34">
        <f t="shared" si="0"/>
        <v>42.446719272</v>
      </c>
      <c r="J15">
        <v>4231</v>
      </c>
      <c r="K15" s="23">
        <f t="shared" si="1"/>
        <v>10032.313701725361</v>
      </c>
    </row>
    <row r="16" spans="1:11" ht="12.75">
      <c r="A16" s="18" t="s">
        <v>74</v>
      </c>
      <c r="B16" s="33">
        <v>1978</v>
      </c>
      <c r="C16" s="34">
        <v>21.22146</v>
      </c>
      <c r="D16" s="34">
        <v>9.785879999999999</v>
      </c>
      <c r="E16" s="34">
        <v>11.337299999999999</v>
      </c>
      <c r="F16" s="34">
        <v>0.99864</v>
      </c>
      <c r="G16" s="34">
        <v>0</v>
      </c>
      <c r="H16" s="34">
        <v>2.19E-05</v>
      </c>
      <c r="I16" s="34">
        <f t="shared" si="0"/>
        <v>43.3433019</v>
      </c>
      <c r="J16">
        <v>4303</v>
      </c>
      <c r="K16" s="23">
        <f t="shared" si="1"/>
        <v>10072.81010922612</v>
      </c>
    </row>
    <row r="17" spans="1:11" ht="12.75">
      <c r="A17" s="18" t="s">
        <v>2</v>
      </c>
      <c r="B17" s="9">
        <v>1979</v>
      </c>
      <c r="C17" s="4">
        <v>21.916439999999998</v>
      </c>
      <c r="D17" s="4">
        <v>10.4949</v>
      </c>
      <c r="E17" s="4">
        <v>11.800619999999999</v>
      </c>
      <c r="F17" s="4">
        <v>1.05996</v>
      </c>
      <c r="G17" s="4">
        <v>0</v>
      </c>
      <c r="H17" s="4">
        <v>3.504E-05</v>
      </c>
      <c r="I17" s="4">
        <f t="shared" si="0"/>
        <v>45.27195503999999</v>
      </c>
      <c r="J17">
        <v>4378</v>
      </c>
      <c r="K17" s="23">
        <f t="shared" si="1"/>
        <v>10340.784613978984</v>
      </c>
    </row>
    <row r="18" spans="1:11" ht="12.75">
      <c r="A18" s="18"/>
      <c r="B18" s="33">
        <v>1980</v>
      </c>
      <c r="C18" s="34">
        <v>20.89152</v>
      </c>
      <c r="D18" s="34">
        <v>10.214099999999998</v>
      </c>
      <c r="E18" s="34">
        <v>11.99016</v>
      </c>
      <c r="F18" s="34">
        <v>1.1826</v>
      </c>
      <c r="G18" s="34">
        <v>8.76E-05</v>
      </c>
      <c r="H18" s="34">
        <v>5.694E-05</v>
      </c>
      <c r="I18" s="34">
        <f t="shared" si="0"/>
        <v>44.27852454</v>
      </c>
      <c r="J18">
        <v>4454</v>
      </c>
      <c r="K18" s="23">
        <f t="shared" si="1"/>
        <v>9941.294238886396</v>
      </c>
    </row>
    <row r="19" spans="1:11" ht="12.75">
      <c r="A19" s="20" t="s">
        <v>78</v>
      </c>
      <c r="B19" s="33">
        <v>1981</v>
      </c>
      <c r="C19" s="34">
        <v>19.50858</v>
      </c>
      <c r="D19" s="34">
        <v>10.473840000000001</v>
      </c>
      <c r="E19" s="34">
        <v>12.15864</v>
      </c>
      <c r="F19" s="34">
        <v>1.3578</v>
      </c>
      <c r="G19" s="34">
        <v>0.000219</v>
      </c>
      <c r="H19" s="34">
        <v>6.8328E-05</v>
      </c>
      <c r="I19" s="34">
        <f t="shared" si="0"/>
        <v>43.49914732799999</v>
      </c>
      <c r="J19">
        <v>4530</v>
      </c>
      <c r="K19" s="23">
        <f t="shared" si="1"/>
        <v>9602.460778807945</v>
      </c>
    </row>
    <row r="20" spans="1:11" ht="12.75">
      <c r="A20" s="18" t="s">
        <v>76</v>
      </c>
      <c r="B20" s="9">
        <v>1982</v>
      </c>
      <c r="C20" s="4">
        <v>18.560879999999997</v>
      </c>
      <c r="D20" s="4">
        <v>10.40364</v>
      </c>
      <c r="E20" s="4">
        <v>12.292019999999999</v>
      </c>
      <c r="F20" s="4">
        <v>1.4892</v>
      </c>
      <c r="G20" s="4">
        <v>0.0007884</v>
      </c>
      <c r="H20" s="4">
        <v>7.971599999999998E-05</v>
      </c>
      <c r="I20" s="4">
        <f t="shared" si="0"/>
        <v>42.74660811599999</v>
      </c>
      <c r="J20">
        <v>4610</v>
      </c>
      <c r="K20" s="23">
        <f t="shared" si="1"/>
        <v>9272.583105422991</v>
      </c>
    </row>
    <row r="21" spans="1:11" ht="12.75">
      <c r="A21" s="18" t="s">
        <v>77</v>
      </c>
      <c r="B21" s="33">
        <v>1983</v>
      </c>
      <c r="C21" s="34">
        <v>18.385379999999998</v>
      </c>
      <c r="D21" s="34">
        <v>10.452779999999999</v>
      </c>
      <c r="E21" s="34">
        <v>12.66408</v>
      </c>
      <c r="F21" s="34">
        <v>1.65564</v>
      </c>
      <c r="G21" s="34">
        <v>0.0018396</v>
      </c>
      <c r="H21" s="34">
        <v>0.00015067199999999997</v>
      </c>
      <c r="I21" s="34">
        <f t="shared" si="0"/>
        <v>43.159870271999985</v>
      </c>
      <c r="J21">
        <v>4690</v>
      </c>
      <c r="K21" s="23">
        <f t="shared" si="1"/>
        <v>9202.530974840083</v>
      </c>
    </row>
    <row r="22" spans="1:11" ht="12.75">
      <c r="A22" s="19" t="s">
        <v>56</v>
      </c>
      <c r="B22" s="33">
        <v>1984</v>
      </c>
      <c r="C22" s="34">
        <v>18.96102</v>
      </c>
      <c r="D22" s="34">
        <v>11.4075</v>
      </c>
      <c r="E22" s="34">
        <v>13.17654</v>
      </c>
      <c r="F22" s="34">
        <v>1.91844</v>
      </c>
      <c r="G22" s="34">
        <v>0.005256</v>
      </c>
      <c r="H22" s="34">
        <v>0.00018834</v>
      </c>
      <c r="I22" s="34">
        <f t="shared" si="0"/>
        <v>45.46894434000001</v>
      </c>
      <c r="J22">
        <v>4770</v>
      </c>
      <c r="K22" s="23">
        <f t="shared" si="1"/>
        <v>9532.273446540881</v>
      </c>
    </row>
    <row r="23" spans="1:11" ht="12.75">
      <c r="A23" s="19" t="s">
        <v>57</v>
      </c>
      <c r="B23" s="9">
        <v>1985</v>
      </c>
      <c r="C23" s="4">
        <v>18.66618</v>
      </c>
      <c r="D23" s="4">
        <v>11.884859999999998</v>
      </c>
      <c r="E23" s="4">
        <v>13.899599999999998</v>
      </c>
      <c r="F23" s="4">
        <v>2.19</v>
      </c>
      <c r="G23" s="4">
        <v>0.0089352</v>
      </c>
      <c r="H23" s="4">
        <v>0.00019972800000000004</v>
      </c>
      <c r="I23" s="4">
        <f t="shared" si="0"/>
        <v>46.649774928</v>
      </c>
      <c r="J23">
        <v>4851</v>
      </c>
      <c r="K23" s="23">
        <f t="shared" si="1"/>
        <v>9616.527505256649</v>
      </c>
    </row>
    <row r="24" spans="1:11" ht="12.75">
      <c r="A24" s="21" t="s">
        <v>8</v>
      </c>
      <c r="B24" s="33">
        <v>1986</v>
      </c>
      <c r="C24" s="34">
        <v>19.47348</v>
      </c>
      <c r="D24" s="34">
        <v>12.15864</v>
      </c>
      <c r="E24" s="34">
        <v>14.047019999999998</v>
      </c>
      <c r="F24" s="34">
        <v>2.41776</v>
      </c>
      <c r="G24" s="34">
        <v>0.0111252</v>
      </c>
      <c r="H24" s="34">
        <v>0.00022776</v>
      </c>
      <c r="I24" s="34">
        <f t="shared" si="0"/>
        <v>48.10825296</v>
      </c>
      <c r="J24">
        <v>4933</v>
      </c>
      <c r="K24" s="23">
        <f t="shared" si="1"/>
        <v>9752.331838637745</v>
      </c>
    </row>
    <row r="25" spans="1:11" ht="12.75">
      <c r="A25" s="21" t="s">
        <v>58</v>
      </c>
      <c r="B25" s="33">
        <v>1987</v>
      </c>
      <c r="C25" s="34">
        <v>19.33308</v>
      </c>
      <c r="D25" s="34">
        <v>12.727259999999998</v>
      </c>
      <c r="E25" s="34">
        <v>14.47524</v>
      </c>
      <c r="F25" s="34">
        <v>2.60172</v>
      </c>
      <c r="G25" s="34">
        <v>0.012702</v>
      </c>
      <c r="H25" s="34">
        <v>0.00025579199999999997</v>
      </c>
      <c r="I25" s="34">
        <f t="shared" si="0"/>
        <v>49.15025779199999</v>
      </c>
      <c r="J25">
        <v>5018</v>
      </c>
      <c r="K25" s="23">
        <f t="shared" si="1"/>
        <v>9794.790313272219</v>
      </c>
    </row>
    <row r="26" spans="1:11" ht="12.75">
      <c r="A26" s="21" t="s">
        <v>59</v>
      </c>
      <c r="B26" s="9">
        <v>1988</v>
      </c>
      <c r="C26" s="4">
        <v>20.224619999999998</v>
      </c>
      <c r="D26" s="4">
        <v>13.338</v>
      </c>
      <c r="E26" s="4">
        <v>15.32466</v>
      </c>
      <c r="F26" s="4">
        <v>2.7156</v>
      </c>
      <c r="G26" s="4">
        <v>0.0138408</v>
      </c>
      <c r="H26" s="4">
        <v>0.000296088</v>
      </c>
      <c r="I26" s="4">
        <f t="shared" si="0"/>
        <v>51.617016887999995</v>
      </c>
      <c r="J26">
        <v>5105</v>
      </c>
      <c r="K26" s="23">
        <f t="shared" si="1"/>
        <v>10111.07088893242</v>
      </c>
    </row>
    <row r="27" spans="1:11" ht="12.75">
      <c r="A27" s="22" t="s">
        <v>9</v>
      </c>
      <c r="B27" s="33">
        <v>1989</v>
      </c>
      <c r="C27" s="34">
        <v>20.484359999999995</v>
      </c>
      <c r="D27" s="34">
        <v>13.77324</v>
      </c>
      <c r="E27" s="34">
        <v>15.366779999999999</v>
      </c>
      <c r="F27" s="34">
        <v>2.8032</v>
      </c>
      <c r="G27" s="34">
        <v>0.0151548</v>
      </c>
      <c r="H27" s="34">
        <v>0.000352152</v>
      </c>
      <c r="I27" s="34">
        <f t="shared" si="0"/>
        <v>52.44308695199999</v>
      </c>
      <c r="J27">
        <v>5190</v>
      </c>
      <c r="K27" s="23">
        <f t="shared" si="1"/>
        <v>10104.64103121387</v>
      </c>
    </row>
    <row r="28" spans="1:11" ht="12.75">
      <c r="A28" s="41" t="s">
        <v>10</v>
      </c>
      <c r="B28" s="33">
        <v>1990</v>
      </c>
      <c r="C28" s="34">
        <v>20.75112</v>
      </c>
      <c r="D28" s="34">
        <v>14.110199999999999</v>
      </c>
      <c r="E28" s="34">
        <v>14.805179999999998</v>
      </c>
      <c r="F28" s="34">
        <v>2.87328</v>
      </c>
      <c r="G28" s="34">
        <v>0.0169068</v>
      </c>
      <c r="H28" s="34">
        <v>0.00040734</v>
      </c>
      <c r="I28" s="34">
        <f t="shared" si="0"/>
        <v>52.557094140000004</v>
      </c>
      <c r="J28">
        <v>5277</v>
      </c>
      <c r="K28" s="23">
        <f t="shared" si="1"/>
        <v>9959.653996588971</v>
      </c>
    </row>
    <row r="29" spans="1:11" ht="12.75">
      <c r="A29" s="18"/>
      <c r="B29" s="33">
        <v>1991</v>
      </c>
      <c r="C29" s="34">
        <v>20.55456</v>
      </c>
      <c r="D29" s="34">
        <v>14.3559</v>
      </c>
      <c r="E29" s="34">
        <v>14.559479999999999</v>
      </c>
      <c r="F29" s="34">
        <v>2.847</v>
      </c>
      <c r="G29" s="34">
        <v>0.0190092</v>
      </c>
      <c r="H29" s="34">
        <v>0.00048530399999999993</v>
      </c>
      <c r="I29" s="34">
        <f t="shared" si="0"/>
        <v>52.336434504</v>
      </c>
      <c r="J29">
        <v>5359</v>
      </c>
      <c r="K29" s="23">
        <f t="shared" si="1"/>
        <v>9766.08219891771</v>
      </c>
    </row>
    <row r="30" spans="1:11" ht="12.75">
      <c r="A30" s="20" t="s">
        <v>79</v>
      </c>
      <c r="B30" s="9">
        <v>1992</v>
      </c>
      <c r="C30" s="4">
        <v>21.052979999999998</v>
      </c>
      <c r="D30" s="4">
        <v>14.3559</v>
      </c>
      <c r="E30" s="4">
        <v>14.72796</v>
      </c>
      <c r="F30" s="4">
        <v>2.86452</v>
      </c>
      <c r="G30" s="4">
        <v>0.0219876</v>
      </c>
      <c r="H30" s="4">
        <v>0.0005072039999999999</v>
      </c>
      <c r="I30" s="4">
        <f t="shared" si="0"/>
        <v>53.023854803999996</v>
      </c>
      <c r="J30">
        <v>5442</v>
      </c>
      <c r="K30" s="23">
        <f t="shared" si="1"/>
        <v>9743.449982359425</v>
      </c>
    </row>
    <row r="31" spans="1:11" ht="12.75">
      <c r="A31" s="18" t="s">
        <v>80</v>
      </c>
      <c r="B31" s="33">
        <v>1993</v>
      </c>
      <c r="C31" s="34">
        <v>20.75112</v>
      </c>
      <c r="D31" s="34">
        <v>14.67882</v>
      </c>
      <c r="E31" s="34">
        <v>14.6367</v>
      </c>
      <c r="F31" s="34">
        <v>2.94336</v>
      </c>
      <c r="G31" s="34">
        <v>0.0174324</v>
      </c>
      <c r="H31" s="34">
        <v>0.000526476</v>
      </c>
      <c r="I31" s="34">
        <f t="shared" si="0"/>
        <v>53.02795887599999</v>
      </c>
      <c r="J31">
        <v>5523</v>
      </c>
      <c r="K31" s="23">
        <f t="shared" si="1"/>
        <v>9601.296193373166</v>
      </c>
    </row>
    <row r="32" spans="1:11" ht="12.75">
      <c r="A32" s="18" t="s">
        <v>81</v>
      </c>
      <c r="B32" s="33">
        <v>1994</v>
      </c>
      <c r="C32" s="34">
        <v>20.961719999999996</v>
      </c>
      <c r="D32" s="34">
        <v>14.78412</v>
      </c>
      <c r="E32" s="34">
        <v>14.7069</v>
      </c>
      <c r="F32" s="34">
        <v>2.96088</v>
      </c>
      <c r="G32" s="34">
        <v>0.0322368</v>
      </c>
      <c r="H32" s="34">
        <v>0.000607944</v>
      </c>
      <c r="I32" s="34">
        <f t="shared" si="0"/>
        <v>53.446464744</v>
      </c>
      <c r="J32">
        <v>5603</v>
      </c>
      <c r="K32" s="23">
        <f t="shared" si="1"/>
        <v>9538.901435659467</v>
      </c>
    </row>
    <row r="33" spans="1:11" ht="12.75">
      <c r="A33" s="18" t="s">
        <v>82</v>
      </c>
      <c r="B33" s="9">
        <v>1995</v>
      </c>
      <c r="C33" s="4">
        <v>21.19</v>
      </c>
      <c r="D33" s="4">
        <v>15.26</v>
      </c>
      <c r="E33" s="4">
        <v>14.93</v>
      </c>
      <c r="F33" s="4">
        <v>2.98</v>
      </c>
      <c r="G33" s="4">
        <v>0.04</v>
      </c>
      <c r="H33" s="34">
        <v>0.000689412</v>
      </c>
      <c r="I33" s="4">
        <f t="shared" si="0"/>
        <v>54.400689412</v>
      </c>
      <c r="J33">
        <v>5682</v>
      </c>
      <c r="K33" s="23">
        <f t="shared" si="1"/>
        <v>9574.214961633228</v>
      </c>
    </row>
    <row r="34" spans="1:11" ht="12.75">
      <c r="A34" s="18" t="s">
        <v>89</v>
      </c>
      <c r="B34" s="33">
        <v>1996</v>
      </c>
      <c r="C34" s="38">
        <v>21.72</v>
      </c>
      <c r="D34" s="34">
        <v>15.96</v>
      </c>
      <c r="E34" s="34">
        <v>15.46</v>
      </c>
      <c r="F34" s="34">
        <v>3</v>
      </c>
      <c r="G34" s="34">
        <v>0.05</v>
      </c>
      <c r="H34" s="34">
        <v>0.00078</v>
      </c>
      <c r="I34" s="4">
        <f t="shared" si="0"/>
        <v>56.19078</v>
      </c>
      <c r="J34" s="23">
        <v>5761</v>
      </c>
      <c r="K34" s="23">
        <f t="shared" si="1"/>
        <v>9753.650407915293</v>
      </c>
    </row>
    <row r="35" spans="1:11" ht="12.75">
      <c r="A35" s="18" t="s">
        <v>90</v>
      </c>
      <c r="B35" s="33">
        <v>1997</v>
      </c>
      <c r="C35" s="38">
        <v>22.19</v>
      </c>
      <c r="D35" s="38">
        <v>15.88</v>
      </c>
      <c r="E35" s="38">
        <v>15.33</v>
      </c>
      <c r="F35" s="34">
        <v>3</v>
      </c>
      <c r="G35" s="34">
        <v>0.06</v>
      </c>
      <c r="H35" s="34">
        <v>0.0011</v>
      </c>
      <c r="I35" s="4">
        <f t="shared" si="0"/>
        <v>56.4611</v>
      </c>
      <c r="J35" s="23">
        <v>5840</v>
      </c>
      <c r="K35" s="23">
        <f t="shared" si="1"/>
        <v>9667.996575342466</v>
      </c>
    </row>
    <row r="36" spans="1:11" ht="12.75">
      <c r="A36" s="15" t="s">
        <v>92</v>
      </c>
      <c r="B36" s="9">
        <v>1998</v>
      </c>
      <c r="C36" s="38">
        <v>22.17</v>
      </c>
      <c r="D36" s="34">
        <v>16.11</v>
      </c>
      <c r="E36" s="38">
        <v>15.01</v>
      </c>
      <c r="F36" s="34">
        <v>3</v>
      </c>
      <c r="G36" s="34">
        <v>0.08</v>
      </c>
      <c r="H36" s="34">
        <v>0.0014</v>
      </c>
      <c r="I36" s="4">
        <f t="shared" si="0"/>
        <v>56.371399999999994</v>
      </c>
      <c r="J36" s="23">
        <v>5919</v>
      </c>
      <c r="K36" s="23">
        <f t="shared" si="1"/>
        <v>9523.804696739313</v>
      </c>
    </row>
    <row r="37" spans="1:11" ht="12.75">
      <c r="A37" s="15" t="s">
        <v>91</v>
      </c>
      <c r="B37" s="33">
        <v>1999</v>
      </c>
      <c r="C37" s="38">
        <v>22.37</v>
      </c>
      <c r="D37" s="34">
        <v>16.6</v>
      </c>
      <c r="E37" s="34">
        <v>14.52</v>
      </c>
      <c r="F37" s="34">
        <v>3.02</v>
      </c>
      <c r="G37" s="34">
        <v>0.11</v>
      </c>
      <c r="H37" s="34">
        <v>0.0018</v>
      </c>
      <c r="I37" s="4">
        <f t="shared" si="0"/>
        <v>56.6218</v>
      </c>
      <c r="J37" s="23">
        <v>5996</v>
      </c>
      <c r="K37" s="23">
        <f t="shared" si="1"/>
        <v>9443.262174783189</v>
      </c>
    </row>
    <row r="38" spans="1:11" ht="12.75">
      <c r="A38" s="15" t="s">
        <v>0</v>
      </c>
      <c r="B38" s="9">
        <v>2000</v>
      </c>
      <c r="C38" s="38">
        <f>3539/3494*22.37</f>
        <v>22.65810818546079</v>
      </c>
      <c r="D38" s="34">
        <f>2195/2107*16.6</f>
        <v>17.293308020882773</v>
      </c>
      <c r="E38" s="34">
        <f>2148/2109*14.52</f>
        <v>14.78850640113798</v>
      </c>
      <c r="F38" s="34">
        <f>349/346*3.02</f>
        <v>3.046184971098266</v>
      </c>
      <c r="G38" s="34">
        <f>18450/13930*0.11</f>
        <v>0.1456927494615937</v>
      </c>
      <c r="H38" s="34">
        <f>1452/1164*0.0018</f>
        <v>0.002245360824742268</v>
      </c>
      <c r="I38" s="4">
        <f t="shared" si="0"/>
        <v>57.93404568886615</v>
      </c>
      <c r="J38" s="23">
        <v>6080</v>
      </c>
      <c r="K38" s="23">
        <f t="shared" si="1"/>
        <v>9528.625935668773</v>
      </c>
    </row>
    <row r="39" spans="1:11" ht="12.75">
      <c r="A39" s="15" t="s">
        <v>93</v>
      </c>
      <c r="B39" s="33">
        <v>2001</v>
      </c>
      <c r="C39" s="38">
        <f>3552/3494*22.37</f>
        <v>22.741339439038352</v>
      </c>
      <c r="D39" s="34">
        <f>2219/2107*16.6</f>
        <v>17.482392026578072</v>
      </c>
      <c r="E39" s="34">
        <f>2217/2109*14.52</f>
        <v>15.263556187766714</v>
      </c>
      <c r="F39" s="34">
        <f>352/346*3.02</f>
        <v>3.0723699421965316</v>
      </c>
      <c r="G39" s="34">
        <f>24930/13930*0.11</f>
        <v>0.19686288585786071</v>
      </c>
      <c r="H39" s="34">
        <f>1851/1164*0.0018</f>
        <v>0.0028623711340206182</v>
      </c>
      <c r="I39" s="4">
        <f t="shared" si="0"/>
        <v>58.75938285257155</v>
      </c>
      <c r="J39" s="23">
        <v>6150</v>
      </c>
      <c r="K39" s="23">
        <f t="shared" si="1"/>
        <v>9554.371195540089</v>
      </c>
    </row>
    <row r="40" spans="1:11" ht="12.75">
      <c r="A40" s="15"/>
      <c r="B40" s="9">
        <v>2002</v>
      </c>
      <c r="C40" s="38">
        <f>3581/3494*22.37</f>
        <v>22.927009158557528</v>
      </c>
      <c r="D40" s="34">
        <f>2282/2107*16.6</f>
        <v>17.97873754152824</v>
      </c>
      <c r="E40" s="34">
        <f>2413/2109*14.52</f>
        <v>16.612972972972972</v>
      </c>
      <c r="F40" s="34">
        <f>357/346*3.02</f>
        <v>3.1160115606936416</v>
      </c>
      <c r="G40" s="34">
        <f>32040/13930*0.11</f>
        <v>0.2530078966259871</v>
      </c>
      <c r="H40" s="34">
        <f>2411/1164*0.0018</f>
        <v>0.0037283505154639177</v>
      </c>
      <c r="I40" s="4">
        <f t="shared" si="0"/>
        <v>60.89146748089384</v>
      </c>
      <c r="J40" s="23">
        <v>6230</v>
      </c>
      <c r="K40" s="23">
        <f t="shared" si="1"/>
        <v>9773.91131314508</v>
      </c>
    </row>
    <row r="41" spans="1:11" ht="12.75">
      <c r="A41" s="20" t="s">
        <v>83</v>
      </c>
      <c r="B41" s="33">
        <v>2003</v>
      </c>
      <c r="C41" s="38">
        <f>3642/3494*22.37</f>
        <v>23.317555809959934</v>
      </c>
      <c r="D41" s="34">
        <f>2343/2107*16.6</f>
        <v>18.4593260560038</v>
      </c>
      <c r="E41" s="34">
        <f>2614/2109*14.52</f>
        <v>17.996813655761024</v>
      </c>
      <c r="F41" s="34">
        <f>358/346*3.02</f>
        <v>3.124739884393064</v>
      </c>
      <c r="G41" s="34">
        <f>40300/13930*0.11</f>
        <v>0.3182340272792534</v>
      </c>
      <c r="H41" s="34">
        <f>3170/1164*0.0018</f>
        <v>0.0049020618556701034</v>
      </c>
      <c r="I41" s="4">
        <f t="shared" si="0"/>
        <v>63.22157149525274</v>
      </c>
      <c r="J41" s="23">
        <v>6300</v>
      </c>
      <c r="K41" s="23">
        <f t="shared" si="1"/>
        <v>10035.170078611545</v>
      </c>
    </row>
    <row r="42" spans="1:17" ht="12.75">
      <c r="A42" s="18" t="s">
        <v>84</v>
      </c>
      <c r="B42" s="9">
        <v>2004</v>
      </c>
      <c r="C42" s="38">
        <f>3767/3494*22.37</f>
        <v>24.11785632512879</v>
      </c>
      <c r="D42" s="34">
        <f>2420/2107*16.6</f>
        <v>19.065970574276225</v>
      </c>
      <c r="E42" s="34">
        <f>2778/2109*14.52</f>
        <v>19.12591749644381</v>
      </c>
      <c r="F42" s="34">
        <f>366/346*3.02</f>
        <v>3.1945664739884396</v>
      </c>
      <c r="G42" s="34">
        <f>47910/13930*0.11</f>
        <v>0.37832735104091886</v>
      </c>
      <c r="H42" s="34">
        <f>4365/1164*0.0018</f>
        <v>0.00675</v>
      </c>
      <c r="I42" s="4">
        <f t="shared" si="0"/>
        <v>65.88938822087819</v>
      </c>
      <c r="J42" s="23">
        <v>6380</v>
      </c>
      <c r="K42" s="23">
        <f t="shared" si="1"/>
        <v>10327.490316752068</v>
      </c>
      <c r="L42">
        <f>F42*160</f>
        <v>511.13063583815034</v>
      </c>
      <c r="M42">
        <f>G42/0.5*0.1</f>
        <v>0.07566547020818377</v>
      </c>
      <c r="N42" s="39">
        <f>H42/0.5*0.1</f>
        <v>0.00135</v>
      </c>
      <c r="O42">
        <f>E42*160</f>
        <v>3060.1467994310096</v>
      </c>
      <c r="Q42">
        <v>5</v>
      </c>
    </row>
    <row r="43" spans="1:17" ht="24.75">
      <c r="A43" s="18" t="s">
        <v>11</v>
      </c>
      <c r="B43" s="8" t="s">
        <v>43</v>
      </c>
      <c r="C43" s="8" t="s">
        <v>44</v>
      </c>
      <c r="D43" s="8" t="s">
        <v>45</v>
      </c>
      <c r="E43" s="8" t="s">
        <v>46</v>
      </c>
      <c r="F43" s="8" t="s">
        <v>49</v>
      </c>
      <c r="G43" s="8" t="s">
        <v>47</v>
      </c>
      <c r="H43" s="8" t="s">
        <v>48</v>
      </c>
      <c r="I43" s="8" t="s">
        <v>50</v>
      </c>
      <c r="J43" s="8" t="s">
        <v>51</v>
      </c>
      <c r="K43" s="8" t="s">
        <v>52</v>
      </c>
      <c r="L43" s="31" t="s">
        <v>3</v>
      </c>
      <c r="M43" s="31" t="s">
        <v>96</v>
      </c>
      <c r="N43" s="31" t="s">
        <v>97</v>
      </c>
      <c r="O43" s="31" t="s">
        <v>4</v>
      </c>
      <c r="P43" s="31" t="s">
        <v>106</v>
      </c>
      <c r="Q43" s="31" t="s">
        <v>98</v>
      </c>
    </row>
    <row r="44" spans="1:19" ht="12.75">
      <c r="A44" s="18" t="s">
        <v>85</v>
      </c>
      <c r="B44" s="33">
        <v>2005</v>
      </c>
      <c r="C44" s="4"/>
      <c r="D44" s="4"/>
      <c r="E44" s="4"/>
      <c r="F44" s="4"/>
      <c r="G44" s="4"/>
      <c r="H44" s="4"/>
      <c r="I44" s="34">
        <f aca="true" t="shared" si="2" ref="I44:I83">SUM(C44:H44)</f>
        <v>0</v>
      </c>
      <c r="J44">
        <f>J42*(1.018)</f>
        <v>6494.84</v>
      </c>
      <c r="K44" s="23">
        <f aca="true" t="shared" si="3" ref="K44:K83">(I44/J44)*10^6</f>
        <v>0</v>
      </c>
      <c r="L44">
        <f>(F44-F42)*160</f>
        <v>-511.13063583815034</v>
      </c>
      <c r="M44">
        <f>IF((G44-G42)*0.1/0.5&gt;=0,(G44-G42)*0.1/0.5,0)</f>
        <v>0</v>
      </c>
      <c r="N44">
        <f>IF((H44-H42)*0.1/0.5&gt;=0,(H44-H42)*0.1/0.5,0)</f>
        <v>0</v>
      </c>
      <c r="O44">
        <f>(E44-E42)*160</f>
        <v>-3060.1467994310096</v>
      </c>
      <c r="P44">
        <f>((SIGN(C44-C42)*(SIGN(C44-C42)+1)/2*(C44-C42))+(SIGN(D44-D42)*(SIGN(D44-D42)+1)/2*(D44-D42))+(SIGN(E44-E42)*(SIGN(E44-E42)+1)/2*(E44-E42))+(SIGN(F44-F42)*(SIGN(F44-F42)+1)/2*(F44-F42))+(SIGN(G44-G42)*(SIGN(G44-G42)+1)/2*(G44-G42))+(SIGN(H44-H42)*(SIGN(H44-H42)+1)/2*(H44-H42)))</f>
        <v>0</v>
      </c>
      <c r="Q44" s="4">
        <f>IF((P44-0.5)&gt;0,(P44-0.5)*200,0)</f>
        <v>0</v>
      </c>
      <c r="S44">
        <v>28</v>
      </c>
    </row>
    <row r="45" spans="1:17" ht="12.75">
      <c r="A45" s="18" t="s">
        <v>86</v>
      </c>
      <c r="B45" s="33">
        <v>2006</v>
      </c>
      <c r="C45" s="4"/>
      <c r="D45" s="4"/>
      <c r="E45" s="4"/>
      <c r="F45" s="4"/>
      <c r="G45" s="4"/>
      <c r="H45" s="4"/>
      <c r="I45" s="34">
        <f t="shared" si="2"/>
        <v>0</v>
      </c>
      <c r="J45">
        <f>J44*1.018</f>
        <v>6611.74712</v>
      </c>
      <c r="K45" s="23">
        <f t="shared" si="3"/>
        <v>0</v>
      </c>
      <c r="L45">
        <f>(F45-F44)*160</f>
        <v>0</v>
      </c>
      <c r="M45">
        <f>IF((G45-G44)*0.1/0.5&gt;=0,(G45-G44)*0.1/0.5,0)</f>
        <v>0</v>
      </c>
      <c r="N45">
        <f>IF((H45-H44)*0.1/0.5&gt;=0,(H45-H44)*0.1/0.5,0)</f>
        <v>0</v>
      </c>
      <c r="O45">
        <f>(E45-E44)*160</f>
        <v>0</v>
      </c>
      <c r="P45">
        <f>((SIGN(C45-C44)*(SIGN(C45-C44)+1)/2*(C45-C44))+(SIGN(D45-D44)*(SIGN(D45-D44)+1)/2*(D45-D44))+(SIGN(E45-E44)*(SIGN(E45-E44)+1)/2*(E45-E44))+(SIGN(F45-F44)*(SIGN(F45-F44)+1)/2*(F45-F44))+(SIGN(G45-G44)*(SIGN(G45-G44)+1)/2*(G45-G44))+(SIGN(H45-H44)*(SIGN(H45-H44)+1)/2*(H45-H44)))</f>
        <v>0</v>
      </c>
      <c r="Q45" s="4">
        <f aca="true" t="shared" si="4" ref="Q45:Q83">IF((P45-0.5)&gt;0,(P45-0.5)*200,0)</f>
        <v>0</v>
      </c>
    </row>
    <row r="46" spans="1:17" ht="12.75">
      <c r="A46" s="18" t="s">
        <v>87</v>
      </c>
      <c r="B46" s="33">
        <v>2007</v>
      </c>
      <c r="C46" s="4"/>
      <c r="D46" s="4"/>
      <c r="E46" s="4"/>
      <c r="F46" s="4"/>
      <c r="G46" s="4"/>
      <c r="H46" s="4"/>
      <c r="I46" s="4">
        <f t="shared" si="2"/>
        <v>0</v>
      </c>
      <c r="J46">
        <f>J45*(1+(0.018+((A$60-0.018)/(2041-B46))))</f>
        <v>6730.75856816</v>
      </c>
      <c r="K46" s="23">
        <f t="shared" si="3"/>
        <v>0</v>
      </c>
      <c r="L46">
        <f aca="true" t="shared" si="5" ref="L46:L78">(F46-F45)*160</f>
        <v>0</v>
      </c>
      <c r="M46">
        <f aca="true" t="shared" si="6" ref="M46:N78">IF((G46-G45)*0.1/0.5&gt;=0,(G46-G45)*0.1/0.5,0)</f>
        <v>0</v>
      </c>
      <c r="N46">
        <f t="shared" si="6"/>
        <v>0</v>
      </c>
      <c r="O46">
        <f aca="true" t="shared" si="7" ref="O46:O78">(E46-E45)*160</f>
        <v>0</v>
      </c>
      <c r="P46">
        <f aca="true" t="shared" si="8" ref="P46:P78">((SIGN(C46-C45)*(SIGN(C46-C45)+1)/2*(C46-C45))+(SIGN(D46-D45)*(SIGN(D46-D45)+1)/2*(D46-D45))+(SIGN(E46-E45)*(SIGN(E46-E45)+1)/2*(E46-E45))+(SIGN(F46-F45)*(SIGN(F46-F45)+1)/2*(F46-F45))+(SIGN(G46-G45)*(SIGN(G46-G45)+1)/2*(G46-G45))+(SIGN(H46-H45)*(SIGN(H46-H45)+1)/2*(H46-H45)))</f>
        <v>0</v>
      </c>
      <c r="Q46" s="4">
        <f t="shared" si="4"/>
        <v>0</v>
      </c>
    </row>
    <row r="47" spans="1:17" ht="12.75">
      <c r="A47" s="18" t="s">
        <v>88</v>
      </c>
      <c r="B47" s="33">
        <v>2008</v>
      </c>
      <c r="C47" s="4"/>
      <c r="D47" s="4"/>
      <c r="E47" s="4"/>
      <c r="F47" s="4"/>
      <c r="G47" s="4"/>
      <c r="H47" s="4"/>
      <c r="I47" s="34">
        <f t="shared" si="2"/>
        <v>0</v>
      </c>
      <c r="J47">
        <f>J46*(1+(0.018+((A$60-0.018)/(2041-B47))))</f>
        <v>6851.912222386881</v>
      </c>
      <c r="K47" s="23">
        <f t="shared" si="3"/>
        <v>0</v>
      </c>
      <c r="L47">
        <f t="shared" si="5"/>
        <v>0</v>
      </c>
      <c r="M47">
        <f t="shared" si="6"/>
        <v>0</v>
      </c>
      <c r="N47">
        <f t="shared" si="6"/>
        <v>0</v>
      </c>
      <c r="O47">
        <f t="shared" si="7"/>
        <v>0</v>
      </c>
      <c r="P47">
        <f t="shared" si="8"/>
        <v>0</v>
      </c>
      <c r="Q47" s="4">
        <f t="shared" si="4"/>
        <v>0</v>
      </c>
    </row>
    <row r="48" spans="1:17" ht="12.75">
      <c r="A48" s="18"/>
      <c r="B48" s="33">
        <v>2009</v>
      </c>
      <c r="C48" s="4"/>
      <c r="D48" s="4"/>
      <c r="E48" s="4"/>
      <c r="F48" s="4"/>
      <c r="G48" s="4"/>
      <c r="H48" s="4"/>
      <c r="I48" s="34">
        <f t="shared" si="2"/>
        <v>0</v>
      </c>
      <c r="J48">
        <f aca="true" t="shared" si="9" ref="J48:J72">J47*(1+(0.018+((A$60-0.018)/(2041-B48))))</f>
        <v>6975.246642389845</v>
      </c>
      <c r="K48" s="23">
        <f t="shared" si="3"/>
        <v>0</v>
      </c>
      <c r="L48">
        <f t="shared" si="5"/>
        <v>0</v>
      </c>
      <c r="M48">
        <f t="shared" si="6"/>
        <v>0</v>
      </c>
      <c r="N48">
        <f t="shared" si="6"/>
        <v>0</v>
      </c>
      <c r="O48">
        <f t="shared" si="7"/>
        <v>0</v>
      </c>
      <c r="P48">
        <f t="shared" si="8"/>
        <v>0</v>
      </c>
      <c r="Q48" s="4">
        <f t="shared" si="4"/>
        <v>0</v>
      </c>
    </row>
    <row r="49" spans="1:17" ht="12.75">
      <c r="A49" s="18" t="s">
        <v>60</v>
      </c>
      <c r="B49" s="33">
        <v>2010</v>
      </c>
      <c r="C49" s="4"/>
      <c r="D49" s="4"/>
      <c r="E49" s="4"/>
      <c r="F49" s="4"/>
      <c r="G49" s="4"/>
      <c r="H49" s="4"/>
      <c r="I49" s="34">
        <f t="shared" si="2"/>
        <v>0</v>
      </c>
      <c r="J49">
        <f t="shared" si="9"/>
        <v>7100.801081952863</v>
      </c>
      <c r="K49" s="23">
        <f t="shared" si="3"/>
        <v>0</v>
      </c>
      <c r="L49">
        <f t="shared" si="5"/>
        <v>0</v>
      </c>
      <c r="M49">
        <f t="shared" si="6"/>
        <v>0</v>
      </c>
      <c r="N49">
        <f t="shared" si="6"/>
        <v>0</v>
      </c>
      <c r="O49">
        <f t="shared" si="7"/>
        <v>0</v>
      </c>
      <c r="P49">
        <f t="shared" si="8"/>
        <v>0</v>
      </c>
      <c r="Q49" s="4">
        <f t="shared" si="4"/>
        <v>0</v>
      </c>
    </row>
    <row r="50" spans="1:17" ht="12.75">
      <c r="A50" s="18" t="s">
        <v>61</v>
      </c>
      <c r="B50" s="33">
        <v>2011</v>
      </c>
      <c r="C50" s="4"/>
      <c r="D50" s="4"/>
      <c r="E50" s="4"/>
      <c r="F50" s="4"/>
      <c r="G50" s="4"/>
      <c r="H50" s="4"/>
      <c r="I50" s="4">
        <f t="shared" si="2"/>
        <v>0</v>
      </c>
      <c r="J50">
        <f t="shared" si="9"/>
        <v>7228.615501428014</v>
      </c>
      <c r="K50" s="23">
        <f t="shared" si="3"/>
        <v>0</v>
      </c>
      <c r="L50">
        <f t="shared" si="5"/>
        <v>0</v>
      </c>
      <c r="M50">
        <f t="shared" si="6"/>
        <v>0</v>
      </c>
      <c r="N50">
        <f t="shared" si="6"/>
        <v>0</v>
      </c>
      <c r="O50">
        <f t="shared" si="7"/>
        <v>0</v>
      </c>
      <c r="P50">
        <f t="shared" si="8"/>
        <v>0</v>
      </c>
      <c r="Q50" s="4">
        <f t="shared" si="4"/>
        <v>0</v>
      </c>
    </row>
    <row r="51" spans="1:17" ht="12.75">
      <c r="A51" s="18" t="s">
        <v>65</v>
      </c>
      <c r="B51" s="33">
        <v>2012</v>
      </c>
      <c r="C51" s="4"/>
      <c r="D51" s="4"/>
      <c r="E51" s="4"/>
      <c r="F51" s="4"/>
      <c r="G51" s="4"/>
      <c r="H51" s="4"/>
      <c r="I51" s="34">
        <f t="shared" si="2"/>
        <v>0</v>
      </c>
      <c r="J51">
        <f t="shared" si="9"/>
        <v>7358.730580453718</v>
      </c>
      <c r="K51" s="23">
        <f t="shared" si="3"/>
        <v>0</v>
      </c>
      <c r="L51">
        <f>(F51-F50)*160</f>
        <v>0</v>
      </c>
      <c r="M51">
        <f t="shared" si="6"/>
        <v>0</v>
      </c>
      <c r="N51">
        <f t="shared" si="6"/>
        <v>0</v>
      </c>
      <c r="O51">
        <f t="shared" si="7"/>
        <v>0</v>
      </c>
      <c r="P51">
        <f t="shared" si="8"/>
        <v>0</v>
      </c>
      <c r="Q51" s="4">
        <f t="shared" si="4"/>
        <v>0</v>
      </c>
    </row>
    <row r="52" spans="1:17" ht="12.75">
      <c r="A52" s="18" t="s">
        <v>64</v>
      </c>
      <c r="B52" s="33">
        <v>2013</v>
      </c>
      <c r="C52" s="4"/>
      <c r="D52" s="4"/>
      <c r="E52" s="4"/>
      <c r="F52" s="4"/>
      <c r="G52" s="4"/>
      <c r="H52" s="4"/>
      <c r="I52" s="34">
        <f t="shared" si="2"/>
        <v>0</v>
      </c>
      <c r="J52">
        <f t="shared" si="9"/>
        <v>7491.1877309018855</v>
      </c>
      <c r="K52" s="23">
        <f t="shared" si="3"/>
        <v>0</v>
      </c>
      <c r="L52">
        <f t="shared" si="5"/>
        <v>0</v>
      </c>
      <c r="M52">
        <f t="shared" si="6"/>
        <v>0</v>
      </c>
      <c r="N52">
        <f t="shared" si="6"/>
        <v>0</v>
      </c>
      <c r="O52">
        <f t="shared" si="7"/>
        <v>0</v>
      </c>
      <c r="P52">
        <f>((SIGN(C52-C51)*(SIGN(C52-C51)+1)/2*(C52-C51))+(SIGN(D52-D51)*(SIGN(D52-D51)+1)/2*(D52-D51))+(SIGN(E52-E51)*(SIGN(E52-E51)+1)/2*(E52-E51))+(SIGN(F52-F51)*(SIGN(F52-F51)+1)/2*(F52-F51))+(SIGN(G52-G51)*(SIGN(G52-G51)+1)/2*(G52-G51))+(SIGN(H52-H51)*(SIGN(H52-H51)+1)/2*(H52-H51)))</f>
        <v>0</v>
      </c>
      <c r="Q52" s="4">
        <f t="shared" si="4"/>
        <v>0</v>
      </c>
    </row>
    <row r="53" spans="1:17" ht="12.75">
      <c r="A53" s="18" t="s">
        <v>101</v>
      </c>
      <c r="B53" s="33">
        <v>2014</v>
      </c>
      <c r="C53" s="4"/>
      <c r="D53" s="4"/>
      <c r="E53" s="4"/>
      <c r="F53" s="4"/>
      <c r="G53" s="4"/>
      <c r="H53" s="4"/>
      <c r="I53" s="34">
        <f t="shared" si="2"/>
        <v>0</v>
      </c>
      <c r="J53">
        <f t="shared" si="9"/>
        <v>7626.02911005812</v>
      </c>
      <c r="K53" s="23">
        <f t="shared" si="3"/>
        <v>0</v>
      </c>
      <c r="L53">
        <f t="shared" si="5"/>
        <v>0</v>
      </c>
      <c r="M53">
        <f t="shared" si="6"/>
        <v>0</v>
      </c>
      <c r="N53">
        <f t="shared" si="6"/>
        <v>0</v>
      </c>
      <c r="O53">
        <f t="shared" si="7"/>
        <v>0</v>
      </c>
      <c r="P53">
        <f>((SIGN(C53-C52)*(SIGN(C53-C52)+1)/2*(C53-C52))+(SIGN(D53-D52)*(SIGN(D53-D52)+1)/2*(D53-D52))+(SIGN(E53-E52)*(SIGN(E53-E52)+1)/2*(E53-E52))+(SIGN(F53-F52)*(SIGN(F53-F52)+1)/2*(F53-F52))+(SIGN(G53-G52)*(SIGN(G53-G52)+1)/2*(G53-G52))+(SIGN(H53-H52)*(SIGN(H53-H52)+1)/2*(H53-H52)))</f>
        <v>0</v>
      </c>
      <c r="Q53" s="4">
        <f t="shared" si="4"/>
        <v>0</v>
      </c>
    </row>
    <row r="54" spans="1:17" ht="12.75">
      <c r="A54" s="18" t="s">
        <v>102</v>
      </c>
      <c r="B54" s="33">
        <v>2015</v>
      </c>
      <c r="C54" s="4"/>
      <c r="D54" s="4"/>
      <c r="E54" s="4"/>
      <c r="F54" s="4"/>
      <c r="G54" s="4"/>
      <c r="H54" s="4"/>
      <c r="I54" s="4">
        <f t="shared" si="2"/>
        <v>0</v>
      </c>
      <c r="J54">
        <f t="shared" si="9"/>
        <v>7763.297634039166</v>
      </c>
      <c r="K54" s="23">
        <f t="shared" si="3"/>
        <v>0</v>
      </c>
      <c r="L54">
        <f t="shared" si="5"/>
        <v>0</v>
      </c>
      <c r="M54">
        <f t="shared" si="6"/>
        <v>0</v>
      </c>
      <c r="N54">
        <f t="shared" si="6"/>
        <v>0</v>
      </c>
      <c r="O54">
        <f t="shared" si="7"/>
        <v>0</v>
      </c>
      <c r="P54">
        <f>((SIGN(C54-C53)*(SIGN(C54-C53)+1)/2*(C54-C53))+(SIGN(D54-D53)*(SIGN(D54-D53)+1)/2*(D54-D53))+(SIGN(E54-E53)*(SIGN(E54-E53)+1)/2*(E54-E53))+(SIGN(F54-F53)*(SIGN(F54-F53)+1)/2*(F54-F53))+(SIGN(G54-G53)*(SIGN(G54-G53)+1)/2*(G54-G53))+(SIGN(H54-H53)*(SIGN(H54-H53)+1)/2*(H54-H53)))</f>
        <v>0</v>
      </c>
      <c r="Q54" s="4">
        <f t="shared" si="4"/>
        <v>0</v>
      </c>
    </row>
    <row r="55" spans="1:17" ht="12.75">
      <c r="A55" s="18" t="s">
        <v>103</v>
      </c>
      <c r="B55" s="33">
        <v>2016</v>
      </c>
      <c r="C55" s="4"/>
      <c r="D55" s="4"/>
      <c r="E55" s="4"/>
      <c r="F55" s="4"/>
      <c r="G55" s="4"/>
      <c r="H55" s="4"/>
      <c r="I55" s="34">
        <f t="shared" si="2"/>
        <v>0</v>
      </c>
      <c r="J55">
        <f t="shared" si="9"/>
        <v>7903.0369914518715</v>
      </c>
      <c r="K55" s="23">
        <f t="shared" si="3"/>
        <v>0</v>
      </c>
      <c r="L55">
        <f t="shared" si="5"/>
        <v>0</v>
      </c>
      <c r="M55">
        <f t="shared" si="6"/>
        <v>0</v>
      </c>
      <c r="N55">
        <f t="shared" si="6"/>
        <v>0</v>
      </c>
      <c r="O55">
        <f t="shared" si="7"/>
        <v>0</v>
      </c>
      <c r="P55">
        <f t="shared" si="8"/>
        <v>0</v>
      </c>
      <c r="Q55" s="4">
        <f t="shared" si="4"/>
        <v>0</v>
      </c>
    </row>
    <row r="56" spans="1:17" ht="12.75">
      <c r="A56" s="18" t="s">
        <v>62</v>
      </c>
      <c r="B56" s="33">
        <v>2017</v>
      </c>
      <c r="C56" s="4"/>
      <c r="D56" s="4"/>
      <c r="E56" s="4"/>
      <c r="F56" s="4"/>
      <c r="G56" s="4"/>
      <c r="H56" s="4"/>
      <c r="I56" s="34">
        <f t="shared" si="2"/>
        <v>0</v>
      </c>
      <c r="J56">
        <f t="shared" si="9"/>
        <v>8045.291657298006</v>
      </c>
      <c r="K56" s="23">
        <f t="shared" si="3"/>
        <v>0</v>
      </c>
      <c r="L56">
        <f t="shared" si="5"/>
        <v>0</v>
      </c>
      <c r="M56">
        <f t="shared" si="6"/>
        <v>0</v>
      </c>
      <c r="N56">
        <f t="shared" si="6"/>
        <v>0</v>
      </c>
      <c r="O56">
        <f t="shared" si="7"/>
        <v>0</v>
      </c>
      <c r="P56">
        <f t="shared" si="8"/>
        <v>0</v>
      </c>
      <c r="Q56" s="4">
        <f t="shared" si="4"/>
        <v>0</v>
      </c>
    </row>
    <row r="57" spans="1:17" ht="12.75">
      <c r="A57" s="18" t="s">
        <v>63</v>
      </c>
      <c r="B57" s="33">
        <v>2018</v>
      </c>
      <c r="C57" s="4"/>
      <c r="D57" s="4"/>
      <c r="E57" s="4"/>
      <c r="F57" s="4"/>
      <c r="G57" s="4"/>
      <c r="H57" s="4"/>
      <c r="I57" s="34">
        <f t="shared" si="2"/>
        <v>0</v>
      </c>
      <c r="J57">
        <f t="shared" si="9"/>
        <v>8190.10690712937</v>
      </c>
      <c r="K57" s="23">
        <f t="shared" si="3"/>
        <v>0</v>
      </c>
      <c r="L57">
        <f t="shared" si="5"/>
        <v>0</v>
      </c>
      <c r="M57">
        <f t="shared" si="6"/>
        <v>0</v>
      </c>
      <c r="N57">
        <f t="shared" si="6"/>
        <v>0</v>
      </c>
      <c r="O57">
        <f t="shared" si="7"/>
        <v>0</v>
      </c>
      <c r="P57">
        <f t="shared" si="8"/>
        <v>0</v>
      </c>
      <c r="Q57" s="4">
        <f t="shared" si="4"/>
        <v>0</v>
      </c>
    </row>
    <row r="58" spans="1:17" ht="12.75">
      <c r="A58" s="20" t="s">
        <v>6</v>
      </c>
      <c r="B58" s="33">
        <v>2019</v>
      </c>
      <c r="C58" s="4"/>
      <c r="D58" s="4"/>
      <c r="E58" s="4"/>
      <c r="F58" s="4"/>
      <c r="G58" s="4"/>
      <c r="H58" s="4"/>
      <c r="I58" s="4">
        <f t="shared" si="2"/>
        <v>0</v>
      </c>
      <c r="J58">
        <f t="shared" si="9"/>
        <v>8337.5288314577</v>
      </c>
      <c r="K58" s="23">
        <f t="shared" si="3"/>
        <v>0</v>
      </c>
      <c r="L58">
        <f t="shared" si="5"/>
        <v>0</v>
      </c>
      <c r="M58">
        <f t="shared" si="6"/>
        <v>0</v>
      </c>
      <c r="N58">
        <f t="shared" si="6"/>
        <v>0</v>
      </c>
      <c r="O58">
        <f t="shared" si="7"/>
        <v>0</v>
      </c>
      <c r="P58">
        <f t="shared" si="8"/>
        <v>0</v>
      </c>
      <c r="Q58" s="4">
        <f t="shared" si="4"/>
        <v>0</v>
      </c>
    </row>
    <row r="59" spans="1:17" ht="12.75">
      <c r="A59" s="20" t="s">
        <v>5</v>
      </c>
      <c r="B59" s="33">
        <v>2020</v>
      </c>
      <c r="C59" s="4"/>
      <c r="D59" s="4"/>
      <c r="E59" s="4"/>
      <c r="F59" s="4"/>
      <c r="G59" s="4"/>
      <c r="H59" s="4"/>
      <c r="I59" s="34">
        <f t="shared" si="2"/>
        <v>0</v>
      </c>
      <c r="J59">
        <f t="shared" si="9"/>
        <v>8487.604350423939</v>
      </c>
      <c r="K59" s="23">
        <f t="shared" si="3"/>
        <v>0</v>
      </c>
      <c r="L59">
        <f t="shared" si="5"/>
        <v>0</v>
      </c>
      <c r="M59">
        <f t="shared" si="6"/>
        <v>0</v>
      </c>
      <c r="N59">
        <f t="shared" si="6"/>
        <v>0</v>
      </c>
      <c r="O59">
        <f t="shared" si="7"/>
        <v>0</v>
      </c>
      <c r="P59">
        <f t="shared" si="8"/>
        <v>0</v>
      </c>
      <c r="Q59" s="4">
        <f t="shared" si="4"/>
        <v>0</v>
      </c>
    </row>
    <row r="60" spans="1:17" ht="12.75">
      <c r="A60" s="35">
        <f>(S44/1000)-0.01</f>
        <v>0.018000000000000002</v>
      </c>
      <c r="B60" s="33">
        <v>2021</v>
      </c>
      <c r="C60" s="4"/>
      <c r="D60" s="4"/>
      <c r="E60" s="4"/>
      <c r="F60" s="4"/>
      <c r="G60" s="4"/>
      <c r="H60" s="4"/>
      <c r="I60" s="34">
        <f t="shared" si="2"/>
        <v>0</v>
      </c>
      <c r="J60">
        <f t="shared" si="9"/>
        <v>8640.38122873157</v>
      </c>
      <c r="K60" s="23">
        <f t="shared" si="3"/>
        <v>0</v>
      </c>
      <c r="L60">
        <f t="shared" si="5"/>
        <v>0</v>
      </c>
      <c r="M60">
        <f t="shared" si="6"/>
        <v>0</v>
      </c>
      <c r="N60">
        <f t="shared" si="6"/>
        <v>0</v>
      </c>
      <c r="O60">
        <f t="shared" si="7"/>
        <v>0</v>
      </c>
      <c r="P60">
        <f t="shared" si="8"/>
        <v>0</v>
      </c>
      <c r="Q60" s="4">
        <f t="shared" si="4"/>
        <v>0</v>
      </c>
    </row>
    <row r="61" spans="1:17" ht="12.75">
      <c r="A61" s="20" t="s">
        <v>37</v>
      </c>
      <c r="B61" s="33">
        <v>2022</v>
      </c>
      <c r="C61" s="4"/>
      <c r="D61" s="4"/>
      <c r="E61" s="4"/>
      <c r="F61" s="4"/>
      <c r="G61" s="4"/>
      <c r="H61" s="4"/>
      <c r="I61" s="34">
        <f t="shared" si="2"/>
        <v>0</v>
      </c>
      <c r="J61">
        <f t="shared" si="9"/>
        <v>8795.90809084874</v>
      </c>
      <c r="K61" s="23">
        <f t="shared" si="3"/>
        <v>0</v>
      </c>
      <c r="L61">
        <f t="shared" si="5"/>
        <v>0</v>
      </c>
      <c r="M61">
        <f t="shared" si="6"/>
        <v>0</v>
      </c>
      <c r="N61">
        <f t="shared" si="6"/>
        <v>0</v>
      </c>
      <c r="O61">
        <f t="shared" si="7"/>
        <v>0</v>
      </c>
      <c r="P61">
        <f t="shared" si="8"/>
        <v>0</v>
      </c>
      <c r="Q61" s="4">
        <f t="shared" si="4"/>
        <v>0</v>
      </c>
    </row>
    <row r="62" spans="1:17" ht="12.75">
      <c r="A62" s="37">
        <f>J83*10^6</f>
        <v>13023622481.775877</v>
      </c>
      <c r="B62" s="33">
        <v>2023</v>
      </c>
      <c r="C62" s="4"/>
      <c r="D62" s="4"/>
      <c r="E62" s="4"/>
      <c r="F62" s="4"/>
      <c r="G62" s="34"/>
      <c r="H62" s="34"/>
      <c r="I62" s="4">
        <f t="shared" si="2"/>
        <v>0</v>
      </c>
      <c r="J62">
        <f t="shared" si="9"/>
        <v>8954.234436484017</v>
      </c>
      <c r="K62" s="23">
        <f t="shared" si="3"/>
        <v>0</v>
      </c>
      <c r="L62">
        <f t="shared" si="5"/>
        <v>0</v>
      </c>
      <c r="M62">
        <f t="shared" si="6"/>
        <v>0</v>
      </c>
      <c r="N62">
        <f t="shared" si="6"/>
        <v>0</v>
      </c>
      <c r="O62">
        <f t="shared" si="7"/>
        <v>0</v>
      </c>
      <c r="P62">
        <f t="shared" si="8"/>
        <v>0</v>
      </c>
      <c r="Q62" s="4">
        <f t="shared" si="4"/>
        <v>0</v>
      </c>
    </row>
    <row r="63" spans="2:17" ht="12.75">
      <c r="B63" s="33">
        <v>2024</v>
      </c>
      <c r="C63" s="38"/>
      <c r="D63" s="38"/>
      <c r="E63" s="4"/>
      <c r="F63" s="34"/>
      <c r="G63" s="34"/>
      <c r="H63" s="34"/>
      <c r="I63" s="34">
        <f t="shared" si="2"/>
        <v>0</v>
      </c>
      <c r="J63">
        <f>J62*(1+(0.018+((A$60-0.018)/(2041-B63))))</f>
        <v>9115.41065634073</v>
      </c>
      <c r="K63" s="23">
        <f t="shared" si="3"/>
        <v>0</v>
      </c>
      <c r="L63">
        <f t="shared" si="5"/>
        <v>0</v>
      </c>
      <c r="M63">
        <f t="shared" si="6"/>
        <v>0</v>
      </c>
      <c r="N63">
        <f t="shared" si="6"/>
        <v>0</v>
      </c>
      <c r="O63">
        <f t="shared" si="7"/>
        <v>0</v>
      </c>
      <c r="P63">
        <f t="shared" si="8"/>
        <v>0</v>
      </c>
      <c r="Q63" s="4">
        <f t="shared" si="4"/>
        <v>0</v>
      </c>
    </row>
    <row r="64" spans="2:17" ht="12.75">
      <c r="B64" s="33">
        <v>2025</v>
      </c>
      <c r="C64" s="4"/>
      <c r="D64" s="4"/>
      <c r="E64" s="4"/>
      <c r="F64" s="4"/>
      <c r="G64" s="34"/>
      <c r="H64" s="34"/>
      <c r="I64" s="34">
        <f t="shared" si="2"/>
        <v>0</v>
      </c>
      <c r="J64">
        <f t="shared" si="9"/>
        <v>9279.488048154863</v>
      </c>
      <c r="K64" s="23">
        <f t="shared" si="3"/>
        <v>0</v>
      </c>
      <c r="L64">
        <f t="shared" si="5"/>
        <v>0</v>
      </c>
      <c r="M64">
        <f t="shared" si="6"/>
        <v>0</v>
      </c>
      <c r="N64">
        <f t="shared" si="6"/>
        <v>0</v>
      </c>
      <c r="O64">
        <f t="shared" si="7"/>
        <v>0</v>
      </c>
      <c r="P64">
        <f t="shared" si="8"/>
        <v>0</v>
      </c>
      <c r="Q64" s="4">
        <f t="shared" si="4"/>
        <v>0</v>
      </c>
    </row>
    <row r="65" spans="2:17" ht="12.75">
      <c r="B65" s="33">
        <v>2026</v>
      </c>
      <c r="C65" s="38"/>
      <c r="D65" s="38"/>
      <c r="E65" s="4"/>
      <c r="F65" s="34"/>
      <c r="G65" s="34"/>
      <c r="H65" s="34"/>
      <c r="I65" s="34">
        <f t="shared" si="2"/>
        <v>0</v>
      </c>
      <c r="J65">
        <f t="shared" si="9"/>
        <v>9446.51883302165</v>
      </c>
      <c r="K65" s="23">
        <f t="shared" si="3"/>
        <v>0</v>
      </c>
      <c r="L65">
        <f t="shared" si="5"/>
        <v>0</v>
      </c>
      <c r="M65">
        <f t="shared" si="6"/>
        <v>0</v>
      </c>
      <c r="N65">
        <f t="shared" si="6"/>
        <v>0</v>
      </c>
      <c r="O65">
        <f t="shared" si="7"/>
        <v>0</v>
      </c>
      <c r="P65">
        <f t="shared" si="8"/>
        <v>0</v>
      </c>
      <c r="Q65" s="4">
        <f t="shared" si="4"/>
        <v>0</v>
      </c>
    </row>
    <row r="66" spans="2:17" ht="12.75">
      <c r="B66" s="33">
        <v>2027</v>
      </c>
      <c r="C66" s="4"/>
      <c r="D66" s="4"/>
      <c r="E66" s="4"/>
      <c r="F66" s="4"/>
      <c r="G66" s="34"/>
      <c r="H66" s="34"/>
      <c r="I66" s="4">
        <f t="shared" si="2"/>
        <v>0</v>
      </c>
      <c r="J66">
        <f t="shared" si="9"/>
        <v>9616.55617201604</v>
      </c>
      <c r="K66" s="23">
        <f t="shared" si="3"/>
        <v>0</v>
      </c>
      <c r="L66">
        <f t="shared" si="5"/>
        <v>0</v>
      </c>
      <c r="M66">
        <f t="shared" si="6"/>
        <v>0</v>
      </c>
      <c r="N66">
        <f t="shared" si="6"/>
        <v>0</v>
      </c>
      <c r="O66">
        <f t="shared" si="7"/>
        <v>0</v>
      </c>
      <c r="P66">
        <f t="shared" si="8"/>
        <v>0</v>
      </c>
      <c r="Q66" s="4">
        <f t="shared" si="4"/>
        <v>0</v>
      </c>
    </row>
    <row r="67" spans="1:17" ht="12.75">
      <c r="A67" s="18"/>
      <c r="B67" s="33">
        <v>2028</v>
      </c>
      <c r="C67" s="38"/>
      <c r="D67" s="38"/>
      <c r="E67" s="4"/>
      <c r="F67" s="34"/>
      <c r="G67" s="34"/>
      <c r="H67" s="34"/>
      <c r="I67" s="34">
        <f t="shared" si="2"/>
        <v>0</v>
      </c>
      <c r="J67">
        <f t="shared" si="9"/>
        <v>9789.654183112329</v>
      </c>
      <c r="K67" s="23">
        <f t="shared" si="3"/>
        <v>0</v>
      </c>
      <c r="L67">
        <f t="shared" si="5"/>
        <v>0</v>
      </c>
      <c r="M67">
        <f t="shared" si="6"/>
        <v>0</v>
      </c>
      <c r="N67">
        <f t="shared" si="6"/>
        <v>0</v>
      </c>
      <c r="O67">
        <f t="shared" si="7"/>
        <v>0</v>
      </c>
      <c r="P67">
        <f t="shared" si="8"/>
        <v>0</v>
      </c>
      <c r="Q67" s="4">
        <f t="shared" si="4"/>
        <v>0</v>
      </c>
    </row>
    <row r="68" spans="1:17" ht="12.75">
      <c r="A68" s="18"/>
      <c r="B68" s="33">
        <v>2029</v>
      </c>
      <c r="C68" s="4"/>
      <c r="D68" s="4"/>
      <c r="E68" s="4"/>
      <c r="F68" s="4"/>
      <c r="G68" s="34"/>
      <c r="H68" s="34"/>
      <c r="I68" s="34">
        <f t="shared" si="2"/>
        <v>0</v>
      </c>
      <c r="J68">
        <f t="shared" si="9"/>
        <v>9965.867958408351</v>
      </c>
      <c r="K68" s="23">
        <f t="shared" si="3"/>
        <v>0</v>
      </c>
      <c r="L68">
        <f t="shared" si="5"/>
        <v>0</v>
      </c>
      <c r="M68">
        <f t="shared" si="6"/>
        <v>0</v>
      </c>
      <c r="N68">
        <f t="shared" si="6"/>
        <v>0</v>
      </c>
      <c r="O68">
        <f t="shared" si="7"/>
        <v>0</v>
      </c>
      <c r="P68">
        <f t="shared" si="8"/>
        <v>0</v>
      </c>
      <c r="Q68" s="4">
        <f t="shared" si="4"/>
        <v>0</v>
      </c>
    </row>
    <row r="69" spans="1:17" ht="12.75">
      <c r="A69" s="18"/>
      <c r="B69" s="33">
        <v>2030</v>
      </c>
      <c r="C69" s="38"/>
      <c r="D69" s="38"/>
      <c r="E69" s="4"/>
      <c r="F69" s="34"/>
      <c r="G69" s="34"/>
      <c r="H69" s="34"/>
      <c r="I69" s="34">
        <f t="shared" si="2"/>
        <v>0</v>
      </c>
      <c r="J69">
        <f t="shared" si="9"/>
        <v>10145.253581659701</v>
      </c>
      <c r="K69" s="23">
        <f t="shared" si="3"/>
        <v>0</v>
      </c>
      <c r="L69">
        <f t="shared" si="5"/>
        <v>0</v>
      </c>
      <c r="M69">
        <f t="shared" si="6"/>
        <v>0</v>
      </c>
      <c r="N69">
        <f t="shared" si="6"/>
        <v>0</v>
      </c>
      <c r="O69">
        <f t="shared" si="7"/>
        <v>0</v>
      </c>
      <c r="P69">
        <f t="shared" si="8"/>
        <v>0</v>
      </c>
      <c r="Q69" s="4">
        <f t="shared" si="4"/>
        <v>0</v>
      </c>
    </row>
    <row r="70" spans="1:17" ht="12.75">
      <c r="A70" s="18"/>
      <c r="B70" s="33">
        <v>2031</v>
      </c>
      <c r="C70" s="4"/>
      <c r="D70" s="4"/>
      <c r="E70" s="4"/>
      <c r="F70" s="4"/>
      <c r="G70" s="34"/>
      <c r="H70" s="34"/>
      <c r="I70" s="4">
        <f t="shared" si="2"/>
        <v>0</v>
      </c>
      <c r="J70">
        <f t="shared" si="9"/>
        <v>10327.868146129576</v>
      </c>
      <c r="K70" s="23">
        <f t="shared" si="3"/>
        <v>0</v>
      </c>
      <c r="L70">
        <f t="shared" si="5"/>
        <v>0</v>
      </c>
      <c r="M70">
        <f t="shared" si="6"/>
        <v>0</v>
      </c>
      <c r="N70">
        <f t="shared" si="6"/>
        <v>0</v>
      </c>
      <c r="O70">
        <f t="shared" si="7"/>
        <v>0</v>
      </c>
      <c r="P70">
        <f t="shared" si="8"/>
        <v>0</v>
      </c>
      <c r="Q70" s="4">
        <f t="shared" si="4"/>
        <v>0</v>
      </c>
    </row>
    <row r="71" spans="1:17" ht="12.75">
      <c r="A71" s="18"/>
      <c r="B71" s="33">
        <v>2032</v>
      </c>
      <c r="C71" s="38"/>
      <c r="D71" s="38"/>
      <c r="E71" s="4"/>
      <c r="F71" s="34"/>
      <c r="G71" s="34"/>
      <c r="H71" s="34"/>
      <c r="I71" s="34">
        <f t="shared" si="2"/>
        <v>0</v>
      </c>
      <c r="J71">
        <f t="shared" si="9"/>
        <v>10513.76977275991</v>
      </c>
      <c r="K71" s="23">
        <f t="shared" si="3"/>
        <v>0</v>
      </c>
      <c r="L71">
        <f t="shared" si="5"/>
        <v>0</v>
      </c>
      <c r="M71">
        <f t="shared" si="6"/>
        <v>0</v>
      </c>
      <c r="N71">
        <f t="shared" si="6"/>
        <v>0</v>
      </c>
      <c r="O71">
        <f t="shared" si="7"/>
        <v>0</v>
      </c>
      <c r="P71">
        <f t="shared" si="8"/>
        <v>0</v>
      </c>
      <c r="Q71" s="4">
        <f t="shared" si="4"/>
        <v>0</v>
      </c>
    </row>
    <row r="72" spans="1:17" ht="12.75">
      <c r="A72" s="18"/>
      <c r="B72" s="33">
        <v>2033</v>
      </c>
      <c r="C72" s="4"/>
      <c r="D72" s="4"/>
      <c r="E72" s="4"/>
      <c r="F72" s="4"/>
      <c r="G72" s="34"/>
      <c r="H72" s="34"/>
      <c r="I72" s="34">
        <f t="shared" si="2"/>
        <v>0</v>
      </c>
      <c r="J72">
        <f t="shared" si="9"/>
        <v>10703.017628669588</v>
      </c>
      <c r="K72" s="23">
        <f t="shared" si="3"/>
        <v>0</v>
      </c>
      <c r="L72">
        <f t="shared" si="5"/>
        <v>0</v>
      </c>
      <c r="M72">
        <f t="shared" si="6"/>
        <v>0</v>
      </c>
      <c r="N72">
        <f t="shared" si="6"/>
        <v>0</v>
      </c>
      <c r="O72">
        <f t="shared" si="7"/>
        <v>0</v>
      </c>
      <c r="P72">
        <f t="shared" si="8"/>
        <v>0</v>
      </c>
      <c r="Q72" s="4">
        <f t="shared" si="4"/>
        <v>0</v>
      </c>
    </row>
    <row r="73" spans="1:17" ht="12.75">
      <c r="A73" s="18"/>
      <c r="B73" s="33">
        <v>2034</v>
      </c>
      <c r="C73" s="38"/>
      <c r="D73" s="38"/>
      <c r="E73" s="4"/>
      <c r="F73" s="34"/>
      <c r="G73" s="34"/>
      <c r="H73" s="34"/>
      <c r="I73" s="34">
        <f t="shared" si="2"/>
        <v>0</v>
      </c>
      <c r="J73">
        <f aca="true" t="shared" si="10" ref="J73:J79">J72*(1+(0.018+((A$60-0.018)/(2041-B73))))</f>
        <v>10895.671945985641</v>
      </c>
      <c r="K73" s="23">
        <f t="shared" si="3"/>
        <v>0</v>
      </c>
      <c r="L73">
        <f t="shared" si="5"/>
        <v>0</v>
      </c>
      <c r="M73">
        <f t="shared" si="6"/>
        <v>0</v>
      </c>
      <c r="N73">
        <f t="shared" si="6"/>
        <v>0</v>
      </c>
      <c r="O73">
        <f t="shared" si="7"/>
        <v>0</v>
      </c>
      <c r="P73">
        <f t="shared" si="8"/>
        <v>0</v>
      </c>
      <c r="Q73" s="4">
        <f t="shared" si="4"/>
        <v>0</v>
      </c>
    </row>
    <row r="74" spans="1:17" ht="12.75">
      <c r="A74" s="18"/>
      <c r="B74" s="33">
        <v>2035</v>
      </c>
      <c r="C74" s="4"/>
      <c r="D74" s="4"/>
      <c r="E74" s="4"/>
      <c r="F74" s="4"/>
      <c r="G74" s="34"/>
      <c r="H74" s="34"/>
      <c r="I74" s="4">
        <f t="shared" si="2"/>
        <v>0</v>
      </c>
      <c r="J74">
        <f t="shared" si="10"/>
        <v>11091.794041013383</v>
      </c>
      <c r="K74" s="23">
        <f t="shared" si="3"/>
        <v>0</v>
      </c>
      <c r="L74">
        <f t="shared" si="5"/>
        <v>0</v>
      </c>
      <c r="M74">
        <f t="shared" si="6"/>
        <v>0</v>
      </c>
      <c r="N74">
        <f t="shared" si="6"/>
        <v>0</v>
      </c>
      <c r="O74">
        <f t="shared" si="7"/>
        <v>0</v>
      </c>
      <c r="P74">
        <f t="shared" si="8"/>
        <v>0</v>
      </c>
      <c r="Q74" s="4">
        <f t="shared" si="4"/>
        <v>0</v>
      </c>
    </row>
    <row r="75" spans="1:17" ht="12.75">
      <c r="A75" s="18"/>
      <c r="B75" s="33">
        <v>2036</v>
      </c>
      <c r="C75" s="38"/>
      <c r="D75" s="38"/>
      <c r="E75" s="4"/>
      <c r="F75" s="34"/>
      <c r="G75" s="34"/>
      <c r="H75" s="34"/>
      <c r="I75" s="34">
        <f t="shared" si="2"/>
        <v>0</v>
      </c>
      <c r="J75">
        <f t="shared" si="10"/>
        <v>11291.446333751624</v>
      </c>
      <c r="K75" s="23">
        <f t="shared" si="3"/>
        <v>0</v>
      </c>
      <c r="L75">
        <f t="shared" si="5"/>
        <v>0</v>
      </c>
      <c r="M75">
        <f t="shared" si="6"/>
        <v>0</v>
      </c>
      <c r="N75">
        <f t="shared" si="6"/>
        <v>0</v>
      </c>
      <c r="O75">
        <f t="shared" si="7"/>
        <v>0</v>
      </c>
      <c r="P75">
        <f t="shared" si="8"/>
        <v>0</v>
      </c>
      <c r="Q75" s="4">
        <f t="shared" si="4"/>
        <v>0</v>
      </c>
    </row>
    <row r="76" spans="1:17" ht="12.75">
      <c r="A76" s="18"/>
      <c r="B76" s="33">
        <v>2037</v>
      </c>
      <c r="C76" s="4"/>
      <c r="D76" s="4"/>
      <c r="E76" s="4"/>
      <c r="F76" s="4"/>
      <c r="G76" s="34"/>
      <c r="H76" s="34"/>
      <c r="I76" s="34">
        <f t="shared" si="2"/>
        <v>0</v>
      </c>
      <c r="J76">
        <f t="shared" si="10"/>
        <v>11494.692367759153</v>
      </c>
      <c r="K76" s="23">
        <f t="shared" si="3"/>
        <v>0</v>
      </c>
      <c r="L76">
        <f t="shared" si="5"/>
        <v>0</v>
      </c>
      <c r="M76">
        <f t="shared" si="6"/>
        <v>0</v>
      </c>
      <c r="N76">
        <f t="shared" si="6"/>
        <v>0</v>
      </c>
      <c r="O76">
        <f t="shared" si="7"/>
        <v>0</v>
      </c>
      <c r="P76">
        <f t="shared" si="8"/>
        <v>0</v>
      </c>
      <c r="Q76" s="4">
        <f t="shared" si="4"/>
        <v>0</v>
      </c>
    </row>
    <row r="77" spans="1:17" ht="12.75">
      <c r="A77" s="18"/>
      <c r="B77" s="33">
        <v>2038</v>
      </c>
      <c r="C77" s="38"/>
      <c r="D77" s="38"/>
      <c r="E77" s="4"/>
      <c r="F77" s="34"/>
      <c r="G77" s="34"/>
      <c r="H77" s="34"/>
      <c r="I77" s="34">
        <f t="shared" si="2"/>
        <v>0</v>
      </c>
      <c r="J77">
        <f t="shared" si="10"/>
        <v>11701.596830378818</v>
      </c>
      <c r="K77" s="23">
        <f t="shared" si="3"/>
        <v>0</v>
      </c>
      <c r="L77">
        <f t="shared" si="5"/>
        <v>0</v>
      </c>
      <c r="M77">
        <f t="shared" si="6"/>
        <v>0</v>
      </c>
      <c r="N77">
        <f t="shared" si="6"/>
        <v>0</v>
      </c>
      <c r="O77">
        <f t="shared" si="7"/>
        <v>0</v>
      </c>
      <c r="P77">
        <f t="shared" si="8"/>
        <v>0</v>
      </c>
      <c r="Q77" s="4">
        <f t="shared" si="4"/>
        <v>0</v>
      </c>
    </row>
    <row r="78" spans="1:17" ht="12.75">
      <c r="A78" s="18"/>
      <c r="B78" s="33">
        <v>2039</v>
      </c>
      <c r="C78" s="4"/>
      <c r="D78" s="4"/>
      <c r="E78" s="4"/>
      <c r="F78" s="4"/>
      <c r="G78" s="34"/>
      <c r="H78" s="34"/>
      <c r="I78" s="4">
        <f t="shared" si="2"/>
        <v>0</v>
      </c>
      <c r="J78">
        <f t="shared" si="10"/>
        <v>11912.225573325637</v>
      </c>
      <c r="K78" s="23">
        <f t="shared" si="3"/>
        <v>0</v>
      </c>
      <c r="L78">
        <f t="shared" si="5"/>
        <v>0</v>
      </c>
      <c r="M78">
        <f t="shared" si="6"/>
        <v>0</v>
      </c>
      <c r="N78">
        <f t="shared" si="6"/>
        <v>0</v>
      </c>
      <c r="O78">
        <f t="shared" si="7"/>
        <v>0</v>
      </c>
      <c r="P78">
        <f t="shared" si="8"/>
        <v>0</v>
      </c>
      <c r="Q78" s="4">
        <f t="shared" si="4"/>
        <v>0</v>
      </c>
    </row>
    <row r="79" spans="1:17" ht="12.75">
      <c r="A79" s="18"/>
      <c r="B79" s="33">
        <v>2040</v>
      </c>
      <c r="C79" s="38"/>
      <c r="D79" s="38"/>
      <c r="E79" s="4"/>
      <c r="F79" s="34"/>
      <c r="G79" s="34"/>
      <c r="H79" s="34"/>
      <c r="I79" s="4">
        <f t="shared" si="2"/>
        <v>0</v>
      </c>
      <c r="J79">
        <f t="shared" si="10"/>
        <v>12126.6456336455</v>
      </c>
      <c r="K79" s="23">
        <f t="shared" si="3"/>
        <v>0</v>
      </c>
      <c r="L79">
        <f>(F79-F78)*160</f>
        <v>0</v>
      </c>
      <c r="M79">
        <f aca="true" t="shared" si="11" ref="M79:N83">IF((G79-G78)*0.1/0.5&gt;=0,(G79-G78)*0.1/0.5,0)</f>
        <v>0</v>
      </c>
      <c r="N79">
        <f t="shared" si="11"/>
        <v>0</v>
      </c>
      <c r="O79">
        <f>(E79-E78)*160</f>
        <v>0</v>
      </c>
      <c r="P79">
        <f>((SIGN(C79-C78)*(SIGN(C79-C78)+1)/2*(C79-C78))+(SIGN(D79-D78)*(SIGN(D79-D78)+1)/2*(D79-D78))+(SIGN(E79-E78)*(SIGN(E79-E78)+1)/2*(E79-E78))+(SIGN(F79-F78)*(SIGN(F79-F78)+1)/2*(F79-F78))+(SIGN(G79-G78)*(SIGN(G79-G78)+1)/2*(G79-G78))+(SIGN(H79-H78)*(SIGN(H79-H78)+1)/2*(H79-H78)))</f>
        <v>0</v>
      </c>
      <c r="Q79" s="4">
        <f t="shared" si="4"/>
        <v>0</v>
      </c>
    </row>
    <row r="80" spans="1:17" ht="12.75">
      <c r="A80" s="18"/>
      <c r="B80" s="33">
        <v>2041</v>
      </c>
      <c r="C80" s="4"/>
      <c r="D80" s="4"/>
      <c r="E80" s="4"/>
      <c r="F80" s="4"/>
      <c r="G80" s="34"/>
      <c r="H80" s="34"/>
      <c r="I80" s="4">
        <f t="shared" si="2"/>
        <v>0</v>
      </c>
      <c r="J80">
        <f>J79*(1+$A$60)</f>
        <v>12344.92525505112</v>
      </c>
      <c r="K80" s="23">
        <f t="shared" si="3"/>
        <v>0</v>
      </c>
      <c r="L80">
        <f>(F80-F79)*160</f>
        <v>0</v>
      </c>
      <c r="M80">
        <f t="shared" si="11"/>
        <v>0</v>
      </c>
      <c r="N80">
        <f t="shared" si="11"/>
        <v>0</v>
      </c>
      <c r="O80">
        <f>(E80-E79)*160</f>
        <v>0</v>
      </c>
      <c r="P80">
        <f>((SIGN(C80-C79)*(SIGN(C80-C79)+1)/2*(C80-C79))+(SIGN(D80-D79)*(SIGN(D80-D79)+1)/2*(D80-D79))+(SIGN(E80-E79)*(SIGN(E80-E79)+1)/2*(E80-E79))+(SIGN(F80-F79)*(SIGN(F80-F79)+1)/2*(F80-F79))+(SIGN(G80-G79)*(SIGN(G80-G79)+1)/2*(G80-G79))+(SIGN(H80-H79)*(SIGN(H80-H79)+1)/2*(H80-H79)))</f>
        <v>0</v>
      </c>
      <c r="Q80" s="4">
        <f t="shared" si="4"/>
        <v>0</v>
      </c>
    </row>
    <row r="81" spans="1:17" ht="12.75">
      <c r="A81" s="18"/>
      <c r="B81" s="33">
        <v>2042</v>
      </c>
      <c r="C81" s="38"/>
      <c r="D81" s="38"/>
      <c r="E81" s="4"/>
      <c r="F81" s="34"/>
      <c r="G81" s="34"/>
      <c r="H81" s="34"/>
      <c r="I81" s="4">
        <f t="shared" si="2"/>
        <v>0</v>
      </c>
      <c r="J81">
        <f>J80*(1+$A$60)</f>
        <v>12567.13390964204</v>
      </c>
      <c r="K81" s="23">
        <f t="shared" si="3"/>
        <v>0</v>
      </c>
      <c r="L81">
        <f>(F81-F80)*160</f>
        <v>0</v>
      </c>
      <c r="M81">
        <f t="shared" si="11"/>
        <v>0</v>
      </c>
      <c r="N81">
        <f t="shared" si="11"/>
        <v>0</v>
      </c>
      <c r="O81">
        <f>(E81-E80)*160</f>
        <v>0</v>
      </c>
      <c r="P81">
        <f>((SIGN(C81-C80)*(SIGN(C81-C80)+1)/2*(C81-C80))+(SIGN(D81-D80)*(SIGN(D81-D80)+1)/2*(D81-D80))+(SIGN(E81-E80)*(SIGN(E81-E80)+1)/2*(E81-E80))+(SIGN(F81-F80)*(SIGN(F81-F80)+1)/2*(F81-F80))+(SIGN(G81-G80)*(SIGN(G81-G80)+1)/2*(G81-G80))+(SIGN(H81-H80)*(SIGN(H81-H80)+1)/2*(H81-H80)))</f>
        <v>0</v>
      </c>
      <c r="Q81" s="4">
        <f t="shared" si="4"/>
        <v>0</v>
      </c>
    </row>
    <row r="82" spans="1:17" ht="12.75">
      <c r="A82" s="18"/>
      <c r="B82" s="33">
        <v>2043</v>
      </c>
      <c r="C82" s="4"/>
      <c r="D82" s="4"/>
      <c r="E82" s="4"/>
      <c r="F82" s="4"/>
      <c r="G82" s="34"/>
      <c r="H82" s="34"/>
      <c r="I82" s="4">
        <f t="shared" si="2"/>
        <v>0</v>
      </c>
      <c r="J82">
        <f>J81*(1+$A$60)</f>
        <v>12793.342320015596</v>
      </c>
      <c r="K82" s="23">
        <f t="shared" si="3"/>
        <v>0</v>
      </c>
      <c r="L82">
        <f>(F82-F81)*160</f>
        <v>0</v>
      </c>
      <c r="M82">
        <f t="shared" si="11"/>
        <v>0</v>
      </c>
      <c r="N82">
        <f t="shared" si="11"/>
        <v>0</v>
      </c>
      <c r="O82">
        <f>(E82-E81)*160</f>
        <v>0</v>
      </c>
      <c r="P82">
        <f>((SIGN(C82-C81)*(SIGN(C82-C81)+1)/2*(C82-C81))+(SIGN(D82-D81)*(SIGN(D82-D81)+1)/2*(D82-D81))+(SIGN(E82-E81)*(SIGN(E82-E81)+1)/2*(E82-E81))+(SIGN(F82-F81)*(SIGN(F82-F81)+1)/2*(F82-F81))+(SIGN(G82-G81)*(SIGN(G82-G81)+1)/2*(G82-G81))+(SIGN(H82-H81)*(SIGN(H82-H81)+1)/2*(H82-H81)))</f>
        <v>0</v>
      </c>
      <c r="Q82" s="4">
        <f t="shared" si="4"/>
        <v>0</v>
      </c>
    </row>
    <row r="83" spans="1:17" ht="12.75">
      <c r="A83" s="18"/>
      <c r="B83" s="33">
        <v>2044</v>
      </c>
      <c r="C83" s="38"/>
      <c r="D83" s="38"/>
      <c r="E83" s="4"/>
      <c r="F83" s="34"/>
      <c r="G83" s="34"/>
      <c r="H83" s="34"/>
      <c r="I83" s="4">
        <f t="shared" si="2"/>
        <v>0</v>
      </c>
      <c r="J83">
        <f>J82*(1+$A$60)</f>
        <v>13023.622481775878</v>
      </c>
      <c r="K83" s="23">
        <f t="shared" si="3"/>
        <v>0</v>
      </c>
      <c r="L83">
        <f>(F83-F82)*160</f>
        <v>0</v>
      </c>
      <c r="M83">
        <f t="shared" si="11"/>
        <v>0</v>
      </c>
      <c r="N83">
        <f t="shared" si="11"/>
        <v>0</v>
      </c>
      <c r="O83">
        <f>(E83-E82)*160</f>
        <v>0</v>
      </c>
      <c r="P83">
        <f>((SIGN(C83-C82)*(SIGN(C83-C82)+1)/2*(C83-C82))+(SIGN(D83-D82)*(SIGN(D83-D82)+1)/2*(D83-D82))+(SIGN(E83-E82)*(SIGN(E83-E82)+1)/2*(E83-E82))+(SIGN(F83-F82)*(SIGN(F83-F82)+1)/2*(F83-F82))+(SIGN(G83-G82)*(SIGN(G83-G82)+1)/2*(G83-G82))+(SIGN(H83-H82)*(SIGN(H83-H82)+1)/2*(H83-H82)))</f>
        <v>0</v>
      </c>
      <c r="Q83" s="4">
        <f t="shared" si="4"/>
        <v>0</v>
      </c>
    </row>
    <row r="84" spans="1:17" ht="41.25">
      <c r="A84" s="18"/>
      <c r="C84" s="8" t="s">
        <v>44</v>
      </c>
      <c r="D84" s="8" t="s">
        <v>45</v>
      </c>
      <c r="E84" s="8" t="s">
        <v>46</v>
      </c>
      <c r="F84" s="8" t="s">
        <v>49</v>
      </c>
      <c r="G84" s="8" t="s">
        <v>47</v>
      </c>
      <c r="H84" s="8" t="s">
        <v>48</v>
      </c>
      <c r="I84" s="32"/>
      <c r="L84" s="31" t="s">
        <v>95</v>
      </c>
      <c r="M84" s="31" t="s">
        <v>104</v>
      </c>
      <c r="N84" s="31" t="s">
        <v>105</v>
      </c>
      <c r="O84" s="31" t="s">
        <v>100</v>
      </c>
      <c r="P84" s="31"/>
      <c r="Q84" s="31" t="s">
        <v>99</v>
      </c>
    </row>
    <row r="85" spans="1:17" ht="15.75">
      <c r="A85" s="18"/>
      <c r="C85" s="40">
        <f>SUM(C44:C83)</f>
        <v>0</v>
      </c>
      <c r="D85" s="10">
        <f>SUM(D44:D78)</f>
        <v>0</v>
      </c>
      <c r="E85" s="10">
        <f>SUM(E44:E78)</f>
        <v>0</v>
      </c>
      <c r="F85" s="10"/>
      <c r="G85" s="10"/>
      <c r="H85" s="10"/>
      <c r="L85">
        <f>SUM(L44:L84)</f>
        <v>-511.13063583815034</v>
      </c>
      <c r="M85">
        <f>SUM(M44:M84)</f>
        <v>0</v>
      </c>
      <c r="N85">
        <f>SUM(N44:N84)</f>
        <v>0</v>
      </c>
      <c r="O85">
        <f>SUM(O44:O84)</f>
        <v>-3060.1467994310096</v>
      </c>
      <c r="Q85">
        <f>SUM(Q44:Q84)</f>
        <v>0</v>
      </c>
    </row>
    <row r="88" spans="3:5" ht="15.75">
      <c r="C88" s="10"/>
      <c r="D88" s="11" t="s">
        <v>66</v>
      </c>
      <c r="E88" s="10"/>
    </row>
    <row r="89" spans="3:6" ht="12.75">
      <c r="C89" s="12"/>
      <c r="D89" s="13" t="s">
        <v>38</v>
      </c>
      <c r="E89" s="12"/>
      <c r="F89" s="36"/>
    </row>
    <row r="90" spans="3:6" ht="12.75">
      <c r="C90" s="12"/>
      <c r="D90" s="13" t="s">
        <v>39</v>
      </c>
      <c r="E90" s="12"/>
      <c r="F90" s="36"/>
    </row>
    <row r="91" spans="3:5" ht="12.75">
      <c r="C91" s="12"/>
      <c r="D91" s="13" t="s">
        <v>40</v>
      </c>
      <c r="E91" s="12"/>
    </row>
    <row r="103" ht="12.75">
      <c r="C103" s="9" t="s">
        <v>35</v>
      </c>
    </row>
    <row r="104" spans="4:6" ht="12.75">
      <c r="D104" t="s">
        <v>12</v>
      </c>
      <c r="E104" t="s">
        <v>13</v>
      </c>
      <c r="F104" t="s">
        <v>14</v>
      </c>
    </row>
    <row r="105" spans="3:6" ht="12.75">
      <c r="C105" t="s">
        <v>15</v>
      </c>
      <c r="D105" t="s">
        <v>16</v>
      </c>
      <c r="E105">
        <v>1700</v>
      </c>
      <c r="F105" t="s">
        <v>17</v>
      </c>
    </row>
    <row r="106" spans="3:6" ht="12.75">
      <c r="C106" t="s">
        <v>18</v>
      </c>
      <c r="D106" t="s">
        <v>19</v>
      </c>
      <c r="E106">
        <v>7800</v>
      </c>
      <c r="F106" t="s">
        <v>20</v>
      </c>
    </row>
    <row r="107" spans="3:6" ht="12">
      <c r="C107" t="s">
        <v>21</v>
      </c>
      <c r="D107" t="s">
        <v>22</v>
      </c>
      <c r="E107">
        <v>303</v>
      </c>
      <c r="F107" t="s">
        <v>23</v>
      </c>
    </row>
    <row r="108" spans="3:6" ht="12">
      <c r="C108" t="s">
        <v>24</v>
      </c>
      <c r="D108" t="s">
        <v>25</v>
      </c>
      <c r="E108">
        <v>36.6</v>
      </c>
      <c r="F108" t="s">
        <v>26</v>
      </c>
    </row>
    <row r="109" spans="3:6" ht="12">
      <c r="C109" t="s">
        <v>27</v>
      </c>
      <c r="D109" t="s">
        <v>28</v>
      </c>
      <c r="E109" t="s">
        <v>29</v>
      </c>
      <c r="F109" t="s">
        <v>30</v>
      </c>
    </row>
    <row r="110" spans="3:6" ht="12">
      <c r="C110" t="s">
        <v>31</v>
      </c>
      <c r="D110" t="s">
        <v>32</v>
      </c>
      <c r="E110" t="s">
        <v>33</v>
      </c>
      <c r="F110" t="s">
        <v>34</v>
      </c>
    </row>
    <row r="111" ht="12">
      <c r="C111" t="s">
        <v>36</v>
      </c>
    </row>
  </sheetData>
  <printOptions/>
  <pageMargins left="0.75" right="0.75" top="1" bottom="1" header="0.5" footer="0.5"/>
  <pageSetup horizontalDpi="300" verticalDpi="300"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Linn-Benton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Mulder</dc:creator>
  <cp:keywords/>
  <dc:description/>
  <cp:lastModifiedBy>Pat Keefe</cp:lastModifiedBy>
  <cp:lastPrinted>1998-05-06T17:57:34Z</cp:lastPrinted>
  <dcterms:created xsi:type="dcterms:W3CDTF">1997-11-10T02:23:55Z</dcterms:created>
  <dcterms:modified xsi:type="dcterms:W3CDTF">2007-01-05T19:17:48Z</dcterms:modified>
  <cp:category/>
  <cp:version/>
  <cp:contentType/>
  <cp:contentStatus/>
</cp:coreProperties>
</file>