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195" windowHeight="11625" tabRatio="601" firstSheet="2" activeTab="3"/>
  </bookViews>
  <sheets>
    <sheet name="Account Summary" sheetId="8" state="hidden" r:id="rId1"/>
    <sheet name="Activity Summary" sheetId="9" state="hidden" r:id="rId2"/>
    <sheet name="Report" sheetId="11" r:id="rId3"/>
    <sheet name="Budget" sheetId="10" r:id="rId4"/>
    <sheet name="Summary" sheetId="2" r:id="rId5"/>
    <sheet name="Transactions" sheetId="1" r:id="rId6"/>
  </sheets>
  <definedNames>
    <definedName name="_xlnm.Print_Area" localSheetId="3">Budget!$A$1:$O$59</definedName>
    <definedName name="_xlnm.Print_Area" localSheetId="5">Transactions!$A$1:$K$61</definedName>
  </definedNames>
  <calcPr calcId="125725"/>
  <pivotCaches>
    <pivotCache cacheId="0" r:id="rId7"/>
    <pivotCache cacheId="1" r:id="rId8"/>
  </pivotCaches>
</workbook>
</file>

<file path=xl/calcChain.xml><?xml version="1.0" encoding="utf-8"?>
<calcChain xmlns="http://schemas.openxmlformats.org/spreadsheetml/2006/main">
  <c r="O26" i="10"/>
  <c r="L27"/>
  <c r="M29"/>
  <c r="D39" i="1"/>
  <c r="G39"/>
  <c r="D38"/>
  <c r="G38"/>
  <c r="C59"/>
  <c r="C64"/>
  <c r="B59"/>
  <c r="B64"/>
  <c r="D27"/>
  <c r="B59" i="10"/>
  <c r="A40" i="11"/>
  <c r="D40" i="1"/>
  <c r="G40"/>
  <c r="D37"/>
  <c r="G37"/>
  <c r="D36"/>
  <c r="G36"/>
  <c r="D35"/>
  <c r="G35"/>
  <c r="D34"/>
  <c r="G34"/>
  <c r="D33"/>
  <c r="G33"/>
  <c r="D32"/>
  <c r="G32"/>
  <c r="D31"/>
  <c r="G31"/>
  <c r="D30"/>
  <c r="G30"/>
  <c r="D29"/>
  <c r="G29"/>
  <c r="D28"/>
  <c r="G28"/>
  <c r="G27"/>
  <c r="D26"/>
  <c r="G26"/>
  <c r="D25"/>
  <c r="G25"/>
  <c r="D24"/>
  <c r="G24"/>
  <c r="D23"/>
  <c r="G23"/>
  <c r="D22"/>
  <c r="G22"/>
  <c r="D21"/>
  <c r="G21"/>
  <c r="D20"/>
  <c r="G20"/>
  <c r="D19"/>
  <c r="D18"/>
  <c r="G18"/>
  <c r="D17"/>
  <c r="G17"/>
  <c r="D16"/>
  <c r="G16"/>
  <c r="D15"/>
  <c r="G15"/>
  <c r="D14"/>
  <c r="G14"/>
  <c r="D13"/>
  <c r="G13"/>
  <c r="D12"/>
  <c r="G12"/>
  <c r="D11"/>
  <c r="G11"/>
  <c r="D10"/>
  <c r="G10"/>
  <c r="D9"/>
  <c r="G9"/>
  <c r="J19" i="10"/>
  <c r="N19"/>
  <c r="J18"/>
  <c r="J17"/>
  <c r="J16"/>
  <c r="J15"/>
  <c r="J14"/>
  <c r="J13"/>
  <c r="J12"/>
  <c r="J11"/>
  <c r="J8"/>
  <c r="J9"/>
  <c r="J10"/>
  <c r="J20"/>
  <c r="J21"/>
  <c r="D41" i="1"/>
  <c r="G41"/>
  <c r="D25" i="11"/>
  <c r="D27" s="1"/>
  <c r="C42" i="10"/>
  <c r="A42"/>
  <c r="D56" i="1"/>
  <c r="G56"/>
  <c r="D54"/>
  <c r="G54"/>
  <c r="D53"/>
  <c r="G53"/>
  <c r="D52"/>
  <c r="G52"/>
  <c r="D51"/>
  <c r="G51"/>
  <c r="D50"/>
  <c r="G50"/>
  <c r="D49"/>
  <c r="G49"/>
  <c r="D47"/>
  <c r="G47"/>
  <c r="D44"/>
  <c r="G44"/>
  <c r="D43"/>
  <c r="G43"/>
  <c r="L39" i="10"/>
  <c r="L46" s="1"/>
  <c r="G26"/>
  <c r="G27"/>
  <c r="G28"/>
  <c r="G29"/>
  <c r="G30"/>
  <c r="G31"/>
  <c r="G32"/>
  <c r="G33"/>
  <c r="G34"/>
  <c r="G35"/>
  <c r="G36"/>
  <c r="L48" s="1"/>
  <c r="G37"/>
  <c r="G38"/>
  <c r="G39"/>
  <c r="G44"/>
  <c r="L26"/>
  <c r="L28"/>
  <c r="L29"/>
  <c r="L30"/>
  <c r="L38"/>
  <c r="G40"/>
  <c r="G41"/>
  <c r="G42"/>
  <c r="G43"/>
  <c r="E44"/>
  <c r="E43"/>
  <c r="N18"/>
  <c r="N8"/>
  <c r="N9"/>
  <c r="N10"/>
  <c r="N11"/>
  <c r="N12"/>
  <c r="N13"/>
  <c r="N14"/>
  <c r="N15"/>
  <c r="N16"/>
  <c r="N17"/>
  <c r="N20"/>
  <c r="O13"/>
  <c r="O15"/>
  <c r="L18"/>
  <c r="M18"/>
  <c r="S71"/>
  <c r="R71"/>
  <c r="C41"/>
  <c r="A41"/>
  <c r="D58" i="1"/>
  <c r="G58"/>
  <c r="D57"/>
  <c r="G57"/>
  <c r="E20" i="10"/>
  <c r="D48" i="1"/>
  <c r="G48"/>
  <c r="D46"/>
  <c r="G46"/>
  <c r="S61" i="10"/>
  <c r="S62"/>
  <c r="S63"/>
  <c r="S64"/>
  <c r="S65"/>
  <c r="S66"/>
  <c r="S67"/>
  <c r="S68"/>
  <c r="S69"/>
  <c r="S70"/>
  <c r="S72"/>
  <c r="S73"/>
  <c r="S74"/>
  <c r="S75"/>
  <c r="R75"/>
  <c r="R74"/>
  <c r="R72"/>
  <c r="R70"/>
  <c r="R69"/>
  <c r="R68"/>
  <c r="R67"/>
  <c r="R66"/>
  <c r="R65"/>
  <c r="R64"/>
  <c r="R63"/>
  <c r="R62"/>
  <c r="R61"/>
  <c r="D45" i="1"/>
  <c r="G45"/>
  <c r="D42"/>
  <c r="G42"/>
  <c r="D55"/>
  <c r="G55"/>
  <c r="D6" i="11"/>
  <c r="C40" i="10"/>
  <c r="A40"/>
  <c r="E24" i="2"/>
  <c r="L17" i="10"/>
  <c r="M17"/>
  <c r="C26"/>
  <c r="C45" s="1"/>
  <c r="C27"/>
  <c r="C28"/>
  <c r="C29"/>
  <c r="C30"/>
  <c r="C31"/>
  <c r="C32"/>
  <c r="C33"/>
  <c r="C34"/>
  <c r="C35"/>
  <c r="C36"/>
  <c r="C37"/>
  <c r="C38"/>
  <c r="C39"/>
  <c r="E42"/>
  <c r="A39"/>
  <c r="A38"/>
  <c r="A37"/>
  <c r="A36"/>
  <c r="A35"/>
  <c r="A34"/>
  <c r="D6" i="1"/>
  <c r="E26" i="2"/>
  <c r="E23"/>
  <c r="E22"/>
  <c r="E21"/>
  <c r="E20"/>
  <c r="E19"/>
  <c r="E18"/>
  <c r="E17"/>
  <c r="E16"/>
  <c r="E15"/>
  <c r="E41" i="10"/>
  <c r="E40"/>
  <c r="E39"/>
  <c r="E38"/>
  <c r="E37"/>
  <c r="E36"/>
  <c r="E35"/>
  <c r="E34"/>
  <c r="E33"/>
  <c r="L10"/>
  <c r="M10"/>
  <c r="L12"/>
  <c r="M12"/>
  <c r="L8"/>
  <c r="M8"/>
  <c r="L9"/>
  <c r="M9"/>
  <c r="L11"/>
  <c r="M11"/>
  <c r="L14"/>
  <c r="M14"/>
  <c r="L15"/>
  <c r="M15"/>
  <c r="L16"/>
  <c r="M16"/>
  <c r="I20"/>
  <c r="H20"/>
  <c r="C20"/>
  <c r="C21"/>
  <c r="E26"/>
  <c r="I39" s="1"/>
  <c r="E28"/>
  <c r="E32"/>
  <c r="E31"/>
  <c r="E30"/>
  <c r="E29"/>
  <c r="E27"/>
  <c r="A33"/>
  <c r="A32"/>
  <c r="A31"/>
  <c r="A30"/>
  <c r="A29"/>
  <c r="A28"/>
  <c r="A27"/>
  <c r="A26"/>
  <c r="A1"/>
  <c r="A1" i="2" s="1"/>
  <c r="A1" i="1" s="1"/>
  <c r="D13" i="11"/>
  <c r="B61"/>
  <c r="B60"/>
  <c r="A20"/>
  <c r="A16"/>
  <c r="A15"/>
  <c r="A14"/>
  <c r="A13"/>
  <c r="A12"/>
  <c r="B51"/>
  <c r="B50"/>
  <c r="B49"/>
  <c r="B47"/>
  <c r="B46"/>
  <c r="D20"/>
  <c r="D21"/>
  <c r="E47" i="2"/>
  <c r="F61" i="11"/>
  <c r="D15"/>
  <c r="D12"/>
  <c r="C47" i="2"/>
  <c r="C48"/>
  <c r="H8" i="1"/>
  <c r="G8"/>
  <c r="L13" i="10"/>
  <c r="M13"/>
  <c r="O10"/>
  <c r="O12"/>
  <c r="O9"/>
  <c r="O17"/>
  <c r="O11"/>
  <c r="O14"/>
  <c r="O16"/>
  <c r="E48" i="2"/>
  <c r="E49" s="1"/>
  <c r="F60" i="11"/>
  <c r="F62" s="1"/>
  <c r="O18" i="10"/>
  <c r="O19"/>
  <c r="O8"/>
  <c r="L19"/>
  <c r="L20"/>
  <c r="M19"/>
  <c r="M20"/>
  <c r="O20"/>
  <c r="B17" i="2"/>
  <c r="B46" s="1"/>
  <c r="D16" i="11" s="1"/>
  <c r="G45" i="10"/>
  <c r="S76"/>
  <c r="S77" s="1"/>
  <c r="H22" s="1"/>
  <c r="B4" i="2"/>
  <c r="B47"/>
  <c r="B43" s="1"/>
  <c r="D14" i="11" s="1"/>
  <c r="C61" i="1"/>
  <c r="E4" i="2"/>
  <c r="D5" i="11"/>
  <c r="D7" s="1"/>
  <c r="H23" i="2"/>
  <c r="H19"/>
  <c r="H18"/>
  <c r="H26"/>
  <c r="H21"/>
  <c r="H10"/>
  <c r="H25"/>
  <c r="H9"/>
  <c r="H22"/>
  <c r="H8"/>
  <c r="H11"/>
  <c r="H15"/>
  <c r="H20"/>
  <c r="H24"/>
  <c r="H17"/>
  <c r="H16"/>
  <c r="D9" i="10" l="1"/>
  <c r="F9" s="1"/>
  <c r="D10"/>
  <c r="F10" s="1"/>
  <c r="D17"/>
  <c r="F17" s="1"/>
  <c r="D13"/>
  <c r="F13" s="1"/>
  <c r="B16" i="2"/>
  <c r="B18" s="1"/>
  <c r="H29"/>
  <c r="D8" i="10"/>
  <c r="H13" i="2"/>
  <c r="B7"/>
  <c r="B5" s="1"/>
  <c r="D15" i="10"/>
  <c r="F15" s="1"/>
  <c r="D18"/>
  <c r="F18" s="1"/>
  <c r="D14"/>
  <c r="F14" s="1"/>
  <c r="D19"/>
  <c r="F19" s="1"/>
  <c r="D11"/>
  <c r="F11" s="1"/>
  <c r="D12"/>
  <c r="F12" s="1"/>
  <c r="D16"/>
  <c r="F16" s="1"/>
  <c r="L49"/>
  <c r="L47"/>
  <c r="D17" i="11"/>
  <c r="D23"/>
  <c r="B48" i="2"/>
  <c r="G19" i="10" l="1"/>
  <c r="K19"/>
  <c r="F5" i="2"/>
  <c r="G9" i="10"/>
  <c r="K9"/>
  <c r="G11"/>
  <c r="K11"/>
  <c r="G15"/>
  <c r="K15"/>
  <c r="G10"/>
  <c r="K10"/>
  <c r="G12"/>
  <c r="K12"/>
  <c r="G18"/>
  <c r="K18"/>
  <c r="F8"/>
  <c r="D20"/>
  <c r="G17"/>
  <c r="K17"/>
  <c r="K16"/>
  <c r="G16"/>
  <c r="K14"/>
  <c r="G14"/>
  <c r="H32" i="2"/>
  <c r="C4" s="1"/>
  <c r="A35" i="11"/>
  <c r="K13" i="10"/>
  <c r="G13"/>
  <c r="K8" l="1"/>
  <c r="K20" s="1"/>
  <c r="G8"/>
  <c r="G20" s="1"/>
  <c r="F20"/>
  <c r="C31" i="2" s="1"/>
  <c r="A38" i="11"/>
  <c r="C47" i="10"/>
  <c r="C49" l="1"/>
  <c r="D47"/>
  <c r="C32" i="2"/>
  <c r="C5"/>
</calcChain>
</file>

<file path=xl/comments1.xml><?xml version="1.0" encoding="utf-8"?>
<comments xmlns="http://schemas.openxmlformats.org/spreadsheetml/2006/main">
  <authors>
    <author>Bridget Keeler</author>
  </authors>
  <commentList>
    <comment ref="H14" authorId="0">
      <text>
        <r>
          <rPr>
            <b/>
            <sz val="9"/>
            <color indexed="81"/>
            <rFont val="Tahoma"/>
          </rPr>
          <t>Bridget Keeler:</t>
        </r>
        <r>
          <rPr>
            <sz val="9"/>
            <color indexed="81"/>
            <rFont val="Tahoma"/>
          </rPr>
          <t xml:space="preserve">
Replacement blades</t>
        </r>
      </text>
    </comment>
    <comment ref="H16" authorId="0">
      <text>
        <r>
          <rPr>
            <b/>
            <sz val="9"/>
            <color indexed="81"/>
            <rFont val="Tahoma"/>
          </rPr>
          <t>Bridget Keeler:</t>
        </r>
        <r>
          <rPr>
            <sz val="9"/>
            <color indexed="81"/>
            <rFont val="Tahoma"/>
          </rPr>
          <t xml:space="preserve">
iBackup</t>
        </r>
      </text>
    </comment>
    <comment ref="H29" authorId="0">
      <text>
        <r>
          <rPr>
            <b/>
            <sz val="9"/>
            <color indexed="81"/>
            <rFont val="Tahoma"/>
          </rPr>
          <t>Bridget Keeler:</t>
        </r>
        <r>
          <rPr>
            <sz val="9"/>
            <color indexed="81"/>
            <rFont val="Tahoma"/>
          </rPr>
          <t xml:space="preserve">
Jump House</t>
        </r>
      </text>
    </comment>
    <comment ref="H34" authorId="0">
      <text>
        <r>
          <rPr>
            <b/>
            <sz val="9"/>
            <color indexed="81"/>
            <rFont val="Tahoma"/>
          </rPr>
          <t>Bridget Keeler:</t>
        </r>
        <r>
          <rPr>
            <sz val="9"/>
            <color indexed="81"/>
            <rFont val="Tahoma"/>
          </rPr>
          <t xml:space="preserve">
Annual Meeting Copies</t>
        </r>
      </text>
    </comment>
    <comment ref="H35" authorId="0">
      <text>
        <r>
          <rPr>
            <b/>
            <sz val="9"/>
            <color indexed="81"/>
            <rFont val="Tahoma"/>
          </rPr>
          <t>Bridget Keeler:</t>
        </r>
        <r>
          <rPr>
            <sz val="9"/>
            <color indexed="81"/>
            <rFont val="Tahoma"/>
          </rPr>
          <t xml:space="preserve">
Envelopes and stamps</t>
        </r>
      </text>
    </comment>
  </commentList>
</comments>
</file>

<file path=xl/sharedStrings.xml><?xml version="1.0" encoding="utf-8"?>
<sst xmlns="http://schemas.openxmlformats.org/spreadsheetml/2006/main" count="281" uniqueCount="128">
  <si>
    <t>Checking</t>
  </si>
  <si>
    <t>Savings</t>
  </si>
  <si>
    <t>Account</t>
  </si>
  <si>
    <t>Taxes</t>
  </si>
  <si>
    <t>Operating Fees</t>
  </si>
  <si>
    <t>Dues</t>
  </si>
  <si>
    <t>Legal</t>
  </si>
  <si>
    <t>Dividends</t>
  </si>
  <si>
    <t>Check Number</t>
  </si>
  <si>
    <t>Park Maintenance</t>
  </si>
  <si>
    <t>Total Receipts</t>
  </si>
  <si>
    <t>Refunds</t>
  </si>
  <si>
    <t>YTD Actual</t>
  </si>
  <si>
    <t>Lake Access Maintenance</t>
  </si>
  <si>
    <t>Insurance</t>
  </si>
  <si>
    <t>Other</t>
  </si>
  <si>
    <t>Balance</t>
  </si>
  <si>
    <t>Summary of Transactions</t>
  </si>
  <si>
    <t>Total</t>
  </si>
  <si>
    <t>Amount</t>
  </si>
  <si>
    <t>Sum of Amount</t>
  </si>
  <si>
    <t>Grand Total</t>
  </si>
  <si>
    <t>Activity</t>
  </si>
  <si>
    <t>Contingency</t>
  </si>
  <si>
    <t>Estimated Variance</t>
  </si>
  <si>
    <t>Summary of Receipts &amp; Expenses</t>
  </si>
  <si>
    <t>Late Fees</t>
  </si>
  <si>
    <t>Quantity</t>
  </si>
  <si>
    <t>Treasurers Report</t>
  </si>
  <si>
    <t>Account Balances</t>
  </si>
  <si>
    <t>Return Check Fee</t>
  </si>
  <si>
    <t>Page 2</t>
  </si>
  <si>
    <t>Page 3</t>
  </si>
  <si>
    <t>Page 4</t>
  </si>
  <si>
    <t>Net YTD Receipts</t>
  </si>
  <si>
    <t>Total YTD Expenses</t>
  </si>
  <si>
    <t>Total Expenses</t>
  </si>
  <si>
    <t>Date Cleared</t>
  </si>
  <si>
    <t>Fence &amp; Misc Maintenance</t>
  </si>
  <si>
    <t>Net Receipts (Projected)</t>
  </si>
  <si>
    <t>Recommended Fund Assessment</t>
  </si>
  <si>
    <t>Prior Year Delinquent Pmt</t>
  </si>
  <si>
    <t>Entrance Maintenance</t>
  </si>
  <si>
    <t>Desired Long-Term Balance</t>
  </si>
  <si>
    <t>Web Site</t>
  </si>
  <si>
    <t>Est Remaining Expenses</t>
  </si>
  <si>
    <t>Canoe Storage</t>
  </si>
  <si>
    <t>Lease</t>
  </si>
  <si>
    <t>The allocation of these funds are as follows:</t>
  </si>
  <si>
    <t>Tree Fund</t>
  </si>
  <si>
    <t>Park &amp; Entrance Maintenance Fund</t>
  </si>
  <si>
    <t>Operating Fund</t>
  </si>
  <si>
    <t>Total Less Estimated Expenses</t>
  </si>
  <si>
    <t>Sub-Total</t>
  </si>
  <si>
    <t>Development Funds</t>
  </si>
  <si>
    <t>Total Funds</t>
  </si>
  <si>
    <t>Receipts &amp; Expenses</t>
  </si>
  <si>
    <t>Lake Access &amp; Fence Maintenance Fund</t>
  </si>
  <si>
    <t>Receipt &amp; Expense Summary</t>
  </si>
  <si>
    <t>Expense Budget Review &amp; Recommendations</t>
  </si>
  <si>
    <t>Per Lot Assessment Increase (Decrease)</t>
  </si>
  <si>
    <t>Total Per Lot Assessment</t>
  </si>
  <si>
    <t>Total Per Lot Assessment %</t>
  </si>
  <si>
    <t>Operating &amp; Maintenance (O&amp;M) Expenses and O&amp;M Funds</t>
  </si>
  <si>
    <t>Park Trees</t>
  </si>
  <si>
    <t xml:space="preserve">Operating and Maintenance funds cannot be used for betterment projects such as playground equipment, etc. </t>
  </si>
  <si>
    <t>are presented. The following pages are:</t>
  </si>
  <si>
    <t xml:space="preserve">The Operation and Maintenance funds can only be used for operation expenses, improvements and additions of </t>
  </si>
  <si>
    <t xml:space="preserve">existing structures, repairs, and maintenance of common properties. Any new betterment project that will increase </t>
  </si>
  <si>
    <t>maintenance costs and/or liabilities requires membership approval.</t>
  </si>
  <si>
    <t>Dues Collected</t>
  </si>
  <si>
    <t>Corp. WI Tax</t>
  </si>
  <si>
    <t>Property Taxes</t>
  </si>
  <si>
    <t>Material &amp; Supplies</t>
  </si>
  <si>
    <t>Postage &amp; Supplies</t>
  </si>
  <si>
    <t>Mowing</t>
  </si>
  <si>
    <t>Boardwalk</t>
  </si>
  <si>
    <t>Fertilizer/Weed Treatment</t>
  </si>
  <si>
    <t>PO Box</t>
  </si>
  <si>
    <t>Weed Treatment</t>
  </si>
  <si>
    <t>Transfer</t>
  </si>
  <si>
    <t>Lien Fees</t>
  </si>
  <si>
    <t>(blank)</t>
  </si>
  <si>
    <t>Total (before est. remaining expenses)</t>
  </si>
  <si>
    <t>Unpaid Assesments and Late Fees</t>
  </si>
  <si>
    <t>Lost Due Check</t>
  </si>
  <si>
    <t>Picnic &amp; Gatherings</t>
  </si>
  <si>
    <t>Total per Lot</t>
  </si>
  <si>
    <t>Unpaid Assessments and Late Fees</t>
  </si>
  <si>
    <t>Donation</t>
  </si>
  <si>
    <t>Donations</t>
  </si>
  <si>
    <t>Picnic</t>
  </si>
  <si>
    <t>The domain name is paid through 11-11-2017</t>
  </si>
  <si>
    <t>The web site is paid through 11-12-2014</t>
  </si>
  <si>
    <t>Total Assessment</t>
  </si>
  <si>
    <t>Fund Assessment</t>
  </si>
  <si>
    <t>O&amp;M Assessment</t>
  </si>
  <si>
    <t>Allocation of Cash Assets &amp; Assessments</t>
  </si>
  <si>
    <t>The business registration is paid through 11-11-2019</t>
  </si>
  <si>
    <t>Total remaining collections and liens</t>
  </si>
  <si>
    <t>Interest</t>
  </si>
  <si>
    <t xml:space="preserve">Late Fee </t>
  </si>
  <si>
    <t>Total uncollected late fees</t>
  </si>
  <si>
    <t>Total remaining 2012 collections</t>
  </si>
  <si>
    <t xml:space="preserve">The following three pages contain the details of the receipts and expenses for 2012. In addition, the budget recommendations </t>
  </si>
  <si>
    <t>January 1, 2012 to December 31, 2012</t>
  </si>
  <si>
    <t>2012 Budget</t>
  </si>
  <si>
    <t>Estimated Additional Expenses to 12-31-2012</t>
  </si>
  <si>
    <t>2012 Projected Estimate</t>
  </si>
  <si>
    <t>2013 Proposed</t>
  </si>
  <si>
    <t>2013 Est. Lease Fees</t>
  </si>
  <si>
    <t>Adjusted 2013 Proposed</t>
  </si>
  <si>
    <t>Adjusted 2013 Proposed vs 2012 Estimate</t>
  </si>
  <si>
    <t>Adjusted 2013 Proposed vs 2012 Budget</t>
  </si>
  <si>
    <t>2012 Base Assessment</t>
  </si>
  <si>
    <t>2013 O&amp;M Expense Assessment</t>
  </si>
  <si>
    <t>2012 Dues</t>
  </si>
  <si>
    <t>Total Paid in 2012</t>
  </si>
  <si>
    <t>2012 paid in 2011</t>
  </si>
  <si>
    <t>2012 Misc</t>
  </si>
  <si>
    <t>2013 Prepay</t>
  </si>
  <si>
    <t>Late Fee &amp; 2012 Assessment</t>
  </si>
  <si>
    <t>Projected 2012 Expenses</t>
  </si>
  <si>
    <t>Estimated Remaining 2012 Expenses</t>
  </si>
  <si>
    <t>2013 Assessment</t>
  </si>
  <si>
    <r>
      <t>The notice for the 2013 assessments will be sent in mid-January.</t>
    </r>
    <r>
      <rPr>
        <b/>
        <sz val="10"/>
        <rFont val="Arial"/>
        <family val="2"/>
      </rPr>
      <t xml:space="preserve">  </t>
    </r>
    <r>
      <rPr>
        <sz val="10"/>
        <rFont val="Arial"/>
      </rPr>
      <t>The 2012 assessments will be due by March 1, 2012.</t>
    </r>
  </si>
  <si>
    <t>The proposed 2013 assessment is as follows:</t>
  </si>
  <si>
    <t>Balance 12-31-2011</t>
  </si>
</sst>
</file>

<file path=xl/styles.xml><?xml version="1.0" encoding="utf-8"?>
<styleSheet xmlns="http://schemas.openxmlformats.org/spreadsheetml/2006/main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m/d"/>
    <numFmt numFmtId="167" formatCode="mm/dd/yy"/>
    <numFmt numFmtId="183" formatCode="_(&quot;$&quot;* #,##0.00_);_(&quot;$&quot;* \(#,##0.00\);_(&quot;$&quot;* &quot;-&quot;?????????????????_);_(@_)"/>
    <numFmt numFmtId="185" formatCode="[$-409]mmmm\ d\,\ yyyy;@"/>
  </numFmts>
  <fonts count="14">
    <font>
      <sz val="10"/>
      <name val="Arial"/>
    </font>
    <font>
      <sz val="10"/>
      <name val="Arial"/>
    </font>
    <font>
      <b/>
      <sz val="14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u val="singleAccounting"/>
      <sz val="10"/>
      <name val="Times New Roman"/>
      <family val="1"/>
    </font>
    <font>
      <sz val="9"/>
      <color indexed="81"/>
      <name val="Tahoma"/>
    </font>
    <font>
      <b/>
      <sz val="9"/>
      <color indexed="81"/>
      <name val="Tahoma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 vertical="center" wrapText="1"/>
    </xf>
    <xf numFmtId="16" fontId="0" fillId="0" borderId="0" xfId="0" applyNumberFormat="1"/>
    <xf numFmtId="44" fontId="0" fillId="0" borderId="0" xfId="0" applyNumberFormat="1"/>
    <xf numFmtId="43" fontId="0" fillId="0" borderId="0" xfId="0" applyNumberFormat="1"/>
    <xf numFmtId="1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43" fontId="3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16" fontId="2" fillId="0" borderId="0" xfId="0" applyNumberFormat="1" applyFont="1"/>
    <xf numFmtId="0" fontId="0" fillId="0" borderId="0" xfId="0" applyBorder="1"/>
    <xf numFmtId="44" fontId="0" fillId="0" borderId="0" xfId="0" applyNumberForma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3" fontId="5" fillId="0" borderId="0" xfId="0" applyNumberFormat="1" applyFont="1"/>
    <xf numFmtId="44" fontId="6" fillId="0" borderId="0" xfId="0" applyNumberFormat="1" applyFont="1"/>
    <xf numFmtId="0" fontId="6" fillId="0" borderId="0" xfId="0" applyFont="1"/>
    <xf numFmtId="44" fontId="3" fillId="0" borderId="0" xfId="0" applyNumberFormat="1" applyFont="1"/>
    <xf numFmtId="0" fontId="0" fillId="0" borderId="0" xfId="0" applyAlignment="1">
      <alignment horizontal="center"/>
    </xf>
    <xf numFmtId="41" fontId="0" fillId="0" borderId="0" xfId="0" applyNumberFormat="1"/>
    <xf numFmtId="44" fontId="0" fillId="0" borderId="0" xfId="0" applyNumberFormat="1" applyAlignment="1">
      <alignment horizontal="right"/>
    </xf>
    <xf numFmtId="44" fontId="0" fillId="0" borderId="0" xfId="0" applyNumberFormat="1" applyAlignment="1">
      <alignment wrapText="1"/>
    </xf>
    <xf numFmtId="0" fontId="5" fillId="0" borderId="0" xfId="0" applyFont="1"/>
    <xf numFmtId="44" fontId="5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>
      <alignment wrapText="1"/>
    </xf>
    <xf numFmtId="16" fontId="6" fillId="0" borderId="0" xfId="0" applyNumberFormat="1" applyFont="1"/>
    <xf numFmtId="44" fontId="5" fillId="0" borderId="0" xfId="0" applyNumberFormat="1" applyFont="1" applyAlignment="1">
      <alignment wrapText="1"/>
    </xf>
    <xf numFmtId="43" fontId="3" fillId="0" borderId="0" xfId="0" applyNumberFormat="1" applyFont="1" applyAlignment="1"/>
    <xf numFmtId="10" fontId="0" fillId="0" borderId="0" xfId="0" applyNumberFormat="1"/>
    <xf numFmtId="166" fontId="0" fillId="0" borderId="0" xfId="0" applyNumberFormat="1"/>
    <xf numFmtId="44" fontId="0" fillId="0" borderId="3" xfId="0" applyNumberFormat="1" applyBorder="1"/>
    <xf numFmtId="44" fontId="0" fillId="0" borderId="4" xfId="0" applyNumberFormat="1" applyBorder="1"/>
    <xf numFmtId="0" fontId="6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4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4" fontId="0" fillId="0" borderId="5" xfId="0" applyNumberFormat="1" applyBorder="1"/>
    <xf numFmtId="0" fontId="0" fillId="0" borderId="1" xfId="0" pivotButton="1" applyBorder="1"/>
    <xf numFmtId="0" fontId="0" fillId="0" borderId="6" xfId="0" applyBorder="1"/>
    <xf numFmtId="44" fontId="0" fillId="0" borderId="7" xfId="0" applyNumberFormat="1" applyBorder="1"/>
    <xf numFmtId="44" fontId="0" fillId="0" borderId="0" xfId="0" applyNumberFormat="1" applyFill="1"/>
    <xf numFmtId="43" fontId="0" fillId="0" borderId="0" xfId="0" applyNumberFormat="1" applyFill="1"/>
    <xf numFmtId="43" fontId="5" fillId="0" borderId="0" xfId="0" applyNumberFormat="1" applyFont="1" applyFill="1"/>
    <xf numFmtId="43" fontId="3" fillId="0" borderId="0" xfId="0" applyNumberFormat="1" applyFont="1" applyFill="1"/>
    <xf numFmtId="16" fontId="0" fillId="0" borderId="0" xfId="0" applyNumberFormat="1" applyAlignment="1">
      <alignment horizontal="center"/>
    </xf>
    <xf numFmtId="44" fontId="0" fillId="0" borderId="0" xfId="1" applyFont="1"/>
    <xf numFmtId="183" fontId="0" fillId="0" borderId="0" xfId="0" applyNumberFormat="1"/>
    <xf numFmtId="16" fontId="5" fillId="2" borderId="0" xfId="0" applyNumberFormat="1" applyFont="1" applyFill="1"/>
    <xf numFmtId="43" fontId="0" fillId="2" borderId="0" xfId="0" applyNumberFormat="1" applyFill="1"/>
    <xf numFmtId="43" fontId="5" fillId="2" borderId="0" xfId="0" applyNumberFormat="1" applyFont="1" applyFill="1"/>
    <xf numFmtId="0" fontId="0" fillId="2" borderId="0" xfId="0" applyFill="1" applyBorder="1"/>
    <xf numFmtId="0" fontId="0" fillId="2" borderId="0" xfId="0" applyFill="1"/>
    <xf numFmtId="0" fontId="0" fillId="2" borderId="0" xfId="0" applyNumberFormat="1" applyFill="1" applyAlignment="1">
      <alignment horizontal="center"/>
    </xf>
    <xf numFmtId="44" fontId="0" fillId="2" borderId="0" xfId="0" applyNumberFormat="1" applyFill="1"/>
    <xf numFmtId="43" fontId="3" fillId="2" borderId="0" xfId="0" applyNumberFormat="1" applyFont="1" applyFill="1"/>
    <xf numFmtId="0" fontId="0" fillId="3" borderId="0" xfId="0" applyFill="1" applyBorder="1"/>
    <xf numFmtId="0" fontId="0" fillId="3" borderId="0" xfId="0" applyFill="1"/>
    <xf numFmtId="0" fontId="0" fillId="0" borderId="0" xfId="0" applyFill="1"/>
    <xf numFmtId="10" fontId="3" fillId="0" borderId="0" xfId="0" applyNumberFormat="1" applyFont="1"/>
    <xf numFmtId="44" fontId="1" fillId="2" borderId="5" xfId="0" applyNumberFormat="1" applyFont="1" applyFill="1" applyBorder="1"/>
    <xf numFmtId="43" fontId="8" fillId="0" borderId="0" xfId="0" applyNumberFormat="1" applyFont="1" applyFill="1"/>
    <xf numFmtId="43" fontId="8" fillId="0" borderId="0" xfId="0" applyNumberFormat="1" applyFont="1"/>
    <xf numFmtId="0" fontId="0" fillId="2" borderId="0" xfId="0" applyFill="1" applyAlignment="1">
      <alignment wrapText="1"/>
    </xf>
    <xf numFmtId="16" fontId="5" fillId="0" borderId="0" xfId="0" applyNumberFormat="1" applyFont="1"/>
    <xf numFmtId="42" fontId="0" fillId="0" borderId="0" xfId="0" applyNumberFormat="1"/>
    <xf numFmtId="41" fontId="9" fillId="0" borderId="0" xfId="0" applyNumberFormat="1" applyFont="1"/>
    <xf numFmtId="0" fontId="5" fillId="0" borderId="0" xfId="0" applyFont="1" applyFill="1"/>
    <xf numFmtId="0" fontId="10" fillId="0" borderId="0" xfId="0" applyFont="1"/>
    <xf numFmtId="42" fontId="10" fillId="0" borderId="0" xfId="0" applyNumberFormat="1" applyFont="1"/>
    <xf numFmtId="41" fontId="10" fillId="0" borderId="0" xfId="0" applyNumberFormat="1" applyFont="1"/>
    <xf numFmtId="41" fontId="11" fillId="0" borderId="0" xfId="0" applyNumberFormat="1" applyFont="1"/>
    <xf numFmtId="16" fontId="10" fillId="0" borderId="0" xfId="0" applyNumberFormat="1" applyFont="1"/>
    <xf numFmtId="0" fontId="0" fillId="0" borderId="0" xfId="0" applyFont="1" applyAlignment="1"/>
    <xf numFmtId="43" fontId="1" fillId="0" borderId="0" xfId="0" applyNumberFormat="1" applyFont="1" applyFill="1"/>
    <xf numFmtId="15" fontId="0" fillId="0" borderId="0" xfId="0" applyNumberFormat="1" applyAlignment="1">
      <alignment horizontal="left"/>
    </xf>
    <xf numFmtId="0" fontId="5" fillId="0" borderId="0" xfId="0" applyFont="1" applyAlignment="1">
      <alignment horizontal="right"/>
    </xf>
    <xf numFmtId="0" fontId="5" fillId="2" borderId="0" xfId="0" applyNumberFormat="1" applyFont="1" applyFill="1" applyAlignment="1">
      <alignment horizontal="center"/>
    </xf>
    <xf numFmtId="43" fontId="0" fillId="4" borderId="0" xfId="0" applyNumberFormat="1" applyFill="1"/>
    <xf numFmtId="43" fontId="5" fillId="4" borderId="0" xfId="0" applyNumberFormat="1" applyFont="1" applyFill="1"/>
    <xf numFmtId="0" fontId="0" fillId="4" borderId="0" xfId="0" applyFill="1"/>
    <xf numFmtId="0" fontId="6" fillId="5" borderId="0" xfId="0" applyFont="1" applyFill="1"/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wrapText="1"/>
    </xf>
    <xf numFmtId="0" fontId="0" fillId="5" borderId="0" xfId="0" applyFill="1"/>
    <xf numFmtId="16" fontId="0" fillId="5" borderId="0" xfId="0" applyNumberFormat="1" applyFill="1" applyAlignment="1">
      <alignment horizontal="left"/>
    </xf>
    <xf numFmtId="16" fontId="0" fillId="5" borderId="0" xfId="0" applyNumberFormat="1" applyFill="1"/>
    <xf numFmtId="0" fontId="0" fillId="5" borderId="5" xfId="0" applyFill="1" applyBorder="1"/>
    <xf numFmtId="44" fontId="0" fillId="0" borderId="7" xfId="0" applyNumberFormat="1" applyFont="1" applyBorder="1"/>
    <xf numFmtId="0" fontId="0" fillId="5" borderId="0" xfId="0" applyFill="1" applyAlignment="1"/>
    <xf numFmtId="44" fontId="0" fillId="0" borderId="3" xfId="0" applyNumberFormat="1" applyFont="1" applyBorder="1"/>
    <xf numFmtId="44" fontId="6" fillId="0" borderId="7" xfId="0" applyNumberFormat="1" applyFont="1" applyBorder="1"/>
    <xf numFmtId="0" fontId="0" fillId="5" borderId="0" xfId="0" applyFill="1" applyAlignment="1"/>
    <xf numFmtId="0" fontId="0" fillId="0" borderId="0" xfId="0" applyAlignment="1"/>
    <xf numFmtId="0" fontId="6" fillId="5" borderId="0" xfId="0" applyFont="1" applyFill="1" applyAlignment="1"/>
    <xf numFmtId="0" fontId="5" fillId="5" borderId="0" xfId="0" applyFont="1" applyFill="1" applyAlignment="1"/>
    <xf numFmtId="16" fontId="5" fillId="5" borderId="0" xfId="0" applyNumberFormat="1" applyFont="1" applyFill="1" applyAlignment="1"/>
    <xf numFmtId="0" fontId="0" fillId="5" borderId="0" xfId="0" applyFill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185" fontId="0" fillId="0" borderId="0" xfId="0" applyNumberFormat="1" applyAlignment="1">
      <alignment horizontal="center" vertical="center" wrapText="1"/>
    </xf>
    <xf numFmtId="185" fontId="0" fillId="5" borderId="0" xfId="0" applyNumberFormat="1" applyFill="1" applyAlignment="1">
      <alignment horizontal="center" vertical="center" wrapText="1"/>
    </xf>
    <xf numFmtId="39" fontId="0" fillId="5" borderId="0" xfId="0" applyNumberFormat="1" applyFill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7">
    <dxf>
      <font>
        <b val="0"/>
      </font>
    </dxf>
    <dxf>
      <numFmt numFmtId="34" formatCode="_(&quot;$&quot;* #,##0.00_);_(&quot;$&quot;* \(#,##0.00\);_(&quot;$&quot;* &quot;-&quot;??_);_(@_)"/>
    </dxf>
    <dxf>
      <numFmt numFmtId="35" formatCode="_(* #,##0.00_);_(* \(#,##0.00\);_(* &quot;-&quot;??_);_(@_)"/>
    </dxf>
    <dxf>
      <numFmt numFmtId="34" formatCode="_(&quot;$&quot;* #,##0.00_);_(&quot;$&quot;* \(#,##0.00\);_(&quot;$&quot;* &quot;-&quot;??_);_(@_)"/>
    </dxf>
    <dxf>
      <font>
        <b val="0"/>
      </font>
    </dxf>
    <dxf>
      <font>
        <b/>
      </font>
    </dxf>
    <dxf>
      <numFmt numFmtId="34" formatCode="_(&quot;$&quot;* #,##0.00_);_(&quot;$&quot;* \(#,##0.00\);_(&quot;$&quot;* &quot;-&quot;??_);_(@_)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homas Asp" refreshedDate="41329.531002662035" createdVersion="1" refreshedVersion="4" recordCount="51" upgradeOnRefresh="1">
  <cacheSource type="worksheet">
    <worksheetSource ref="D8:E59" sheet="Transactions"/>
  </cacheSource>
  <cacheFields count="2">
    <cacheField name="Amount" numFmtId="0">
      <sharedItems containsString="0" containsBlank="1" containsNumber="1" minValue="-910" maxValue="2720"/>
    </cacheField>
    <cacheField name="Account" numFmtId="0">
      <sharedItems containsBlank="1" containsMixedTypes="1" containsNumber="1" minValue="5162.25" maxValue="5330.79" count="24">
        <s v="Dues"/>
        <s v="Operating Fees"/>
        <s v="Taxes"/>
        <s v="Park Maintenance"/>
        <s v="Picnic"/>
        <s v="Dividends"/>
        <s v="Insurance"/>
        <m/>
        <s v="Lease"/>
        <s v="Legal"/>
        <s v="Lake Access Maintenance"/>
        <s v="Transfer"/>
        <s v="Entrance Maintenance"/>
        <s v="Web Site"/>
        <s v="Park Trees"/>
        <s v="Fence &amp; Misc Maintenance"/>
        <s v="Donation"/>
        <s v="Lost Due Check"/>
        <n v="5162.25" u="1"/>
        <n v="5330.79" u="1"/>
        <n v="5167.25" u="1"/>
        <n v="5210.79" u="1"/>
        <n v="5294.7999999999993" u="1"/>
        <n v="5270.79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homas Asp" refreshedDate="41329.531115972219" createdVersion="1" refreshedVersion="4" recordCount="50" upgradeOnRefresh="1">
  <cacheSource type="worksheet">
    <worksheetSource ref="G8:H58" sheet="Transactions"/>
  </cacheSource>
  <cacheFields count="2">
    <cacheField name="Amount" numFmtId="0">
      <sharedItems containsSemiMixedTypes="0" containsString="0" containsNumber="1" minValue="-910" maxValue="2720"/>
    </cacheField>
    <cacheField name="Activity" numFmtId="0">
      <sharedItems containsBlank="1" count="47">
        <s v="Dues Collected"/>
        <s v="Postage &amp; Supplies"/>
        <s v="Property Taxes"/>
        <s v="Material &amp; Supplies"/>
        <s v="PO Box"/>
        <s v="Corp. WI Tax"/>
        <s v="Mowing"/>
        <s v="Picnic"/>
        <s v="Fertilizer/Weed Treatment"/>
        <s v="Dividends"/>
        <s v="Insurance"/>
        <m/>
        <s v="Legal"/>
        <s v="Transfer"/>
        <s v="Weed Treatment"/>
        <s v="Lease"/>
        <s v="Boardwalk"/>
        <s v="Donation"/>
        <s v="Lost Due Check"/>
        <s v="Boardwalk Repair" u="1"/>
        <s v="Web Site" u="1"/>
        <s v="Refund" u="1"/>
        <s v="Checks" u="1"/>
        <s v="Canoe Storage" u="1"/>
        <s v="Corp WI Tax" u="1"/>
        <s v="Seal Walkway" u="1"/>
        <s v="Donations" u="1"/>
        <s v="Dues Received" u="1"/>
        <s v="Operating Fees" u="1"/>
        <s v="Park Committee" u="1"/>
        <s v="Landscaping" u="1"/>
        <s v="Development Plan Fees" u="1"/>
        <s v="test" u="1"/>
        <s v="Lime" u="1"/>
        <s v="Park Tables" u="1"/>
        <s v="Painting" u="1"/>
        <s v="Proprty Taxes" u="1"/>
        <s v="Property Tax" u="1"/>
        <s v="Donations - Trees" u="1"/>
        <s v="Other" u="1"/>
        <s v="Canoe Racks" u="1"/>
        <s v="Dues" u="1"/>
        <s v="Park Trees" u="1"/>
        <s v="Weed Killer" u="1"/>
        <s v="Property" u="1"/>
        <s v="Park Maintenance" u="1"/>
        <s v="Tax Refund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n v="200"/>
    <x v="0"/>
  </r>
  <r>
    <n v="-35.200000000000003"/>
    <x v="1"/>
  </r>
  <r>
    <n v="-51.88"/>
    <x v="2"/>
  </r>
  <r>
    <n v="-59.4"/>
    <x v="2"/>
  </r>
  <r>
    <n v="-59.4"/>
    <x v="2"/>
  </r>
  <r>
    <n v="-41.09"/>
    <x v="1"/>
  </r>
  <r>
    <n v="-46"/>
    <x v="1"/>
  </r>
  <r>
    <n v="-99.5"/>
    <x v="1"/>
  </r>
  <r>
    <n v="-10"/>
    <x v="2"/>
  </r>
  <r>
    <n v="2060"/>
    <x v="0"/>
  </r>
  <r>
    <n v="2720"/>
    <x v="0"/>
  </r>
  <r>
    <n v="-640"/>
    <x v="3"/>
  </r>
  <r>
    <n v="-28.75"/>
    <x v="1"/>
  </r>
  <r>
    <n v="590"/>
    <x v="0"/>
  </r>
  <r>
    <n v="-640"/>
    <x v="3"/>
  </r>
  <r>
    <n v="-189.02"/>
    <x v="4"/>
  </r>
  <r>
    <n v="-259.52999999999997"/>
    <x v="3"/>
  </r>
  <r>
    <n v="-15.9"/>
    <x v="4"/>
  </r>
  <r>
    <n v="1.1599999999999999"/>
    <x v="5"/>
  </r>
  <r>
    <n v="1.43"/>
    <x v="5"/>
  </r>
  <r>
    <n v="-50"/>
    <x v="4"/>
  </r>
  <r>
    <n v="-157.69"/>
    <x v="4"/>
  </r>
  <r>
    <n v="-640"/>
    <x v="3"/>
  </r>
  <r>
    <n v="-910"/>
    <x v="6"/>
  </r>
  <r>
    <n v="1.3"/>
    <x v="5"/>
  </r>
  <r>
    <n v="-42.8"/>
    <x v="1"/>
  </r>
  <r>
    <n v="-33.159999999999997"/>
    <x v="1"/>
  </r>
  <r>
    <n v="1.1499999999999999"/>
    <x v="5"/>
  </r>
  <r>
    <n v="0.7"/>
    <x v="5"/>
  </r>
  <r>
    <n v="0.7"/>
    <x v="5"/>
  </r>
  <r>
    <n v="0.71"/>
    <x v="5"/>
  </r>
  <r>
    <n v="0"/>
    <x v="7"/>
  </r>
  <r>
    <n v="0"/>
    <x v="2"/>
  </r>
  <r>
    <n v="0"/>
    <x v="0"/>
  </r>
  <r>
    <n v="0"/>
    <x v="8"/>
  </r>
  <r>
    <n v="0"/>
    <x v="3"/>
  </r>
  <r>
    <n v="0"/>
    <x v="9"/>
  </r>
  <r>
    <n v="0"/>
    <x v="1"/>
  </r>
  <r>
    <n v="0"/>
    <x v="5"/>
  </r>
  <r>
    <n v="0"/>
    <x v="10"/>
  </r>
  <r>
    <n v="0"/>
    <x v="11"/>
  </r>
  <r>
    <n v="0"/>
    <x v="6"/>
  </r>
  <r>
    <n v="0"/>
    <x v="12"/>
  </r>
  <r>
    <n v="0"/>
    <x v="13"/>
  </r>
  <r>
    <n v="0"/>
    <x v="14"/>
  </r>
  <r>
    <n v="0"/>
    <x v="15"/>
  </r>
  <r>
    <n v="0"/>
    <x v="16"/>
  </r>
  <r>
    <n v="0"/>
    <x v="7"/>
  </r>
  <r>
    <n v="0"/>
    <x v="4"/>
  </r>
  <r>
    <n v="0"/>
    <x v="17"/>
  </r>
  <r>
    <m/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0">
  <r>
    <n v="200"/>
    <x v="0"/>
  </r>
  <r>
    <n v="-35.200000000000003"/>
    <x v="1"/>
  </r>
  <r>
    <n v="-51.88"/>
    <x v="2"/>
  </r>
  <r>
    <n v="-59.4"/>
    <x v="2"/>
  </r>
  <r>
    <n v="-59.4"/>
    <x v="2"/>
  </r>
  <r>
    <n v="-41.09"/>
    <x v="3"/>
  </r>
  <r>
    <n v="-46"/>
    <x v="4"/>
  </r>
  <r>
    <n v="-99.5"/>
    <x v="3"/>
  </r>
  <r>
    <n v="-10"/>
    <x v="5"/>
  </r>
  <r>
    <n v="2060"/>
    <x v="0"/>
  </r>
  <r>
    <n v="2720"/>
    <x v="0"/>
  </r>
  <r>
    <n v="-640"/>
    <x v="6"/>
  </r>
  <r>
    <n v="-28.75"/>
    <x v="3"/>
  </r>
  <r>
    <n v="590"/>
    <x v="0"/>
  </r>
  <r>
    <n v="-640"/>
    <x v="6"/>
  </r>
  <r>
    <n v="-189.02"/>
    <x v="7"/>
  </r>
  <r>
    <n v="-259.52999999999997"/>
    <x v="8"/>
  </r>
  <r>
    <n v="-15.9"/>
    <x v="7"/>
  </r>
  <r>
    <n v="1.1599999999999999"/>
    <x v="9"/>
  </r>
  <r>
    <n v="1.43"/>
    <x v="9"/>
  </r>
  <r>
    <n v="-50"/>
    <x v="7"/>
  </r>
  <r>
    <n v="-157.69"/>
    <x v="7"/>
  </r>
  <r>
    <n v="-640"/>
    <x v="6"/>
  </r>
  <r>
    <n v="-910"/>
    <x v="10"/>
  </r>
  <r>
    <n v="1.3"/>
    <x v="9"/>
  </r>
  <r>
    <n v="-42.8"/>
    <x v="3"/>
  </r>
  <r>
    <n v="-33.159999999999997"/>
    <x v="3"/>
  </r>
  <r>
    <n v="1.1499999999999999"/>
    <x v="9"/>
  </r>
  <r>
    <n v="0.7"/>
    <x v="9"/>
  </r>
  <r>
    <n v="0.7"/>
    <x v="9"/>
  </r>
  <r>
    <n v="0.71"/>
    <x v="9"/>
  </r>
  <r>
    <n v="0"/>
    <x v="11"/>
  </r>
  <r>
    <n v="0"/>
    <x v="9"/>
  </r>
  <r>
    <n v="0"/>
    <x v="12"/>
  </r>
  <r>
    <n v="0"/>
    <x v="6"/>
  </r>
  <r>
    <n v="0"/>
    <x v="4"/>
  </r>
  <r>
    <n v="0"/>
    <x v="1"/>
  </r>
  <r>
    <n v="0"/>
    <x v="13"/>
  </r>
  <r>
    <n v="0"/>
    <x v="10"/>
  </r>
  <r>
    <n v="0"/>
    <x v="3"/>
  </r>
  <r>
    <n v="0"/>
    <x v="2"/>
  </r>
  <r>
    <n v="0"/>
    <x v="0"/>
  </r>
  <r>
    <n v="0"/>
    <x v="5"/>
  </r>
  <r>
    <n v="0"/>
    <x v="14"/>
  </r>
  <r>
    <n v="0"/>
    <x v="15"/>
  </r>
  <r>
    <n v="0"/>
    <x v="16"/>
  </r>
  <r>
    <n v="0"/>
    <x v="8"/>
  </r>
  <r>
    <n v="0"/>
    <x v="17"/>
  </r>
  <r>
    <n v="0"/>
    <x v="7"/>
  </r>
  <r>
    <n v="0"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4" cacheId="0" dataOnRows="1" applyNumberFormats="0" applyBorderFormats="0" applyFontFormats="0" applyPatternFormats="0" applyAlignmentFormats="0" applyWidthHeightFormats="1" dataCaption="Data" updatedVersion="4" asteriskTotals="1" showItems="0" showMultipleLabel="0" showMemberPropertyTips="0" useAutoFormatting="1" itemPrintTitles="1" indent="0" compact="0" compactData="0" gridDropZones="1">
  <location ref="A3:B22" firstHeaderRow="2" firstDataRow="2" firstDataCol="1"/>
  <pivotFields count="2">
    <pivotField dataField="1" compact="0" outline="0" subtotalTop="0" showAll="0" includeNewItemsInFilter="1"/>
    <pivotField axis="axisRow" compact="0" outline="0" subtotalTop="0" showAll="0" includeNewItemsInFilter="1">
      <items count="25">
        <item h="1" x="7"/>
        <item m="1" x="22"/>
        <item m="1" x="19"/>
        <item m="1" x="23"/>
        <item m="1" x="21"/>
        <item m="1" x="20"/>
        <item m="1" x="18"/>
        <item x="2"/>
        <item x="0"/>
        <item x="8"/>
        <item x="3"/>
        <item x="9"/>
        <item x="1"/>
        <item x="5"/>
        <item x="10"/>
        <item x="11"/>
        <item x="6"/>
        <item x="12"/>
        <item x="13"/>
        <item x="14"/>
        <item x="15"/>
        <item x="17"/>
        <item x="16"/>
        <item x="4"/>
        <item t="default"/>
      </items>
    </pivotField>
  </pivotFields>
  <rowFields count="1">
    <field x="1"/>
  </rowFields>
  <rowItems count="18"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Items count="1">
    <i/>
  </colItems>
  <dataFields count="1">
    <dataField name="Sum of Amount" fld="0" baseField="0" baseItem="0" numFmtId="44"/>
  </dataFields>
  <formats count="3">
    <format dxfId="6">
      <pivotArea outline="0" fieldPosition="0"/>
    </format>
    <format dxfId="5">
      <pivotArea outline="0" fieldPosition="0">
        <references count="1">
          <reference field="1" count="1" selected="0">
            <x v="11"/>
          </reference>
        </references>
      </pivotArea>
    </format>
    <format dxfId="4">
      <pivotArea outline="0" fieldPosition="0">
        <references count="1">
          <reference field="1" count="1" selected="0"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6" cacheId="1" dataOnRows="1" applyNumberFormats="0" applyBorderFormats="0" applyFontFormats="0" applyPatternFormats="0" applyAlignmentFormats="0" applyWidthHeightFormats="1" dataCaption="Data" updatedVersion="4" showItems="0" showMultipleLabel="0" showMemberPropertyTips="0" useAutoFormatting="1" itemPrintTitles="1" indent="0" compact="0" compactData="0" gridDropZones="1">
  <location ref="A4:B25" firstHeaderRow="2" firstDataRow="2" firstDataCol="1"/>
  <pivotFields count="2">
    <pivotField dataField="1" compact="0" numFmtId="44" outline="0" subtotalTop="0" showAll="0" includeNewItemsInFilter="1"/>
    <pivotField axis="axisRow" compact="0" outline="0" subtotalTop="0" showAll="0" includeNewItemsInFilter="1">
      <items count="48">
        <item m="1" x="24"/>
        <item m="1" x="31"/>
        <item x="9"/>
        <item m="1" x="41"/>
        <item x="12"/>
        <item m="1" x="33"/>
        <item x="6"/>
        <item x="4"/>
        <item x="1"/>
        <item m="1" x="44"/>
        <item m="1" x="21"/>
        <item m="1" x="25"/>
        <item m="1" x="46"/>
        <item x="13"/>
        <item m="1" x="43"/>
        <item x="11"/>
        <item x="10"/>
        <item m="1" x="39"/>
        <item m="1" x="37"/>
        <item m="1" x="35"/>
        <item m="1" x="23"/>
        <item m="1" x="32"/>
        <item m="1" x="27"/>
        <item m="1" x="29"/>
        <item m="1" x="40"/>
        <item m="1" x="30"/>
        <item m="1" x="42"/>
        <item m="1" x="26"/>
        <item m="1" x="38"/>
        <item m="1" x="20"/>
        <item x="3"/>
        <item x="2"/>
        <item x="0"/>
        <item x="5"/>
        <item x="14"/>
        <item m="1" x="36"/>
        <item x="15"/>
        <item m="1" x="22"/>
        <item m="1" x="34"/>
        <item m="1" x="19"/>
        <item x="16"/>
        <item x="8"/>
        <item m="1" x="28"/>
        <item x="18"/>
        <item m="1" x="45"/>
        <item x="7"/>
        <item x="17"/>
        <item t="default"/>
      </items>
    </pivotField>
  </pivotFields>
  <rowFields count="1">
    <field x="1"/>
  </rowFields>
  <rowItems count="20">
    <i>
      <x v="2"/>
    </i>
    <i>
      <x v="4"/>
    </i>
    <i>
      <x v="6"/>
    </i>
    <i>
      <x v="7"/>
    </i>
    <i>
      <x v="8"/>
    </i>
    <i>
      <x v="13"/>
    </i>
    <i>
      <x v="15"/>
    </i>
    <i>
      <x v="16"/>
    </i>
    <i>
      <x v="30"/>
    </i>
    <i>
      <x v="31"/>
    </i>
    <i>
      <x v="32"/>
    </i>
    <i>
      <x v="33"/>
    </i>
    <i>
      <x v="34"/>
    </i>
    <i>
      <x v="36"/>
    </i>
    <i>
      <x v="40"/>
    </i>
    <i>
      <x v="41"/>
    </i>
    <i>
      <x v="43"/>
    </i>
    <i>
      <x v="45"/>
    </i>
    <i>
      <x v="46"/>
    </i>
    <i t="grand">
      <x/>
    </i>
  </rowItems>
  <colItems count="1">
    <i/>
  </colItems>
  <dataFields count="1">
    <dataField name="Sum of Amount" fld="0" baseField="0" baseItem="0" numFmtId="44"/>
  </dataFields>
  <formats count="4">
    <format dxfId="3">
      <pivotArea outline="0" fieldPosition="0">
        <references count="1">
          <reference field="1" count="1" selected="0">
            <x v="20"/>
          </reference>
        </references>
      </pivotArea>
    </format>
    <format dxfId="2">
      <pivotArea outline="0" fieldPosition="0"/>
    </format>
    <format dxfId="1">
      <pivotArea outline="0" fieldPosition="0"/>
    </format>
    <format dxfId="0">
      <pivotArea outline="0" fieldPosition="0">
        <references count="1">
          <reference field="1" count="2" selected="0">
            <x v="2"/>
            <x v="4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22"/>
  <sheetViews>
    <sheetView workbookViewId="0">
      <selection activeCell="A7" sqref="A7"/>
    </sheetView>
  </sheetViews>
  <sheetFormatPr defaultColWidth="8.85546875" defaultRowHeight="12.75"/>
  <cols>
    <col min="1" max="1" width="21.42578125" bestFit="1" customWidth="1"/>
    <col min="2" max="2" width="10.28515625" bestFit="1" customWidth="1"/>
  </cols>
  <sheetData>
    <row r="3" spans="1:2">
      <c r="A3" s="45" t="s">
        <v>20</v>
      </c>
      <c r="B3" s="11"/>
    </row>
    <row r="4" spans="1:2">
      <c r="A4" s="45" t="s">
        <v>2</v>
      </c>
      <c r="B4" s="11" t="s">
        <v>18</v>
      </c>
    </row>
    <row r="5" spans="1:2">
      <c r="A5" s="9" t="s">
        <v>3</v>
      </c>
      <c r="B5" s="37">
        <v>-180.68</v>
      </c>
    </row>
    <row r="6" spans="1:2">
      <c r="A6" s="46" t="s">
        <v>5</v>
      </c>
      <c r="B6" s="47">
        <v>5570</v>
      </c>
    </row>
    <row r="7" spans="1:2">
      <c r="A7" s="46" t="s">
        <v>47</v>
      </c>
      <c r="B7" s="47">
        <v>0</v>
      </c>
    </row>
    <row r="8" spans="1:2">
      <c r="A8" s="46" t="s">
        <v>9</v>
      </c>
      <c r="B8" s="47">
        <v>-2179.5299999999997</v>
      </c>
    </row>
    <row r="9" spans="1:2">
      <c r="A9" s="46" t="s">
        <v>6</v>
      </c>
      <c r="B9" s="98">
        <v>0</v>
      </c>
    </row>
    <row r="10" spans="1:2">
      <c r="A10" s="46" t="s">
        <v>4</v>
      </c>
      <c r="B10" s="47">
        <v>-326.5</v>
      </c>
    </row>
    <row r="11" spans="1:2">
      <c r="A11" s="46" t="s">
        <v>7</v>
      </c>
      <c r="B11" s="95">
        <v>7.1499999999999995</v>
      </c>
    </row>
    <row r="12" spans="1:2">
      <c r="A12" s="46" t="s">
        <v>13</v>
      </c>
      <c r="B12" s="47">
        <v>0</v>
      </c>
    </row>
    <row r="13" spans="1:2">
      <c r="A13" s="46" t="s">
        <v>80</v>
      </c>
      <c r="B13" s="47">
        <v>0</v>
      </c>
    </row>
    <row r="14" spans="1:2">
      <c r="A14" s="46" t="s">
        <v>14</v>
      </c>
      <c r="B14" s="47">
        <v>-910</v>
      </c>
    </row>
    <row r="15" spans="1:2">
      <c r="A15" s="46" t="s">
        <v>42</v>
      </c>
      <c r="B15" s="47">
        <v>0</v>
      </c>
    </row>
    <row r="16" spans="1:2">
      <c r="A16" s="46" t="s">
        <v>44</v>
      </c>
      <c r="B16" s="47">
        <v>0</v>
      </c>
    </row>
    <row r="17" spans="1:2">
      <c r="A17" s="46" t="s">
        <v>64</v>
      </c>
      <c r="B17" s="47">
        <v>0</v>
      </c>
    </row>
    <row r="18" spans="1:2">
      <c r="A18" s="46" t="s">
        <v>38</v>
      </c>
      <c r="B18" s="47">
        <v>0</v>
      </c>
    </row>
    <row r="19" spans="1:2">
      <c r="A19" s="46" t="s">
        <v>85</v>
      </c>
      <c r="B19" s="47">
        <v>0</v>
      </c>
    </row>
    <row r="20" spans="1:2">
      <c r="A20" s="46" t="s">
        <v>89</v>
      </c>
      <c r="B20" s="47">
        <v>0</v>
      </c>
    </row>
    <row r="21" spans="1:2">
      <c r="A21" s="46" t="s">
        <v>91</v>
      </c>
      <c r="B21" s="47">
        <v>-412.61</v>
      </c>
    </row>
    <row r="22" spans="1:2">
      <c r="A22" s="10" t="s">
        <v>21</v>
      </c>
      <c r="B22" s="38">
        <v>1567.83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>
    <oddFooter>&amp;LBayview Estates Homehowners Association&amp;R&amp;D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A5" sqref="A5"/>
    </sheetView>
  </sheetViews>
  <sheetFormatPr defaultColWidth="8.85546875" defaultRowHeight="12.75"/>
  <cols>
    <col min="1" max="1" width="20.42578125" customWidth="1"/>
    <col min="2" max="2" width="10.28515625" customWidth="1"/>
  </cols>
  <sheetData>
    <row r="1" spans="1:3">
      <c r="A1" s="13"/>
      <c r="B1" s="13"/>
      <c r="C1" s="13"/>
    </row>
    <row r="2" spans="1:3">
      <c r="A2" s="13"/>
      <c r="B2" s="13"/>
      <c r="C2" s="13"/>
    </row>
    <row r="3" spans="1:3">
      <c r="A3" s="13"/>
      <c r="B3" s="13"/>
      <c r="C3" s="13"/>
    </row>
    <row r="4" spans="1:3">
      <c r="A4" s="45" t="s">
        <v>20</v>
      </c>
      <c r="B4" s="11"/>
      <c r="C4" s="13"/>
    </row>
    <row r="5" spans="1:3">
      <c r="A5" s="45" t="s">
        <v>22</v>
      </c>
      <c r="B5" s="11" t="s">
        <v>18</v>
      </c>
      <c r="C5" s="13"/>
    </row>
    <row r="6" spans="1:3">
      <c r="A6" s="9" t="s">
        <v>7</v>
      </c>
      <c r="B6" s="97">
        <v>7.1499999999999995</v>
      </c>
      <c r="C6" s="13"/>
    </row>
    <row r="7" spans="1:3">
      <c r="A7" s="46" t="s">
        <v>6</v>
      </c>
      <c r="B7" s="95">
        <v>0</v>
      </c>
    </row>
    <row r="8" spans="1:3">
      <c r="A8" s="46" t="s">
        <v>75</v>
      </c>
      <c r="B8" s="47">
        <v>-1920</v>
      </c>
    </row>
    <row r="9" spans="1:3">
      <c r="A9" s="46" t="s">
        <v>78</v>
      </c>
      <c r="B9" s="47">
        <v>-46</v>
      </c>
    </row>
    <row r="10" spans="1:3">
      <c r="A10" s="46" t="s">
        <v>74</v>
      </c>
      <c r="B10" s="47">
        <v>-35.200000000000003</v>
      </c>
    </row>
    <row r="11" spans="1:3">
      <c r="A11" s="46" t="s">
        <v>80</v>
      </c>
      <c r="B11" s="47">
        <v>0</v>
      </c>
    </row>
    <row r="12" spans="1:3">
      <c r="A12" s="46" t="s">
        <v>82</v>
      </c>
      <c r="B12" s="47">
        <v>0</v>
      </c>
    </row>
    <row r="13" spans="1:3">
      <c r="A13" s="46" t="s">
        <v>14</v>
      </c>
      <c r="B13" s="47">
        <v>-910</v>
      </c>
    </row>
    <row r="14" spans="1:3">
      <c r="A14" s="46" t="s">
        <v>73</v>
      </c>
      <c r="B14" s="47">
        <v>-245.29999999999998</v>
      </c>
    </row>
    <row r="15" spans="1:3">
      <c r="A15" s="46" t="s">
        <v>72</v>
      </c>
      <c r="B15" s="47">
        <v>-170.68</v>
      </c>
    </row>
    <row r="16" spans="1:3">
      <c r="A16" s="46" t="s">
        <v>70</v>
      </c>
      <c r="B16" s="47">
        <v>5570</v>
      </c>
    </row>
    <row r="17" spans="1:2">
      <c r="A17" s="46" t="s">
        <v>71</v>
      </c>
      <c r="B17" s="47">
        <v>-10</v>
      </c>
    </row>
    <row r="18" spans="1:2">
      <c r="A18" s="46" t="s">
        <v>79</v>
      </c>
      <c r="B18" s="47">
        <v>0</v>
      </c>
    </row>
    <row r="19" spans="1:2">
      <c r="A19" s="46" t="s">
        <v>47</v>
      </c>
      <c r="B19" s="47">
        <v>0</v>
      </c>
    </row>
    <row r="20" spans="1:2">
      <c r="A20" s="46" t="s">
        <v>76</v>
      </c>
      <c r="B20" s="47">
        <v>0</v>
      </c>
    </row>
    <row r="21" spans="1:2">
      <c r="A21" s="46" t="s">
        <v>77</v>
      </c>
      <c r="B21" s="47">
        <v>-259.52999999999997</v>
      </c>
    </row>
    <row r="22" spans="1:2">
      <c r="A22" s="46" t="s">
        <v>85</v>
      </c>
      <c r="B22" s="47">
        <v>0</v>
      </c>
    </row>
    <row r="23" spans="1:2">
      <c r="A23" s="46" t="s">
        <v>91</v>
      </c>
      <c r="B23" s="47">
        <v>-412.61</v>
      </c>
    </row>
    <row r="24" spans="1:2">
      <c r="A24" s="46" t="s">
        <v>89</v>
      </c>
      <c r="B24" s="47">
        <v>0</v>
      </c>
    </row>
    <row r="25" spans="1:2">
      <c r="A25" s="10" t="s">
        <v>21</v>
      </c>
      <c r="B25" s="38">
        <v>1567.83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>
    <oddFooter>&amp;LBayview Estates Homehowners Association&amp;R&amp;D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"/>
  <sheetViews>
    <sheetView topLeftCell="A18" zoomScaleNormal="100" workbookViewId="0">
      <selection activeCell="A35" sqref="A35:I37"/>
    </sheetView>
  </sheetViews>
  <sheetFormatPr defaultColWidth="8.85546875" defaultRowHeight="12.75"/>
  <cols>
    <col min="1" max="1" width="9.42578125" bestFit="1" customWidth="1"/>
    <col min="3" max="3" width="17.140625" customWidth="1"/>
    <col min="4" max="4" width="11" customWidth="1"/>
    <col min="5" max="5" width="10.28515625" bestFit="1" customWidth="1"/>
    <col min="8" max="8" width="21.85546875" customWidth="1"/>
    <col min="9" max="9" width="11" customWidth="1"/>
  </cols>
  <sheetData>
    <row r="1" spans="1:9" ht="15.75" customHeight="1">
      <c r="A1" s="105" t="s">
        <v>28</v>
      </c>
      <c r="B1" s="106"/>
      <c r="C1" s="106"/>
      <c r="D1" s="106"/>
      <c r="E1" s="106"/>
      <c r="F1" s="106"/>
      <c r="G1" s="106"/>
      <c r="H1" s="106"/>
      <c r="I1" s="106"/>
    </row>
    <row r="2" spans="1:9" ht="12.75" hidden="1" customHeight="1">
      <c r="A2" s="107">
        <v>39030</v>
      </c>
      <c r="B2" s="107"/>
      <c r="C2" s="107"/>
      <c r="D2" s="107"/>
      <c r="E2" s="107"/>
      <c r="F2" s="107"/>
      <c r="G2" s="107"/>
      <c r="H2" s="107"/>
      <c r="I2" s="107"/>
    </row>
    <row r="3" spans="1:9">
      <c r="A3" s="108" t="s">
        <v>105</v>
      </c>
      <c r="B3" s="108"/>
      <c r="C3" s="108"/>
      <c r="D3" s="108"/>
      <c r="E3" s="108"/>
      <c r="F3" s="108"/>
      <c r="G3" s="108"/>
      <c r="H3" s="108"/>
      <c r="I3" s="108"/>
    </row>
    <row r="4" spans="1:9">
      <c r="A4" s="107">
        <v>40917</v>
      </c>
      <c r="B4" s="107"/>
      <c r="C4" s="107"/>
      <c r="D4" s="107"/>
      <c r="E4" s="107"/>
      <c r="F4" s="107"/>
      <c r="G4" s="107"/>
      <c r="H4" s="107"/>
      <c r="I4" s="107"/>
    </row>
    <row r="5" spans="1:9">
      <c r="A5" s="27" t="s">
        <v>29</v>
      </c>
      <c r="B5" s="27"/>
      <c r="C5" s="27" t="s">
        <v>0</v>
      </c>
      <c r="D5" s="28">
        <f>+Transactions!B59</f>
        <v>9052.4699999999993</v>
      </c>
      <c r="F5" s="3"/>
    </row>
    <row r="6" spans="1:9" ht="15">
      <c r="A6" s="27"/>
      <c r="B6" s="27"/>
      <c r="C6" s="27" t="s">
        <v>1</v>
      </c>
      <c r="D6" s="8">
        <f>+Transactions!C59</f>
        <v>2789.8499999999995</v>
      </c>
    </row>
    <row r="7" spans="1:9">
      <c r="A7" s="27"/>
      <c r="B7" s="27"/>
      <c r="C7" s="27" t="s">
        <v>18</v>
      </c>
      <c r="D7" s="28">
        <f>SUM(D5:D6)</f>
        <v>11842.32</v>
      </c>
    </row>
    <row r="9" spans="1:9">
      <c r="A9" t="s">
        <v>48</v>
      </c>
    </row>
    <row r="11" spans="1:9">
      <c r="A11" s="21" t="s">
        <v>63</v>
      </c>
      <c r="G11" s="3"/>
    </row>
    <row r="12" spans="1:9">
      <c r="A12" s="2" t="str">
        <f>+Summary!A41</f>
        <v>Lake Access &amp; Fence Maintenance Fund</v>
      </c>
      <c r="D12" s="3">
        <f>+Summary!B41</f>
        <v>6500</v>
      </c>
      <c r="E12" s="3"/>
    </row>
    <row r="13" spans="1:9">
      <c r="A13" s="2" t="str">
        <f>+Summary!A42</f>
        <v>Park &amp; Entrance Maintenance Fund</v>
      </c>
      <c r="D13" s="4">
        <f>+Summary!B42</f>
        <v>1000</v>
      </c>
      <c r="E13" s="3"/>
    </row>
    <row r="14" spans="1:9">
      <c r="A14" s="2" t="str">
        <f>+Summary!A43</f>
        <v>Contingency</v>
      </c>
      <c r="D14" s="4">
        <f>+Summary!B43</f>
        <v>3642.3199999999997</v>
      </c>
      <c r="E14" s="3"/>
    </row>
    <row r="15" spans="1:9">
      <c r="A15" s="2" t="str">
        <f>+Summary!A44</f>
        <v>Operating Fund</v>
      </c>
      <c r="D15" s="4">
        <f>+Summary!B44</f>
        <v>500</v>
      </c>
      <c r="E15" s="3"/>
    </row>
    <row r="16" spans="1:9" ht="15">
      <c r="A16" s="2" t="str">
        <f>+Summary!A46</f>
        <v>Estimated Remaining 2012 Expenses</v>
      </c>
      <c r="D16" s="8">
        <f>+Summary!B46</f>
        <v>0</v>
      </c>
      <c r="E16" s="3"/>
      <c r="F16" s="15"/>
      <c r="G16" s="15"/>
      <c r="H16" s="15"/>
      <c r="I16" s="15"/>
    </row>
    <row r="17" spans="1:9">
      <c r="A17" s="2"/>
      <c r="B17" s="15"/>
      <c r="C17" s="15" t="s">
        <v>53</v>
      </c>
      <c r="D17" s="3">
        <f>SUM(D12:D16)</f>
        <v>11642.32</v>
      </c>
      <c r="E17" s="3"/>
      <c r="F17" s="15"/>
      <c r="G17" s="15"/>
      <c r="H17" s="15"/>
      <c r="I17" s="15"/>
    </row>
    <row r="18" spans="1:9">
      <c r="A18" s="2"/>
      <c r="B18" s="15"/>
      <c r="C18" s="15"/>
      <c r="D18" s="3"/>
      <c r="E18" s="15"/>
      <c r="F18" s="15"/>
      <c r="G18" s="15"/>
      <c r="H18" s="15"/>
      <c r="I18" s="15"/>
    </row>
    <row r="19" spans="1:9">
      <c r="A19" s="32" t="s">
        <v>54</v>
      </c>
      <c r="B19" s="15"/>
      <c r="C19" s="15"/>
      <c r="D19" s="3"/>
      <c r="E19" s="15"/>
      <c r="F19" s="15"/>
      <c r="G19" s="15"/>
      <c r="H19" s="15"/>
      <c r="I19" s="15"/>
    </row>
    <row r="20" spans="1:9" ht="15">
      <c r="A20" s="2" t="str">
        <f>+Summary!A45</f>
        <v>Tree Fund</v>
      </c>
      <c r="D20" s="22">
        <f>+Summary!B45</f>
        <v>200</v>
      </c>
      <c r="E20" s="15"/>
      <c r="F20" s="15"/>
      <c r="G20" s="15"/>
      <c r="H20" s="15"/>
      <c r="I20" s="15"/>
    </row>
    <row r="21" spans="1:9">
      <c r="A21" s="2"/>
      <c r="C21" s="15" t="s">
        <v>53</v>
      </c>
      <c r="D21" s="3">
        <f>+D20</f>
        <v>200</v>
      </c>
      <c r="E21" s="15"/>
      <c r="F21" s="15"/>
      <c r="G21" s="15"/>
      <c r="H21" s="15"/>
      <c r="I21" s="15"/>
    </row>
    <row r="22" spans="1:9">
      <c r="D22" s="4"/>
      <c r="E22" s="15"/>
      <c r="F22" s="15"/>
      <c r="G22" s="15"/>
      <c r="H22" s="15"/>
      <c r="I22" s="15"/>
    </row>
    <row r="23" spans="1:9">
      <c r="A23" s="71" t="s">
        <v>55</v>
      </c>
      <c r="B23" s="27"/>
      <c r="C23" s="27"/>
      <c r="D23" s="28">
        <f>+D21+D17</f>
        <v>11842.32</v>
      </c>
      <c r="E23" s="15"/>
      <c r="F23" s="15"/>
      <c r="G23" s="15"/>
      <c r="H23" s="15"/>
      <c r="I23" s="15"/>
    </row>
    <row r="24" spans="1:9">
      <c r="A24" s="71"/>
      <c r="B24" s="27"/>
      <c r="C24" s="27"/>
      <c r="D24" s="28"/>
      <c r="E24" s="15"/>
      <c r="F24" s="15"/>
      <c r="G24" s="15"/>
      <c r="H24" s="15"/>
      <c r="I24" s="15"/>
    </row>
    <row r="25" spans="1:9">
      <c r="A25" s="103" t="s">
        <v>103</v>
      </c>
      <c r="B25" s="99"/>
      <c r="C25" s="99"/>
      <c r="D25" s="28">
        <f>+(65-Budget!K26-Budget!K31)*Budget!M26</f>
        <v>85</v>
      </c>
      <c r="E25" s="15"/>
      <c r="F25" s="15"/>
      <c r="G25" s="15"/>
      <c r="H25" s="15"/>
      <c r="I25" s="15"/>
    </row>
    <row r="26" spans="1:9" ht="15">
      <c r="A26" s="71" t="s">
        <v>102</v>
      </c>
      <c r="B26" s="27"/>
      <c r="C26" s="27"/>
      <c r="D26" s="8">
        <v>0</v>
      </c>
      <c r="E26" s="15"/>
      <c r="F26" s="15"/>
      <c r="G26" s="15"/>
      <c r="H26" s="15"/>
      <c r="I26" s="15"/>
    </row>
    <row r="27" spans="1:9">
      <c r="A27" s="71"/>
      <c r="B27" s="27"/>
      <c r="C27" s="83" t="s">
        <v>99</v>
      </c>
      <c r="D27" s="28">
        <f>SUM(D25:D26)</f>
        <v>85</v>
      </c>
      <c r="E27" s="15"/>
      <c r="F27" s="15"/>
      <c r="G27" s="15"/>
      <c r="H27" s="15"/>
      <c r="I27" s="15"/>
    </row>
    <row r="28" spans="1:9">
      <c r="A28" s="2"/>
      <c r="D28" s="4"/>
      <c r="E28" s="15"/>
      <c r="F28" s="15"/>
      <c r="G28" s="15"/>
      <c r="H28" s="15"/>
      <c r="I28" s="15"/>
    </row>
    <row r="29" spans="1:9" ht="12.75" customHeight="1">
      <c r="A29" s="15" t="s">
        <v>65</v>
      </c>
      <c r="B29" s="18"/>
      <c r="C29" s="18"/>
      <c r="D29" s="18"/>
      <c r="E29" s="18"/>
      <c r="F29" s="18"/>
      <c r="G29" s="18"/>
      <c r="H29" s="18"/>
      <c r="I29" s="18"/>
    </row>
    <row r="30" spans="1:9">
      <c r="A30" s="15" t="s">
        <v>67</v>
      </c>
      <c r="B30" s="18"/>
      <c r="C30" s="18"/>
      <c r="D30" s="18"/>
      <c r="E30" s="18"/>
      <c r="F30" s="18"/>
      <c r="G30" s="18"/>
      <c r="H30" s="18"/>
      <c r="I30" s="18"/>
    </row>
    <row r="31" spans="1:9">
      <c r="A31" s="15" t="s">
        <v>68</v>
      </c>
      <c r="B31" s="18"/>
      <c r="C31" s="18"/>
      <c r="D31" s="18"/>
      <c r="E31" s="18"/>
      <c r="F31" s="18"/>
      <c r="G31" s="18"/>
      <c r="H31" s="18"/>
      <c r="I31" s="18"/>
    </row>
    <row r="32" spans="1:9">
      <c r="A32" s="15" t="s">
        <v>69</v>
      </c>
      <c r="B32" s="18"/>
      <c r="C32" s="18"/>
      <c r="D32" s="18"/>
      <c r="E32" s="18"/>
      <c r="F32" s="18"/>
      <c r="G32" s="18"/>
      <c r="H32" s="18"/>
      <c r="I32" s="18"/>
    </row>
    <row r="33" spans="1:9">
      <c r="A33" s="18"/>
      <c r="B33" s="18"/>
      <c r="C33" s="18"/>
      <c r="D33" s="18"/>
      <c r="E33" s="18"/>
      <c r="F33" s="18"/>
      <c r="G33" s="18"/>
      <c r="H33" s="18"/>
      <c r="I33" s="18"/>
    </row>
    <row r="34" spans="1:9">
      <c r="A34" s="32" t="s">
        <v>56</v>
      </c>
      <c r="B34" s="18"/>
      <c r="C34" s="18"/>
      <c r="D34" s="18"/>
      <c r="E34" s="18"/>
      <c r="F34" s="18"/>
      <c r="G34" s="18"/>
      <c r="H34" s="18"/>
      <c r="I34" s="18"/>
    </row>
    <row r="35" spans="1:9">
      <c r="A35" s="109" t="str">
        <f>+"A total of $"&amp;Summary!H13&amp;" was collected. This was a result of receiving "&amp;Budget!K26&amp;" of 65 of the 2012 assessments (0- 2012 assements paid in 2011), 0 past due assessment, "&amp;Budget!K28&amp;" late fees, donations of $"&amp;Budget!L41&amp;", "&amp;Budget!K38&amp;" canoe storage leases, $"&amp;Budget!L40&amp;" in 2012 assesment prepayments, $"&amp;Budget!L29&amp;" in Lien Fees, and dividends of $"&amp;Budget!L39&amp;"."</f>
        <v>A total of $5577.15 was collected. This was a result of receiving 64 of 65 of the 2012 assessments (0- 2012 assements paid in 2011), 0 past due assessment, 4 late fees, donations of $30, 1 canoe storage leases, $0 in 2012 assesment prepayments, $0 in Lien Fees, and dividends of $7.15.</v>
      </c>
      <c r="B35" s="109"/>
      <c r="C35" s="109"/>
      <c r="D35" s="109"/>
      <c r="E35" s="109"/>
      <c r="F35" s="109"/>
      <c r="G35" s="109"/>
      <c r="H35" s="109"/>
      <c r="I35" s="109"/>
    </row>
    <row r="36" spans="1:9">
      <c r="A36" s="109"/>
      <c r="B36" s="109"/>
      <c r="C36" s="109"/>
      <c r="D36" s="109"/>
      <c r="E36" s="109"/>
      <c r="F36" s="109"/>
      <c r="G36" s="109"/>
      <c r="H36" s="109"/>
      <c r="I36" s="109"/>
    </row>
    <row r="37" spans="1:9">
      <c r="A37" s="109"/>
      <c r="B37" s="109"/>
      <c r="C37" s="109"/>
      <c r="D37" s="109"/>
      <c r="E37" s="109"/>
      <c r="F37" s="109"/>
      <c r="G37" s="109"/>
      <c r="H37" s="109"/>
      <c r="I37" s="109"/>
    </row>
    <row r="38" spans="1:9">
      <c r="A38" t="str">
        <f>+"A total of $"&amp;Budget!D20+Budget!E20&amp;" was or is projected to be spent in 2012."</f>
        <v>A total of $4009.32 was or is projected to be spent in 2012.</v>
      </c>
      <c r="B38" s="15"/>
      <c r="C38" s="15"/>
      <c r="D38" s="15"/>
      <c r="E38" s="15"/>
      <c r="F38" s="15"/>
    </row>
    <row r="39" spans="1:9">
      <c r="B39" s="15"/>
      <c r="C39" s="15"/>
      <c r="D39" s="15"/>
      <c r="E39" s="15"/>
      <c r="F39" s="15"/>
    </row>
    <row r="40" spans="1:9">
      <c r="A40" s="104" t="str">
        <f>+"We have a total of $"&amp;Budget!B59&amp;" in unpaid late fees and assesments."</f>
        <v>We have a total of $0 in unpaid late fees and assesments.</v>
      </c>
      <c r="B40" s="104"/>
      <c r="C40" s="104"/>
      <c r="D40" s="104"/>
      <c r="E40" s="104"/>
      <c r="F40" s="104"/>
      <c r="G40" s="104"/>
      <c r="H40" s="104"/>
      <c r="I40" s="104"/>
    </row>
    <row r="41" spans="1:9">
      <c r="A41" s="104"/>
      <c r="B41" s="104"/>
      <c r="C41" s="104"/>
      <c r="D41" s="104"/>
      <c r="E41" s="104"/>
      <c r="F41" s="104"/>
      <c r="G41" s="104"/>
      <c r="H41" s="104"/>
      <c r="I41" s="104"/>
    </row>
    <row r="42" spans="1:9">
      <c r="B42" s="15"/>
      <c r="C42" s="15"/>
      <c r="D42" s="15"/>
      <c r="E42" s="15"/>
      <c r="F42" s="15"/>
    </row>
    <row r="43" spans="1:9" ht="12.75" customHeight="1">
      <c r="A43" s="99" t="s">
        <v>104</v>
      </c>
      <c r="B43" s="100"/>
      <c r="C43" s="100"/>
      <c r="D43" s="100"/>
      <c r="E43" s="100"/>
      <c r="F43" s="100"/>
      <c r="G43" s="100"/>
      <c r="H43" s="100"/>
      <c r="I43" s="100"/>
    </row>
    <row r="44" spans="1:9">
      <c r="A44" s="15" t="s">
        <v>66</v>
      </c>
      <c r="B44" s="18"/>
      <c r="C44" s="18"/>
      <c r="D44" s="18"/>
      <c r="E44" s="18"/>
      <c r="F44" s="18"/>
      <c r="G44" s="18"/>
      <c r="H44" s="18"/>
      <c r="I44" s="18"/>
    </row>
    <row r="45" spans="1:9">
      <c r="A45" s="15"/>
      <c r="B45" s="15"/>
      <c r="C45" s="15"/>
      <c r="D45" s="15"/>
      <c r="E45" s="15"/>
      <c r="F45" s="15"/>
    </row>
    <row r="46" spans="1:9">
      <c r="B46" t="str">
        <f>+Budget!A2</f>
        <v>Expense Budget Review &amp; Recommendations</v>
      </c>
      <c r="F46" t="s">
        <v>31</v>
      </c>
    </row>
    <row r="47" spans="1:9">
      <c r="B47" t="str">
        <f>+Budget!A23</f>
        <v>Receipt &amp; Expense Summary</v>
      </c>
      <c r="F47" t="s">
        <v>31</v>
      </c>
    </row>
    <row r="48" spans="1:9">
      <c r="B48" t="s">
        <v>84</v>
      </c>
      <c r="F48" t="s">
        <v>31</v>
      </c>
    </row>
    <row r="49" spans="1:9">
      <c r="B49" t="str">
        <f>+Summary!A2</f>
        <v>Summary of Receipts &amp; Expenses</v>
      </c>
      <c r="F49" t="s">
        <v>32</v>
      </c>
    </row>
    <row r="50" spans="1:9">
      <c r="B50" s="2" t="str">
        <f>+Summary!A35</f>
        <v>Allocation of Cash Assets &amp; Assessments</v>
      </c>
      <c r="F50" t="s">
        <v>32</v>
      </c>
    </row>
    <row r="51" spans="1:9">
      <c r="B51" t="str">
        <f>+Transactions!A2</f>
        <v>Summary of Transactions</v>
      </c>
      <c r="F51" t="s">
        <v>33</v>
      </c>
    </row>
    <row r="53" spans="1:9">
      <c r="A53" s="101" t="s">
        <v>124</v>
      </c>
      <c r="B53" s="100"/>
    </row>
    <row r="54" spans="1:9">
      <c r="A54" s="15"/>
      <c r="B54" s="15"/>
      <c r="C54" s="15"/>
      <c r="D54" s="15"/>
      <c r="E54" s="15"/>
      <c r="F54" s="15"/>
      <c r="G54" s="15"/>
      <c r="H54" s="15"/>
      <c r="I54" s="15"/>
    </row>
    <row r="55" spans="1:9" ht="12.75" customHeight="1">
      <c r="A55" s="102" t="s">
        <v>125</v>
      </c>
      <c r="B55" s="99"/>
      <c r="C55" s="99"/>
      <c r="D55" s="99"/>
      <c r="E55" s="99"/>
      <c r="F55" s="99"/>
      <c r="G55" s="99"/>
      <c r="H55" s="99"/>
      <c r="I55" s="99"/>
    </row>
    <row r="56" spans="1:9">
      <c r="A56" s="31"/>
      <c r="B56" s="31"/>
      <c r="C56" s="31"/>
      <c r="D56" s="31"/>
      <c r="E56" s="31"/>
      <c r="F56" s="31"/>
      <c r="G56" s="31"/>
      <c r="H56" s="31"/>
      <c r="I56" s="31"/>
    </row>
    <row r="57" spans="1:9">
      <c r="A57" s="31"/>
      <c r="B57" s="31"/>
      <c r="C57" s="31"/>
      <c r="D57" s="31"/>
      <c r="E57" s="31"/>
      <c r="F57" s="31"/>
      <c r="G57" s="31"/>
      <c r="H57" s="31"/>
      <c r="I57" s="31"/>
    </row>
    <row r="58" spans="1:9">
      <c r="A58" s="102" t="s">
        <v>126</v>
      </c>
      <c r="B58" s="99"/>
      <c r="C58" s="99"/>
      <c r="D58" s="99"/>
      <c r="E58" s="31"/>
      <c r="F58" s="31"/>
      <c r="G58" s="31"/>
      <c r="H58" s="31"/>
      <c r="I58" s="31"/>
    </row>
    <row r="59" spans="1:9">
      <c r="A59" s="31"/>
      <c r="B59" s="31"/>
      <c r="C59" s="31"/>
      <c r="D59" s="31"/>
      <c r="E59" s="31"/>
      <c r="F59" s="31"/>
      <c r="G59" s="31"/>
      <c r="H59" s="31"/>
      <c r="I59" s="31"/>
    </row>
    <row r="60" spans="1:9">
      <c r="A60" s="31"/>
      <c r="B60" s="30" t="str">
        <f>+Budget!K21</f>
        <v>2013 O&amp;M Expense Assessment</v>
      </c>
      <c r="C60" s="31"/>
      <c r="D60" s="31"/>
      <c r="E60" s="31"/>
      <c r="F60" s="33">
        <f>+Budget!J21</f>
        <v>70</v>
      </c>
      <c r="G60" s="31"/>
      <c r="H60" s="31"/>
      <c r="I60" s="31"/>
    </row>
    <row r="61" spans="1:9" ht="15">
      <c r="A61" s="31"/>
      <c r="B61" s="30" t="str">
        <f>+Summary!F48</f>
        <v>O&amp;M Assessment</v>
      </c>
      <c r="C61" s="31"/>
      <c r="D61" s="31"/>
      <c r="E61" s="31"/>
      <c r="F61" s="34">
        <f>+Summary!E47</f>
        <v>15</v>
      </c>
      <c r="G61" s="31"/>
      <c r="H61" s="31"/>
      <c r="I61" s="31"/>
    </row>
    <row r="62" spans="1:9">
      <c r="A62" s="31"/>
      <c r="B62" s="31"/>
      <c r="C62" s="31"/>
      <c r="D62" s="31"/>
      <c r="E62" s="31"/>
      <c r="F62" s="33">
        <f>SUM(F60:F61)</f>
        <v>85</v>
      </c>
      <c r="G62" s="31"/>
      <c r="H62" s="31"/>
      <c r="I62" s="31"/>
    </row>
    <row r="63" spans="1:9">
      <c r="A63" s="31"/>
      <c r="B63" s="31"/>
      <c r="C63" s="31"/>
      <c r="D63" s="31"/>
      <c r="E63" s="31"/>
      <c r="F63" s="33"/>
      <c r="G63" s="31"/>
      <c r="H63" s="31"/>
      <c r="I63" s="31"/>
    </row>
    <row r="64" spans="1:9">
      <c r="A64" s="21" t="s">
        <v>44</v>
      </c>
      <c r="B64" s="31"/>
      <c r="C64" s="31"/>
      <c r="D64" s="31"/>
      <c r="E64" s="31"/>
      <c r="F64" s="33"/>
      <c r="G64" s="31"/>
      <c r="H64" s="31"/>
      <c r="I64" s="31"/>
    </row>
    <row r="65" spans="1:9">
      <c r="A65" s="15" t="s">
        <v>98</v>
      </c>
    </row>
    <row r="66" spans="1:9">
      <c r="A66" s="15" t="s">
        <v>92</v>
      </c>
      <c r="B66" s="18"/>
      <c r="C66" s="18"/>
      <c r="D66" s="18"/>
      <c r="E66" s="18"/>
      <c r="F66" s="18"/>
      <c r="G66" s="18"/>
      <c r="H66" s="18"/>
      <c r="I66" s="18"/>
    </row>
    <row r="67" spans="1:9">
      <c r="A67" s="15" t="s">
        <v>93</v>
      </c>
      <c r="B67" s="18"/>
      <c r="C67" s="18"/>
      <c r="D67" s="18"/>
      <c r="E67" s="18"/>
      <c r="F67" s="18"/>
      <c r="G67" s="18"/>
      <c r="H67" s="18"/>
      <c r="I67" s="18"/>
    </row>
  </sheetData>
  <mergeCells count="11">
    <mergeCell ref="A1:I1"/>
    <mergeCell ref="A2:I2"/>
    <mergeCell ref="A3:I3"/>
    <mergeCell ref="A35:I37"/>
    <mergeCell ref="A4:I4"/>
    <mergeCell ref="A43:I43"/>
    <mergeCell ref="A53:B53"/>
    <mergeCell ref="A55:I55"/>
    <mergeCell ref="A58:D58"/>
    <mergeCell ref="A25:C25"/>
    <mergeCell ref="A40:I41"/>
  </mergeCells>
  <phoneticPr fontId="0" type="noConversion"/>
  <pageMargins left="0.75" right="0.75" top="1" bottom="1" header="0.5" footer="0.5"/>
  <pageSetup scale="77" orientation="portrait" horizontalDpi="300" verticalDpi="300"/>
  <headerFooter alignWithMargins="0">
    <oddFooter>&amp;LBayview Estates Homeowners Association&amp;CPage 1 of 4&amp;RTreasurers Report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7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M41" sqref="M41"/>
    </sheetView>
  </sheetViews>
  <sheetFormatPr defaultColWidth="8.85546875" defaultRowHeight="12.75"/>
  <cols>
    <col min="1" max="10" width="11.7109375" customWidth="1"/>
    <col min="11" max="11" width="12.42578125" customWidth="1"/>
    <col min="12" max="12" width="11.140625" customWidth="1"/>
    <col min="13" max="13" width="11.28515625" customWidth="1"/>
    <col min="14" max="14" width="12.140625" customWidth="1"/>
    <col min="15" max="15" width="12.42578125" customWidth="1"/>
    <col min="18" max="18" width="38.140625" customWidth="1"/>
    <col min="21" max="21" width="36.42578125" customWidth="1"/>
    <col min="22" max="22" width="9.85546875" customWidth="1"/>
  </cols>
  <sheetData>
    <row r="1" spans="1:23">
      <c r="A1" s="36" t="str">
        <f>+Report!A3</f>
        <v>January 1, 2012 to December 31, 2012</v>
      </c>
    </row>
    <row r="2" spans="1:23" ht="18">
      <c r="A2" s="7" t="s">
        <v>59</v>
      </c>
    </row>
    <row r="4" spans="1:23">
      <c r="C4" s="111" t="s">
        <v>106</v>
      </c>
      <c r="D4" s="113" t="s">
        <v>12</v>
      </c>
      <c r="E4" s="113" t="s">
        <v>107</v>
      </c>
      <c r="F4" s="111" t="s">
        <v>108</v>
      </c>
      <c r="G4" s="113" t="s">
        <v>24</v>
      </c>
      <c r="H4" s="111" t="s">
        <v>109</v>
      </c>
      <c r="I4" s="111" t="s">
        <v>110</v>
      </c>
      <c r="J4" s="111" t="s">
        <v>111</v>
      </c>
      <c r="K4" s="111" t="s">
        <v>112</v>
      </c>
      <c r="L4" s="111" t="s">
        <v>113</v>
      </c>
      <c r="M4" s="110" t="s">
        <v>60</v>
      </c>
      <c r="N4" s="110" t="s">
        <v>61</v>
      </c>
      <c r="O4" s="110" t="s">
        <v>62</v>
      </c>
    </row>
    <row r="5" spans="1:23">
      <c r="C5" s="111"/>
      <c r="D5" s="113"/>
      <c r="E5" s="113"/>
      <c r="F5" s="111"/>
      <c r="G5" s="113"/>
      <c r="H5" s="111"/>
      <c r="I5" s="111"/>
      <c r="J5" s="111"/>
      <c r="K5" s="111"/>
      <c r="L5" s="111"/>
      <c r="M5" s="110"/>
      <c r="N5" s="110"/>
      <c r="O5" s="110"/>
    </row>
    <row r="6" spans="1:23">
      <c r="C6" s="111"/>
      <c r="D6" s="113"/>
      <c r="E6" s="113"/>
      <c r="F6" s="111"/>
      <c r="G6" s="113"/>
      <c r="H6" s="111"/>
      <c r="I6" s="111"/>
      <c r="J6" s="111"/>
      <c r="K6" s="111"/>
      <c r="L6" s="111"/>
      <c r="M6" s="110"/>
      <c r="N6" s="110"/>
      <c r="O6" s="110"/>
    </row>
    <row r="7" spans="1:23">
      <c r="C7" s="111"/>
      <c r="D7" s="113"/>
      <c r="E7" s="113"/>
      <c r="F7" s="111"/>
      <c r="G7" s="113"/>
      <c r="H7" s="111"/>
      <c r="I7" s="111"/>
      <c r="J7" s="111"/>
      <c r="K7" s="111"/>
      <c r="L7" s="111"/>
      <c r="M7" s="110"/>
      <c r="N7" s="110"/>
      <c r="O7" s="110"/>
    </row>
    <row r="8" spans="1:23">
      <c r="A8" t="s">
        <v>4</v>
      </c>
      <c r="C8" s="61">
        <v>200</v>
      </c>
      <c r="D8" s="48">
        <f>-Summary!H15</f>
        <v>326.5</v>
      </c>
      <c r="E8" s="61">
        <v>0</v>
      </c>
      <c r="F8" s="48">
        <f t="shared" ref="F8:F19" si="0">+E8+D8</f>
        <v>326.5</v>
      </c>
      <c r="G8" s="50">
        <f t="shared" ref="G8:G19" si="1">+C8-F8</f>
        <v>-126.5</v>
      </c>
      <c r="H8" s="61">
        <v>200</v>
      </c>
      <c r="I8" s="3">
        <v>0</v>
      </c>
      <c r="J8" s="3">
        <f>+H8-I8</f>
        <v>200</v>
      </c>
      <c r="K8" s="3">
        <f>+J8-F8</f>
        <v>-126.5</v>
      </c>
      <c r="L8" s="3">
        <f>+J8-C8</f>
        <v>0</v>
      </c>
      <c r="M8" s="3">
        <f>ROUND(L8/65,2)</f>
        <v>0</v>
      </c>
      <c r="N8" s="3">
        <f>ROUNDUP(J8/65,2)</f>
        <v>3.0799999999999996</v>
      </c>
      <c r="O8" s="35">
        <f t="shared" ref="O8:O19" si="2">+N8/N$20</f>
        <v>4.3999999999999997E-2</v>
      </c>
      <c r="W8" s="3"/>
    </row>
    <row r="9" spans="1:23">
      <c r="A9" t="s">
        <v>6</v>
      </c>
      <c r="C9" s="56">
        <v>200</v>
      </c>
      <c r="D9" s="49">
        <f>-Summary!H16</f>
        <v>0</v>
      </c>
      <c r="E9" s="56">
        <v>0</v>
      </c>
      <c r="F9" s="49">
        <f t="shared" si="0"/>
        <v>0</v>
      </c>
      <c r="G9" s="50">
        <f t="shared" si="1"/>
        <v>200</v>
      </c>
      <c r="H9" s="56">
        <v>200</v>
      </c>
      <c r="I9" s="4">
        <v>0</v>
      </c>
      <c r="J9" s="4">
        <f t="shared" ref="J9:J19" si="3">+H9-I9</f>
        <v>200</v>
      </c>
      <c r="K9" s="4">
        <f t="shared" ref="K9:K19" si="4">+J9-F9</f>
        <v>200</v>
      </c>
      <c r="L9" s="4">
        <f t="shared" ref="L9:L19" si="5">+J9-C9</f>
        <v>0</v>
      </c>
      <c r="M9" s="4">
        <f t="shared" ref="M9:M19" si="6">ROUND(L9/65,2)</f>
        <v>0</v>
      </c>
      <c r="N9" s="4">
        <f>ROUNDUP(J9/65,2)</f>
        <v>3.0799999999999996</v>
      </c>
      <c r="O9" s="35">
        <f t="shared" si="2"/>
        <v>4.3999999999999997E-2</v>
      </c>
    </row>
    <row r="10" spans="1:23">
      <c r="A10" t="s">
        <v>3</v>
      </c>
      <c r="C10" s="56">
        <v>170</v>
      </c>
      <c r="D10" s="49">
        <f>-Summary!H17</f>
        <v>180.68</v>
      </c>
      <c r="E10" s="56">
        <v>0</v>
      </c>
      <c r="F10" s="49">
        <f t="shared" si="0"/>
        <v>180.68</v>
      </c>
      <c r="G10" s="50">
        <f t="shared" si="1"/>
        <v>-10.680000000000007</v>
      </c>
      <c r="H10" s="56">
        <v>170</v>
      </c>
      <c r="I10" s="4">
        <v>0</v>
      </c>
      <c r="J10" s="4">
        <f t="shared" si="3"/>
        <v>170</v>
      </c>
      <c r="K10" s="4">
        <f t="shared" si="4"/>
        <v>-10.680000000000007</v>
      </c>
      <c r="L10" s="4">
        <f t="shared" si="5"/>
        <v>0</v>
      </c>
      <c r="M10" s="4">
        <f t="shared" si="6"/>
        <v>0</v>
      </c>
      <c r="N10" s="4">
        <f t="shared" ref="N10:N19" si="7">ROUND(J10/65,2)</f>
        <v>2.62</v>
      </c>
      <c r="O10" s="35">
        <f t="shared" si="2"/>
        <v>3.7428571428571429E-2</v>
      </c>
    </row>
    <row r="11" spans="1:23">
      <c r="A11" t="s">
        <v>14</v>
      </c>
      <c r="C11" s="56">
        <v>1000</v>
      </c>
      <c r="D11" s="49">
        <f>-Summary!H18</f>
        <v>910</v>
      </c>
      <c r="E11" s="56">
        <v>0</v>
      </c>
      <c r="F11" s="49">
        <f t="shared" si="0"/>
        <v>910</v>
      </c>
      <c r="G11" s="50">
        <f t="shared" si="1"/>
        <v>90</v>
      </c>
      <c r="H11" s="56">
        <v>1000</v>
      </c>
      <c r="I11" s="4">
        <v>0</v>
      </c>
      <c r="J11" s="4">
        <f t="shared" si="3"/>
        <v>1000</v>
      </c>
      <c r="K11" s="4">
        <f t="shared" si="4"/>
        <v>90</v>
      </c>
      <c r="L11" s="4">
        <f t="shared" si="5"/>
        <v>0</v>
      </c>
      <c r="M11" s="4">
        <f t="shared" si="6"/>
        <v>0</v>
      </c>
      <c r="N11" s="4">
        <f t="shared" si="7"/>
        <v>15.38</v>
      </c>
      <c r="O11" s="35">
        <f t="shared" si="2"/>
        <v>0.21971428571428572</v>
      </c>
    </row>
    <row r="12" spans="1:23">
      <c r="A12" t="s">
        <v>13</v>
      </c>
      <c r="C12" s="56">
        <v>300</v>
      </c>
      <c r="D12" s="49">
        <f>-Summary!H19</f>
        <v>0</v>
      </c>
      <c r="E12" s="56">
        <v>0</v>
      </c>
      <c r="F12" s="49">
        <f t="shared" si="0"/>
        <v>0</v>
      </c>
      <c r="G12" s="50">
        <f t="shared" si="1"/>
        <v>300</v>
      </c>
      <c r="H12" s="56">
        <v>300</v>
      </c>
      <c r="I12" s="4">
        <v>0</v>
      </c>
      <c r="J12" s="4">
        <f t="shared" si="3"/>
        <v>300</v>
      </c>
      <c r="K12" s="4">
        <f t="shared" si="4"/>
        <v>300</v>
      </c>
      <c r="L12" s="4">
        <f t="shared" si="5"/>
        <v>0</v>
      </c>
      <c r="M12" s="4">
        <f t="shared" si="6"/>
        <v>0</v>
      </c>
      <c r="N12" s="4">
        <f t="shared" si="7"/>
        <v>4.62</v>
      </c>
      <c r="O12" s="35">
        <f t="shared" si="2"/>
        <v>6.6000000000000003E-2</v>
      </c>
    </row>
    <row r="13" spans="1:23">
      <c r="A13" t="s">
        <v>9</v>
      </c>
      <c r="C13" s="57">
        <v>1900</v>
      </c>
      <c r="D13" s="49">
        <f>-Summary!H20</f>
        <v>2179.5299999999997</v>
      </c>
      <c r="E13" s="57">
        <v>0</v>
      </c>
      <c r="F13" s="50">
        <f t="shared" si="0"/>
        <v>2179.5299999999997</v>
      </c>
      <c r="G13" s="50">
        <f t="shared" si="1"/>
        <v>-279.52999999999975</v>
      </c>
      <c r="H13" s="57">
        <v>1900</v>
      </c>
      <c r="I13" s="19">
        <v>0</v>
      </c>
      <c r="J13" s="4">
        <f t="shared" si="3"/>
        <v>1900</v>
      </c>
      <c r="K13" s="4">
        <f t="shared" si="4"/>
        <v>-279.52999999999975</v>
      </c>
      <c r="L13" s="4">
        <f t="shared" si="5"/>
        <v>0</v>
      </c>
      <c r="M13" s="4">
        <f t="shared" si="6"/>
        <v>0</v>
      </c>
      <c r="N13" s="4">
        <f t="shared" si="7"/>
        <v>29.23</v>
      </c>
      <c r="O13" s="35">
        <f t="shared" si="2"/>
        <v>0.41757142857142859</v>
      </c>
    </row>
    <row r="14" spans="1:23">
      <c r="A14" t="s">
        <v>42</v>
      </c>
      <c r="C14" s="57">
        <v>50</v>
      </c>
      <c r="D14" s="49">
        <f>-Summary!H21</f>
        <v>0</v>
      </c>
      <c r="E14" s="57">
        <v>0</v>
      </c>
      <c r="F14" s="50">
        <f t="shared" si="0"/>
        <v>0</v>
      </c>
      <c r="G14" s="50">
        <f t="shared" si="1"/>
        <v>50</v>
      </c>
      <c r="H14" s="57">
        <v>50</v>
      </c>
      <c r="I14" s="19">
        <v>0</v>
      </c>
      <c r="J14" s="4">
        <f t="shared" si="3"/>
        <v>50</v>
      </c>
      <c r="K14" s="4">
        <f t="shared" si="4"/>
        <v>50</v>
      </c>
      <c r="L14" s="4">
        <f t="shared" si="5"/>
        <v>0</v>
      </c>
      <c r="M14" s="4">
        <f t="shared" si="6"/>
        <v>0</v>
      </c>
      <c r="N14" s="4">
        <f t="shared" si="7"/>
        <v>0.77</v>
      </c>
      <c r="O14" s="35">
        <f t="shared" si="2"/>
        <v>1.1000000000000001E-2</v>
      </c>
    </row>
    <row r="15" spans="1:23">
      <c r="A15" t="s">
        <v>44</v>
      </c>
      <c r="C15" s="57">
        <v>110</v>
      </c>
      <c r="D15" s="49">
        <f>-Summary!H22</f>
        <v>0</v>
      </c>
      <c r="E15" s="57">
        <v>0</v>
      </c>
      <c r="F15" s="50">
        <f t="shared" si="0"/>
        <v>0</v>
      </c>
      <c r="G15" s="50">
        <f t="shared" si="1"/>
        <v>110</v>
      </c>
      <c r="H15" s="57">
        <v>110</v>
      </c>
      <c r="I15" s="19">
        <v>0</v>
      </c>
      <c r="J15" s="4">
        <f t="shared" si="3"/>
        <v>110</v>
      </c>
      <c r="K15" s="4">
        <f t="shared" si="4"/>
        <v>110</v>
      </c>
      <c r="L15" s="4">
        <f t="shared" si="5"/>
        <v>0</v>
      </c>
      <c r="M15" s="4">
        <f t="shared" si="6"/>
        <v>0</v>
      </c>
      <c r="N15" s="4">
        <f t="shared" si="7"/>
        <v>1.69</v>
      </c>
      <c r="O15" s="35">
        <f t="shared" si="2"/>
        <v>2.4142857142857143E-2</v>
      </c>
    </row>
    <row r="16" spans="1:23">
      <c r="A16" t="s">
        <v>64</v>
      </c>
      <c r="C16" s="57">
        <v>0</v>
      </c>
      <c r="D16" s="49">
        <f>-Summary!H23</f>
        <v>0</v>
      </c>
      <c r="E16" s="57">
        <v>0</v>
      </c>
      <c r="F16" s="50">
        <f t="shared" si="0"/>
        <v>0</v>
      </c>
      <c r="G16" s="50">
        <f t="shared" si="1"/>
        <v>0</v>
      </c>
      <c r="H16" s="57">
        <v>0</v>
      </c>
      <c r="I16" s="19">
        <v>0</v>
      </c>
      <c r="J16" s="4">
        <f t="shared" si="3"/>
        <v>0</v>
      </c>
      <c r="K16" s="4">
        <f t="shared" si="4"/>
        <v>0</v>
      </c>
      <c r="L16" s="4">
        <f t="shared" si="5"/>
        <v>0</v>
      </c>
      <c r="M16" s="4">
        <f t="shared" si="6"/>
        <v>0</v>
      </c>
      <c r="N16" s="4">
        <f t="shared" si="7"/>
        <v>0</v>
      </c>
      <c r="O16" s="35">
        <f t="shared" si="2"/>
        <v>0</v>
      </c>
    </row>
    <row r="17" spans="1:15">
      <c r="A17" t="s">
        <v>38</v>
      </c>
      <c r="C17" s="57">
        <v>220</v>
      </c>
      <c r="D17" s="49">
        <f>-Summary!H24</f>
        <v>0</v>
      </c>
      <c r="E17" s="57">
        <v>0</v>
      </c>
      <c r="F17" s="50">
        <f>+E17+D17</f>
        <v>0</v>
      </c>
      <c r="G17" s="50">
        <f>+C17-F17</f>
        <v>220</v>
      </c>
      <c r="H17" s="57">
        <v>220</v>
      </c>
      <c r="I17" s="19">
        <v>0</v>
      </c>
      <c r="J17" s="4">
        <f t="shared" si="3"/>
        <v>220</v>
      </c>
      <c r="K17" s="4">
        <f>+J17-F17</f>
        <v>220</v>
      </c>
      <c r="L17" s="4">
        <f>+J17-C17</f>
        <v>0</v>
      </c>
      <c r="M17" s="4">
        <f t="shared" si="6"/>
        <v>0</v>
      </c>
      <c r="N17" s="4">
        <f>ROUND(J17/65,2)</f>
        <v>3.38</v>
      </c>
      <c r="O17" s="35">
        <f t="shared" si="2"/>
        <v>4.8285714285714286E-2</v>
      </c>
    </row>
    <row r="18" spans="1:15">
      <c r="A18" t="s">
        <v>85</v>
      </c>
      <c r="C18" s="57">
        <v>0</v>
      </c>
      <c r="D18" s="49">
        <f>+Summary!H25</f>
        <v>0</v>
      </c>
      <c r="E18" s="57">
        <v>0</v>
      </c>
      <c r="F18" s="50">
        <f>+E18+D18</f>
        <v>0</v>
      </c>
      <c r="G18" s="50">
        <f>+C18-F18</f>
        <v>0</v>
      </c>
      <c r="H18" s="57">
        <v>0</v>
      </c>
      <c r="I18" s="19">
        <v>0</v>
      </c>
      <c r="J18" s="4">
        <f t="shared" si="3"/>
        <v>0</v>
      </c>
      <c r="K18" s="4">
        <f>+J18-F18</f>
        <v>0</v>
      </c>
      <c r="L18" s="4">
        <f>+J18-C18</f>
        <v>0</v>
      </c>
      <c r="M18" s="4">
        <f t="shared" si="6"/>
        <v>0</v>
      </c>
      <c r="N18" s="4">
        <f>ROUND(J18/65,2)</f>
        <v>0</v>
      </c>
      <c r="O18" s="35">
        <f t="shared" si="2"/>
        <v>0</v>
      </c>
    </row>
    <row r="19" spans="1:15" ht="15">
      <c r="A19" t="s">
        <v>86</v>
      </c>
      <c r="C19" s="62">
        <v>400</v>
      </c>
      <c r="D19" s="68">
        <f>-Summary!H26</f>
        <v>412.61</v>
      </c>
      <c r="E19" s="62">
        <v>0</v>
      </c>
      <c r="F19" s="51">
        <f t="shared" si="0"/>
        <v>412.61</v>
      </c>
      <c r="G19" s="51">
        <f t="shared" si="1"/>
        <v>-12.610000000000014</v>
      </c>
      <c r="H19" s="62">
        <v>400</v>
      </c>
      <c r="I19" s="8">
        <v>0</v>
      </c>
      <c r="J19" s="8">
        <f t="shared" si="3"/>
        <v>400</v>
      </c>
      <c r="K19" s="8">
        <f t="shared" si="4"/>
        <v>-12.610000000000014</v>
      </c>
      <c r="L19" s="8">
        <f t="shared" si="5"/>
        <v>0</v>
      </c>
      <c r="M19" s="8">
        <f t="shared" si="6"/>
        <v>0</v>
      </c>
      <c r="N19" s="69">
        <f t="shared" si="7"/>
        <v>6.15</v>
      </c>
      <c r="O19" s="66">
        <f t="shared" si="2"/>
        <v>8.7857142857142856E-2</v>
      </c>
    </row>
    <row r="20" spans="1:15">
      <c r="C20" s="48">
        <f t="shared" ref="C20:M20" si="8">SUM(C8:C19)</f>
        <v>4550</v>
      </c>
      <c r="D20" s="48">
        <f t="shared" si="8"/>
        <v>4009.32</v>
      </c>
      <c r="E20" s="48">
        <f t="shared" si="8"/>
        <v>0</v>
      </c>
      <c r="F20" s="48">
        <f t="shared" si="8"/>
        <v>4009.32</v>
      </c>
      <c r="G20" s="48">
        <f t="shared" si="8"/>
        <v>540.68000000000018</v>
      </c>
      <c r="H20" s="3">
        <f t="shared" si="8"/>
        <v>4550</v>
      </c>
      <c r="I20" s="3">
        <f t="shared" si="8"/>
        <v>0</v>
      </c>
      <c r="J20" s="3">
        <f t="shared" si="8"/>
        <v>4550</v>
      </c>
      <c r="K20" s="3">
        <f t="shared" si="8"/>
        <v>540.68000000000018</v>
      </c>
      <c r="L20" s="3">
        <f t="shared" si="8"/>
        <v>0</v>
      </c>
      <c r="M20" s="3">
        <f t="shared" si="8"/>
        <v>0</v>
      </c>
      <c r="N20" s="3">
        <f>ROUNDUP(SUM(N8:N19),2)</f>
        <v>70</v>
      </c>
      <c r="O20" s="35">
        <f>SUM(O8:O19)</f>
        <v>1</v>
      </c>
    </row>
    <row r="21" spans="1:15">
      <c r="C21" s="20">
        <f>ROUNDUP(C20/65,0)</f>
        <v>70</v>
      </c>
      <c r="D21" s="88" t="s">
        <v>114</v>
      </c>
      <c r="E21" s="21"/>
      <c r="F21" s="21"/>
      <c r="G21" s="21"/>
      <c r="H21" s="20"/>
      <c r="I21" s="21"/>
      <c r="J21" s="20">
        <f>ROUND(J20/65,0)</f>
        <v>70</v>
      </c>
      <c r="K21" s="88" t="s">
        <v>115</v>
      </c>
      <c r="L21" s="21"/>
      <c r="M21" s="21"/>
      <c r="N21" s="3"/>
    </row>
    <row r="22" spans="1:15">
      <c r="G22" s="3"/>
      <c r="H22">
        <f>+S77</f>
        <v>85</v>
      </c>
    </row>
    <row r="23" spans="1:15" ht="18">
      <c r="A23" s="7" t="s">
        <v>58</v>
      </c>
    </row>
    <row r="25" spans="1:15">
      <c r="A25" s="112" t="s">
        <v>2</v>
      </c>
      <c r="B25" s="112"/>
      <c r="C25" s="16" t="s">
        <v>19</v>
      </c>
      <c r="D25" s="16"/>
      <c r="E25" s="112" t="s">
        <v>22</v>
      </c>
      <c r="F25" s="112"/>
      <c r="G25" s="16" t="s">
        <v>19</v>
      </c>
      <c r="I25" s="89" t="s">
        <v>116</v>
      </c>
      <c r="K25" s="16" t="s">
        <v>27</v>
      </c>
      <c r="L25" s="16" t="s">
        <v>5</v>
      </c>
    </row>
    <row r="26" spans="1:15">
      <c r="A26" t="str">
        <f>+'Account Summary'!A5</f>
        <v>Taxes</v>
      </c>
      <c r="C26" s="3">
        <f>+'Account Summary'!B5</f>
        <v>-180.68</v>
      </c>
      <c r="E26" s="65" t="str">
        <f>+'Activity Summary'!A6</f>
        <v>Dividends</v>
      </c>
      <c r="F26" s="48"/>
      <c r="G26" s="49">
        <f>+'Activity Summary'!B6</f>
        <v>7.1499999999999995</v>
      </c>
      <c r="I26" s="91" t="s">
        <v>117</v>
      </c>
      <c r="K26" s="59">
        <v>64</v>
      </c>
      <c r="L26" s="3">
        <f>+K26*M26</f>
        <v>5440</v>
      </c>
      <c r="M26" s="86">
        <v>85</v>
      </c>
      <c r="O26">
        <f>65*85</f>
        <v>5525</v>
      </c>
    </row>
    <row r="27" spans="1:15">
      <c r="A27" t="str">
        <f>+'Account Summary'!A6</f>
        <v>Dues</v>
      </c>
      <c r="C27" s="4">
        <f>+'Account Summary'!B6</f>
        <v>5570</v>
      </c>
      <c r="E27" s="65" t="str">
        <f>+'Activity Summary'!A7</f>
        <v>Legal</v>
      </c>
      <c r="F27" s="49"/>
      <c r="G27" s="49">
        <f>+'Activity Summary'!B7</f>
        <v>0</v>
      </c>
      <c r="I27" t="s">
        <v>41</v>
      </c>
      <c r="K27" s="59">
        <v>0</v>
      </c>
      <c r="L27" s="4">
        <f>+K27*M27</f>
        <v>0</v>
      </c>
      <c r="M27" s="85">
        <v>75</v>
      </c>
    </row>
    <row r="28" spans="1:15">
      <c r="A28" t="str">
        <f>+'Account Summary'!A7</f>
        <v>Lease</v>
      </c>
      <c r="C28" s="4">
        <f>+'Account Summary'!B7</f>
        <v>0</v>
      </c>
      <c r="E28" s="65" t="str">
        <f>+'Activity Summary'!A8</f>
        <v>Mowing</v>
      </c>
      <c r="F28" s="49"/>
      <c r="G28" s="49">
        <f>+'Activity Summary'!B8</f>
        <v>-1920</v>
      </c>
      <c r="I28" t="s">
        <v>26</v>
      </c>
      <c r="K28" s="59">
        <v>4</v>
      </c>
      <c r="L28" s="4">
        <f>+K28*M28</f>
        <v>80</v>
      </c>
      <c r="M28" s="85">
        <v>20</v>
      </c>
    </row>
    <row r="29" spans="1:15">
      <c r="A29" t="str">
        <f>+'Account Summary'!A8</f>
        <v>Park Maintenance</v>
      </c>
      <c r="C29" s="4">
        <f>+'Account Summary'!B8</f>
        <v>-2179.5299999999997</v>
      </c>
      <c r="E29" s="65" t="str">
        <f>+'Activity Summary'!A9</f>
        <v>PO Box</v>
      </c>
      <c r="F29" s="49"/>
      <c r="G29" s="49">
        <f>+'Activity Summary'!B9</f>
        <v>-46</v>
      </c>
      <c r="I29" t="s">
        <v>81</v>
      </c>
      <c r="K29" s="59">
        <v>0</v>
      </c>
      <c r="L29" s="4">
        <f>+K29*M29</f>
        <v>0</v>
      </c>
      <c r="M29" s="85">
        <f>184.2-L27</f>
        <v>184.2</v>
      </c>
    </row>
    <row r="30" spans="1:15">
      <c r="A30" t="str">
        <f>+'Account Summary'!A9</f>
        <v>Legal</v>
      </c>
      <c r="C30" s="4">
        <f>+'Account Summary'!B9</f>
        <v>0</v>
      </c>
      <c r="E30" s="65" t="str">
        <f>+'Activity Summary'!A10</f>
        <v>Postage &amp; Supplies</v>
      </c>
      <c r="F30" s="49"/>
      <c r="G30" s="49">
        <f>+'Activity Summary'!B10</f>
        <v>-35.200000000000003</v>
      </c>
      <c r="I30" t="s">
        <v>30</v>
      </c>
      <c r="K30" s="59">
        <v>0</v>
      </c>
      <c r="L30" s="4">
        <f>+K30*M30</f>
        <v>0</v>
      </c>
      <c r="M30" s="85">
        <v>0</v>
      </c>
    </row>
    <row r="31" spans="1:15">
      <c r="A31" t="str">
        <f>+'Account Summary'!A10</f>
        <v>Operating Fees</v>
      </c>
      <c r="C31" s="4">
        <f>+'Account Summary'!B10</f>
        <v>-326.5</v>
      </c>
      <c r="E31" s="65" t="str">
        <f>+'Activity Summary'!A11</f>
        <v>Transfer</v>
      </c>
      <c r="F31" s="49"/>
      <c r="G31" s="49">
        <f>+'Activity Summary'!B11</f>
        <v>0</v>
      </c>
      <c r="I31" s="91" t="s">
        <v>118</v>
      </c>
      <c r="K31" s="59">
        <v>0</v>
      </c>
      <c r="L31" s="4"/>
    </row>
    <row r="32" spans="1:15">
      <c r="A32" t="str">
        <f>+'Account Summary'!A11</f>
        <v>Dividends</v>
      </c>
      <c r="C32" s="4">
        <f>+'Account Summary'!B11</f>
        <v>7.1499999999999995</v>
      </c>
      <c r="E32" s="65" t="str">
        <f>+'Activity Summary'!A12</f>
        <v>(blank)</v>
      </c>
      <c r="F32" s="49"/>
      <c r="G32" s="49">
        <f>+'Activity Summary'!B12</f>
        <v>0</v>
      </c>
    </row>
    <row r="33" spans="1:13">
      <c r="A33" t="str">
        <f>+'Account Summary'!A12</f>
        <v>Lake Access Maintenance</v>
      </c>
      <c r="C33" s="4">
        <f>+'Account Summary'!B12</f>
        <v>0</v>
      </c>
      <c r="E33" s="65" t="str">
        <f>+'Activity Summary'!A13</f>
        <v>Insurance</v>
      </c>
      <c r="F33" s="49"/>
      <c r="G33" s="49">
        <f>+'Activity Summary'!B13</f>
        <v>-910</v>
      </c>
      <c r="I33" s="29"/>
      <c r="L33" s="4"/>
    </row>
    <row r="34" spans="1:13">
      <c r="A34" t="str">
        <f>+'Account Summary'!A13</f>
        <v>Transfer</v>
      </c>
      <c r="C34" s="4">
        <f>+'Account Summary'!B13</f>
        <v>0</v>
      </c>
      <c r="E34" s="65" t="str">
        <f>+'Activity Summary'!A14</f>
        <v>Material &amp; Supplies</v>
      </c>
      <c r="F34" s="49"/>
      <c r="G34" s="49">
        <f>+'Activity Summary'!B14</f>
        <v>-245.29999999999998</v>
      </c>
      <c r="L34" s="4"/>
    </row>
    <row r="35" spans="1:13">
      <c r="A35" t="str">
        <f>+'Account Summary'!A14</f>
        <v>Insurance</v>
      </c>
      <c r="C35" s="4">
        <f>+'Account Summary'!B14</f>
        <v>-910</v>
      </c>
      <c r="E35" s="65" t="str">
        <f>+'Activity Summary'!A15</f>
        <v>Property Taxes</v>
      </c>
      <c r="F35" s="49"/>
      <c r="G35" s="49">
        <f>+'Activity Summary'!B15</f>
        <v>-170.68</v>
      </c>
      <c r="L35" s="4"/>
    </row>
    <row r="36" spans="1:13">
      <c r="A36" t="str">
        <f>+'Account Summary'!A15</f>
        <v>Entrance Maintenance</v>
      </c>
      <c r="C36" s="4">
        <f>+'Account Summary'!B15</f>
        <v>0</v>
      </c>
      <c r="E36" s="65" t="str">
        <f>+'Activity Summary'!A16</f>
        <v>Dues Collected</v>
      </c>
      <c r="F36" s="49"/>
      <c r="G36" s="49">
        <f>+'Activity Summary'!B16</f>
        <v>5570</v>
      </c>
      <c r="L36" s="4"/>
    </row>
    <row r="37" spans="1:13">
      <c r="A37" t="str">
        <f>+'Account Summary'!A16</f>
        <v>Web Site</v>
      </c>
      <c r="C37" s="4">
        <f>+'Account Summary'!B16</f>
        <v>0</v>
      </c>
      <c r="E37" s="65" t="str">
        <f>+'Activity Summary'!A17</f>
        <v>Corp. WI Tax</v>
      </c>
      <c r="F37" s="49"/>
      <c r="G37" s="49">
        <f>+'Activity Summary'!B17</f>
        <v>-10</v>
      </c>
      <c r="I37" s="90" t="s">
        <v>119</v>
      </c>
      <c r="J37" s="18"/>
      <c r="K37" s="18"/>
      <c r="L37" s="18"/>
    </row>
    <row r="38" spans="1:13">
      <c r="A38" t="str">
        <f>+'Account Summary'!A17</f>
        <v>Park Trees</v>
      </c>
      <c r="C38" s="4">
        <f>+'Account Summary'!B17</f>
        <v>0</v>
      </c>
      <c r="E38" s="65" t="str">
        <f>+'Activity Summary'!A18</f>
        <v>Weed Treatment</v>
      </c>
      <c r="F38" s="65"/>
      <c r="G38" s="49">
        <f>+'Activity Summary'!B18</f>
        <v>0</v>
      </c>
      <c r="I38" s="15" t="s">
        <v>46</v>
      </c>
      <c r="J38" s="18"/>
      <c r="K38" s="70">
        <v>1</v>
      </c>
      <c r="L38" s="26">
        <f>+M38*K38</f>
        <v>20</v>
      </c>
      <c r="M38" s="87">
        <v>20</v>
      </c>
    </row>
    <row r="39" spans="1:13">
      <c r="A39" t="str">
        <f>+'Account Summary'!A18</f>
        <v>Fence &amp; Misc Maintenance</v>
      </c>
      <c r="C39" s="4">
        <f>+'Account Summary'!B18</f>
        <v>0</v>
      </c>
      <c r="E39" s="65" t="str">
        <f>+'Activity Summary'!A19</f>
        <v>Lease</v>
      </c>
      <c r="F39" s="65"/>
      <c r="G39" s="49">
        <f>+'Activity Summary'!B19</f>
        <v>0</v>
      </c>
      <c r="I39" s="15" t="str">
        <f>E26</f>
        <v>Dividends</v>
      </c>
      <c r="L39" s="4">
        <f>'Account Summary'!B11</f>
        <v>7.1499999999999995</v>
      </c>
    </row>
    <row r="40" spans="1:13">
      <c r="A40" t="str">
        <f>+'Account Summary'!A19</f>
        <v>Lost Due Check</v>
      </c>
      <c r="C40" s="4">
        <f>+'Account Summary'!B19</f>
        <v>0</v>
      </c>
      <c r="E40" s="65" t="str">
        <f>+'Activity Summary'!A20</f>
        <v>Boardwalk</v>
      </c>
      <c r="F40" s="65"/>
      <c r="G40" s="49">
        <f>+'Activity Summary'!B20</f>
        <v>0</v>
      </c>
      <c r="I40" s="96" t="s">
        <v>120</v>
      </c>
      <c r="L40" s="4">
        <v>0</v>
      </c>
    </row>
    <row r="41" spans="1:13">
      <c r="A41" t="str">
        <f>+'Account Summary'!A20</f>
        <v>Donation</v>
      </c>
      <c r="C41" s="4">
        <f>+'Account Summary'!B20</f>
        <v>0</v>
      </c>
      <c r="E41" s="65" t="str">
        <f>+'Activity Summary'!A21</f>
        <v>Fertilizer/Weed Treatment</v>
      </c>
      <c r="F41" s="65"/>
      <c r="G41" s="49">
        <f>+'Activity Summary'!B21</f>
        <v>-259.52999999999997</v>
      </c>
      <c r="I41" s="80" t="s">
        <v>89</v>
      </c>
      <c r="L41" s="56">
        <v>30</v>
      </c>
    </row>
    <row r="42" spans="1:13">
      <c r="A42" t="str">
        <f>+'Account Summary'!A21</f>
        <v>Picnic</v>
      </c>
      <c r="C42" s="4">
        <f>+'Account Summary'!B21</f>
        <v>-412.61</v>
      </c>
      <c r="E42" s="65" t="str">
        <f>+'Activity Summary'!A22</f>
        <v>Lost Due Check</v>
      </c>
      <c r="F42" s="65"/>
      <c r="G42" s="81">
        <f>+'Activity Summary'!B22</f>
        <v>0</v>
      </c>
      <c r="I42" s="30"/>
      <c r="L42" s="4"/>
    </row>
    <row r="43" spans="1:13">
      <c r="E43" s="65" t="str">
        <f>+'Activity Summary'!A23</f>
        <v>Picnic</v>
      </c>
      <c r="F43" s="65"/>
      <c r="G43" s="81">
        <f>+'Activity Summary'!B23</f>
        <v>-412.61</v>
      </c>
      <c r="I43" s="30"/>
      <c r="L43" s="4"/>
    </row>
    <row r="44" spans="1:13">
      <c r="E44" s="65" t="str">
        <f>+'Activity Summary'!A24</f>
        <v>Donation</v>
      </c>
      <c r="F44" s="65"/>
      <c r="G44" s="81">
        <f>+'Activity Summary'!B24</f>
        <v>0</v>
      </c>
      <c r="I44" s="30"/>
      <c r="L44" s="4"/>
    </row>
    <row r="45" spans="1:13">
      <c r="B45" t="s">
        <v>18</v>
      </c>
      <c r="C45" s="3">
        <f>SUM(C26:C42)</f>
        <v>1567.83</v>
      </c>
      <c r="E45" s="3"/>
      <c r="F45" t="s">
        <v>18</v>
      </c>
      <c r="G45" s="3">
        <f>SUM(G26:G44)</f>
        <v>1567.83</v>
      </c>
      <c r="L45" s="4"/>
    </row>
    <row r="46" spans="1:13">
      <c r="C46" s="4"/>
      <c r="F46" s="4"/>
      <c r="G46" s="4"/>
      <c r="K46" t="s">
        <v>18</v>
      </c>
      <c r="L46" s="3">
        <f>SUM(L26:L45)</f>
        <v>5577.15</v>
      </c>
    </row>
    <row r="47" spans="1:13">
      <c r="C47" s="4">
        <f>+L46-D20</f>
        <v>1567.8299999999995</v>
      </c>
      <c r="D47" t="str">
        <f>IF(C47=C45,"Balanced","Error")</f>
        <v>Balanced</v>
      </c>
      <c r="F47" s="4"/>
      <c r="G47" s="4"/>
      <c r="L47" s="23" t="str">
        <f>IF(L46=G26+G36+G39+G44,"Balanced","Error")</f>
        <v>Balanced</v>
      </c>
    </row>
    <row r="48" spans="1:13">
      <c r="C48" s="4"/>
      <c r="F48" s="4"/>
      <c r="G48" s="4"/>
      <c r="L48" s="4">
        <f>+G39+G36+G26+G44</f>
        <v>5577.15</v>
      </c>
    </row>
    <row r="49" spans="1:19">
      <c r="C49" s="4">
        <f>+C47-C45</f>
        <v>0</v>
      </c>
      <c r="F49" s="4"/>
      <c r="G49" s="4"/>
      <c r="L49" s="4">
        <f>+L46-L48</f>
        <v>0</v>
      </c>
    </row>
    <row r="50" spans="1:19">
      <c r="C50" s="4"/>
      <c r="F50" s="4"/>
      <c r="G50" s="4"/>
    </row>
    <row r="51" spans="1:19">
      <c r="F51" s="4"/>
      <c r="G51" s="4"/>
    </row>
    <row r="52" spans="1:19" ht="18">
      <c r="A52" s="7" t="s">
        <v>88</v>
      </c>
      <c r="F52" s="4"/>
      <c r="G52" s="4"/>
    </row>
    <row r="53" spans="1:19">
      <c r="F53" s="4"/>
      <c r="G53" s="4"/>
    </row>
    <row r="54" spans="1:19">
      <c r="B54" s="72"/>
      <c r="F54" s="4"/>
      <c r="G54" s="4"/>
    </row>
    <row r="55" spans="1:19">
      <c r="B55" s="24">
        <v>0</v>
      </c>
      <c r="C55" s="91" t="s">
        <v>121</v>
      </c>
      <c r="D55" s="14"/>
      <c r="F55" s="4"/>
      <c r="G55" s="4"/>
    </row>
    <row r="56" spans="1:19">
      <c r="B56" s="24">
        <v>0</v>
      </c>
      <c r="C56" t="s">
        <v>101</v>
      </c>
      <c r="D56" s="14"/>
      <c r="F56" s="4"/>
      <c r="G56" s="4"/>
    </row>
    <row r="57" spans="1:19">
      <c r="B57" s="24">
        <v>0</v>
      </c>
      <c r="C57" s="27"/>
      <c r="D57" s="14"/>
      <c r="F57" s="4"/>
      <c r="G57" s="4"/>
    </row>
    <row r="58" spans="1:19">
      <c r="B58" s="73">
        <v>0</v>
      </c>
      <c r="C58" s="27" t="s">
        <v>100</v>
      </c>
      <c r="D58" s="14"/>
      <c r="F58" s="4"/>
      <c r="G58" s="4"/>
    </row>
    <row r="59" spans="1:19">
      <c r="A59" t="s">
        <v>18</v>
      </c>
      <c r="B59" s="72">
        <f>SUM(B54:B58)</f>
        <v>0</v>
      </c>
    </row>
    <row r="61" spans="1:19">
      <c r="R61" s="75" t="str">
        <f t="shared" ref="R61:R72" si="9">+A8</f>
        <v>Operating Fees</v>
      </c>
      <c r="S61" s="76">
        <f t="shared" ref="S61:S72" si="10">+H8</f>
        <v>200</v>
      </c>
    </row>
    <row r="62" spans="1:19">
      <c r="R62" s="75" t="str">
        <f t="shared" si="9"/>
        <v>Legal</v>
      </c>
      <c r="S62" s="77">
        <f t="shared" si="10"/>
        <v>200</v>
      </c>
    </row>
    <row r="63" spans="1:19">
      <c r="R63" s="75" t="str">
        <f t="shared" si="9"/>
        <v>Taxes</v>
      </c>
      <c r="S63" s="77">
        <f t="shared" si="10"/>
        <v>170</v>
      </c>
    </row>
    <row r="64" spans="1:19">
      <c r="R64" s="75" t="str">
        <f t="shared" si="9"/>
        <v>Insurance</v>
      </c>
      <c r="S64" s="77">
        <f t="shared" si="10"/>
        <v>1000</v>
      </c>
    </row>
    <row r="65" spans="18:19">
      <c r="R65" s="75" t="str">
        <f t="shared" si="9"/>
        <v>Lake Access Maintenance</v>
      </c>
      <c r="S65" s="77">
        <f t="shared" si="10"/>
        <v>300</v>
      </c>
    </row>
    <row r="66" spans="18:19">
      <c r="R66" s="75" t="str">
        <f t="shared" si="9"/>
        <v>Park Maintenance</v>
      </c>
      <c r="S66" s="77">
        <f t="shared" si="10"/>
        <v>1900</v>
      </c>
    </row>
    <row r="67" spans="18:19">
      <c r="R67" s="75" t="str">
        <f t="shared" si="9"/>
        <v>Entrance Maintenance</v>
      </c>
      <c r="S67" s="77">
        <f t="shared" si="10"/>
        <v>50</v>
      </c>
    </row>
    <row r="68" spans="18:19">
      <c r="R68" s="75" t="str">
        <f t="shared" si="9"/>
        <v>Web Site</v>
      </c>
      <c r="S68" s="77">
        <f t="shared" si="10"/>
        <v>110</v>
      </c>
    </row>
    <row r="69" spans="18:19">
      <c r="R69" s="75" t="str">
        <f t="shared" si="9"/>
        <v>Park Trees</v>
      </c>
      <c r="S69" s="77">
        <f t="shared" si="10"/>
        <v>0</v>
      </c>
    </row>
    <row r="70" spans="18:19">
      <c r="R70" s="75" t="str">
        <f t="shared" si="9"/>
        <v>Fence &amp; Misc Maintenance</v>
      </c>
      <c r="S70" s="77">
        <f t="shared" si="10"/>
        <v>220</v>
      </c>
    </row>
    <row r="71" spans="18:19" hidden="1">
      <c r="R71" s="75" t="str">
        <f t="shared" si="9"/>
        <v>Lost Due Check</v>
      </c>
      <c r="S71" s="77">
        <f t="shared" si="10"/>
        <v>0</v>
      </c>
    </row>
    <row r="72" spans="18:19" ht="15">
      <c r="R72" s="75" t="str">
        <f t="shared" si="9"/>
        <v>Picnic &amp; Gatherings</v>
      </c>
      <c r="S72" s="78">
        <f t="shared" si="10"/>
        <v>400</v>
      </c>
    </row>
    <row r="73" spans="18:19">
      <c r="R73" s="75" t="s">
        <v>53</v>
      </c>
      <c r="S73" s="76">
        <f>SUM(S61:S72)</f>
        <v>4550</v>
      </c>
    </row>
    <row r="74" spans="18:19">
      <c r="R74" s="79" t="str">
        <f>+Summary!A41</f>
        <v>Lake Access &amp; Fence Maintenance Fund</v>
      </c>
      <c r="S74" s="77">
        <f>+Summary!E41*65</f>
        <v>975</v>
      </c>
    </row>
    <row r="75" spans="18:19" ht="15">
      <c r="R75" s="79" t="str">
        <f>+Summary!A42</f>
        <v>Park &amp; Entrance Maintenance Fund</v>
      </c>
      <c r="S75" s="78">
        <f>+Summary!E42*65</f>
        <v>0</v>
      </c>
    </row>
    <row r="76" spans="18:19">
      <c r="R76" s="75" t="s">
        <v>18</v>
      </c>
      <c r="S76" s="76">
        <f>SUM(S73:S75)</f>
        <v>5525</v>
      </c>
    </row>
    <row r="77" spans="18:19">
      <c r="R77" s="75" t="s">
        <v>87</v>
      </c>
      <c r="S77" s="76">
        <f>+S76/65</f>
        <v>85</v>
      </c>
    </row>
  </sheetData>
  <mergeCells count="15">
    <mergeCell ref="A25:B25"/>
    <mergeCell ref="E25:F25"/>
    <mergeCell ref="H4:H7"/>
    <mergeCell ref="G4:G7"/>
    <mergeCell ref="C4:C7"/>
    <mergeCell ref="D4:D7"/>
    <mergeCell ref="E4:E7"/>
    <mergeCell ref="O4:O7"/>
    <mergeCell ref="F4:F7"/>
    <mergeCell ref="I4:I7"/>
    <mergeCell ref="J4:J7"/>
    <mergeCell ref="N4:N7"/>
    <mergeCell ref="L4:L7"/>
    <mergeCell ref="M4:M7"/>
    <mergeCell ref="K4:K7"/>
  </mergeCells>
  <phoneticPr fontId="0" type="noConversion"/>
  <pageMargins left="0.75" right="0.75" top="1" bottom="1" header="0.5" footer="0.5"/>
  <pageSetup scale="62" orientation="landscape" horizontalDpi="300" verticalDpi="300"/>
  <headerFooter alignWithMargins="0">
    <oddFooter>&amp;LBayview Estates Homeowners Association&amp;CPage 2 of 4&amp;RTreasurers Report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6"/>
  <sheetViews>
    <sheetView topLeftCell="A13" zoomScaleNormal="100" workbookViewId="0">
      <selection activeCell="B46" sqref="B46"/>
    </sheetView>
  </sheetViews>
  <sheetFormatPr defaultColWidth="8.85546875" defaultRowHeight="12.75"/>
  <cols>
    <col min="1" max="1" width="35.42578125" customWidth="1"/>
    <col min="2" max="2" width="12.140625" customWidth="1"/>
    <col min="3" max="3" width="11.85546875" customWidth="1"/>
    <col min="4" max="4" width="0" hidden="1" customWidth="1"/>
    <col min="5" max="5" width="14" customWidth="1"/>
    <col min="6" max="6" width="16.85546875" customWidth="1"/>
    <col min="7" max="7" width="0" hidden="1" customWidth="1"/>
    <col min="8" max="8" width="16" customWidth="1"/>
    <col min="9" max="9" width="0" hidden="1" customWidth="1"/>
    <col min="10" max="14" width="12.7109375" customWidth="1"/>
  </cols>
  <sheetData>
    <row r="1" spans="1:11">
      <c r="A1" s="36" t="str">
        <f>+Budget!A1</f>
        <v>January 1, 2012 to December 31, 2012</v>
      </c>
    </row>
    <row r="2" spans="1:11" ht="18">
      <c r="A2" s="7" t="s">
        <v>25</v>
      </c>
      <c r="B2" s="3"/>
      <c r="C2" s="3"/>
      <c r="D2" s="3"/>
    </row>
    <row r="4" spans="1:11">
      <c r="A4" t="s">
        <v>34</v>
      </c>
      <c r="B4" s="3">
        <f>+Transactions!B59+Transactions!C59-Transactions!B6-Transactions!C6</f>
        <v>1567.83</v>
      </c>
      <c r="C4" s="14" t="str">
        <f>IF(ROUND((B4-H32),2)=0,"Balanced","Error")</f>
        <v>Balanced</v>
      </c>
      <c r="E4" s="54">
        <f>+Transactions!C61-Transactions!D6</f>
        <v>1567.83</v>
      </c>
    </row>
    <row r="5" spans="1:11">
      <c r="A5" t="s">
        <v>39</v>
      </c>
      <c r="B5" s="3">
        <f>ROUND(B7+B18,2)</f>
        <v>1567.83</v>
      </c>
      <c r="C5" s="23" t="str">
        <f>IF(B5=C31,"Balanced","Error")</f>
        <v>Balanced</v>
      </c>
      <c r="F5" s="3">
        <f>+B4-B5</f>
        <v>0</v>
      </c>
    </row>
    <row r="7" spans="1:11">
      <c r="A7" t="s">
        <v>10</v>
      </c>
      <c r="B7" s="3">
        <f>SUM(H7:H12)</f>
        <v>5577.15</v>
      </c>
      <c r="E7" t="s">
        <v>11</v>
      </c>
      <c r="H7" s="61">
        <v>0</v>
      </c>
      <c r="I7" s="4"/>
    </row>
    <row r="8" spans="1:11">
      <c r="E8" t="s">
        <v>7</v>
      </c>
      <c r="H8" s="4">
        <f>+GETPIVOTDATA("Amount",'Account Summary'!$A$3,"Account","Dividends")</f>
        <v>7.1499999999999995</v>
      </c>
      <c r="I8" s="4"/>
    </row>
    <row r="9" spans="1:11">
      <c r="A9" s="2"/>
      <c r="B9" s="3"/>
      <c r="E9" t="s">
        <v>47</v>
      </c>
      <c r="H9" s="4">
        <f>+GETPIVOTDATA("Amount",'Account Summary'!$A$3,"Account","Lease")</f>
        <v>0</v>
      </c>
      <c r="I9" s="4"/>
    </row>
    <row r="10" spans="1:11">
      <c r="A10" s="2"/>
      <c r="E10" t="s">
        <v>5</v>
      </c>
      <c r="H10" s="4">
        <f>+GETPIVOTDATA("Amount",'Account Summary'!$A$3,"Account","Dues")</f>
        <v>5570</v>
      </c>
      <c r="I10" s="4"/>
    </row>
    <row r="11" spans="1:11">
      <c r="A11" s="2"/>
      <c r="E11" t="s">
        <v>90</v>
      </c>
      <c r="H11" s="4">
        <f>+GETPIVOTDATA("Amount",'Account Summary'!$A$3,"Account","Donation")</f>
        <v>0</v>
      </c>
      <c r="I11" s="4"/>
    </row>
    <row r="12" spans="1:11" ht="15">
      <c r="A12" s="2"/>
      <c r="E12" t="s">
        <v>15</v>
      </c>
      <c r="H12" s="62"/>
      <c r="I12" s="4"/>
    </row>
    <row r="13" spans="1:11">
      <c r="A13" s="2"/>
      <c r="F13" s="6" t="s">
        <v>10</v>
      </c>
      <c r="H13" s="3">
        <f>SUM(H7:H12)</f>
        <v>5577.15</v>
      </c>
      <c r="I13" s="4"/>
      <c r="J13" s="3"/>
      <c r="K13" s="3"/>
    </row>
    <row r="14" spans="1:11">
      <c r="A14" s="2"/>
      <c r="H14" s="4"/>
      <c r="I14" s="4"/>
    </row>
    <row r="15" spans="1:11">
      <c r="A15" s="2"/>
      <c r="E15" t="str">
        <f>+Budget!A8</f>
        <v>Operating Fees</v>
      </c>
      <c r="H15" s="3">
        <f>+GETPIVOTDATA("Amount",'Account Summary'!$A$3,"Account","Operating Fees")</f>
        <v>-326.5</v>
      </c>
      <c r="I15" s="4"/>
    </row>
    <row r="16" spans="1:11">
      <c r="A16" s="2" t="s">
        <v>35</v>
      </c>
      <c r="B16" s="3">
        <f>SUM(H15:H26)</f>
        <v>-4009.32</v>
      </c>
      <c r="E16" t="str">
        <f>+Budget!A9</f>
        <v>Legal</v>
      </c>
      <c r="H16" s="4">
        <f>+GETPIVOTDATA("Amount",'Account Summary'!$A$3,"Account","Legal")</f>
        <v>0</v>
      </c>
      <c r="I16" s="4"/>
    </row>
    <row r="17" spans="1:11" ht="15">
      <c r="A17" s="2" t="s">
        <v>45</v>
      </c>
      <c r="B17" s="8">
        <f>-Budget!E20</f>
        <v>0</v>
      </c>
      <c r="E17" t="str">
        <f>+Budget!A10</f>
        <v>Taxes</v>
      </c>
      <c r="H17" s="4">
        <f>+GETPIVOTDATA("Amount",'Account Summary'!$A$3,"Account","Taxes")</f>
        <v>-180.68</v>
      </c>
      <c r="I17" s="4"/>
    </row>
    <row r="18" spans="1:11">
      <c r="A18" s="92" t="s">
        <v>122</v>
      </c>
      <c r="B18" s="3">
        <f>SUM(B16:B17)</f>
        <v>-4009.32</v>
      </c>
      <c r="E18" t="str">
        <f>+Budget!A11</f>
        <v>Insurance</v>
      </c>
      <c r="H18" s="4">
        <f>+GETPIVOTDATA("Amount",'Account Summary'!$A$3,"Account","Insurance")</f>
        <v>-910</v>
      </c>
      <c r="I18" s="4"/>
    </row>
    <row r="19" spans="1:11">
      <c r="A19" s="2"/>
      <c r="E19" t="str">
        <f>+Budget!A12</f>
        <v>Lake Access Maintenance</v>
      </c>
      <c r="H19" s="4">
        <f>+GETPIVOTDATA("Amount",'Account Summary'!$A$3,"Account","Lake Access Maintenance")</f>
        <v>0</v>
      </c>
      <c r="I19" s="4"/>
    </row>
    <row r="20" spans="1:11">
      <c r="A20" s="2"/>
      <c r="E20" t="str">
        <f>+Budget!A13</f>
        <v>Park Maintenance</v>
      </c>
      <c r="H20" s="19">
        <f>+GETPIVOTDATA("Amount",'Account Summary'!$A$3,"Account","Park Maintenance")</f>
        <v>-2179.5299999999997</v>
      </c>
      <c r="I20" s="4"/>
    </row>
    <row r="21" spans="1:11">
      <c r="A21" s="2"/>
      <c r="E21" t="str">
        <f>+Budget!A14</f>
        <v>Entrance Maintenance</v>
      </c>
      <c r="H21" s="19">
        <f>+GETPIVOTDATA("Amount",'Account Summary'!$A$3,"Account","Entrance Maintenance")</f>
        <v>0</v>
      </c>
      <c r="I21" s="4"/>
    </row>
    <row r="22" spans="1:11">
      <c r="A22" s="2"/>
      <c r="E22" t="str">
        <f>+Budget!A15</f>
        <v>Web Site</v>
      </c>
      <c r="H22" s="19">
        <f>+GETPIVOTDATA("Amount",'Account Summary'!$A$3,"Account","Web Site")</f>
        <v>0</v>
      </c>
      <c r="I22" s="4"/>
    </row>
    <row r="23" spans="1:11">
      <c r="A23" s="2"/>
      <c r="E23" t="str">
        <f>+Budget!A16</f>
        <v>Park Trees</v>
      </c>
      <c r="H23" s="19">
        <f>+GETPIVOTDATA("Amount",'Account Summary'!$A$3,"Account","Park Trees")</f>
        <v>0</v>
      </c>
      <c r="I23" s="4"/>
    </row>
    <row r="24" spans="1:11">
      <c r="A24" s="2"/>
      <c r="E24" t="str">
        <f>+Budget!A17</f>
        <v>Fence &amp; Misc Maintenance</v>
      </c>
      <c r="H24" s="19">
        <f>+GETPIVOTDATA("Amount",'Account Summary'!$A$3,"Account","Fence &amp; Misc Maintenance")</f>
        <v>0</v>
      </c>
      <c r="I24" s="4"/>
    </row>
    <row r="25" spans="1:11">
      <c r="A25" s="2"/>
      <c r="E25" t="s">
        <v>85</v>
      </c>
      <c r="H25" s="19">
        <f>+GETPIVOTDATA("Amount",'Account Summary'!$A$3,"Account","Lost Due Check")</f>
        <v>0</v>
      </c>
      <c r="I25" s="4"/>
    </row>
    <row r="26" spans="1:11">
      <c r="A26" s="2"/>
      <c r="E26" t="str">
        <f>+Budget!A19</f>
        <v>Picnic &amp; Gatherings</v>
      </c>
      <c r="H26" s="19">
        <f>+GETPIVOTDATA("Amount",'Account Summary'!$A$3,"Account","picnic")</f>
        <v>-412.61</v>
      </c>
      <c r="I26" s="4"/>
      <c r="K26" s="3"/>
    </row>
    <row r="27" spans="1:11">
      <c r="A27" s="2"/>
      <c r="H27" s="19"/>
      <c r="I27" s="4"/>
      <c r="K27" s="3"/>
    </row>
    <row r="28" spans="1:11" ht="15">
      <c r="A28" s="2"/>
      <c r="H28" s="8"/>
      <c r="I28" s="4"/>
      <c r="K28" s="3"/>
    </row>
    <row r="29" spans="1:11">
      <c r="A29" s="2"/>
      <c r="F29" s="6" t="s">
        <v>36</v>
      </c>
      <c r="H29" s="3">
        <f>SUM(H15:H28)</f>
        <v>-4009.32</v>
      </c>
      <c r="I29" s="4"/>
    </row>
    <row r="30" spans="1:11">
      <c r="A30" s="2"/>
      <c r="C30" s="3"/>
      <c r="E30" s="6"/>
      <c r="G30" s="6"/>
      <c r="H30" s="4"/>
      <c r="I30" s="4"/>
    </row>
    <row r="31" spans="1:11">
      <c r="A31" s="2"/>
      <c r="C31" s="53">
        <f>ROUND(H13-Budget!F20,2)</f>
        <v>1567.83</v>
      </c>
      <c r="E31" s="6"/>
      <c r="F31" s="6"/>
      <c r="G31" s="6"/>
      <c r="I31" s="4"/>
    </row>
    <row r="32" spans="1:11">
      <c r="A32" s="2"/>
      <c r="C32" s="3">
        <f>+C31-B5</f>
        <v>0</v>
      </c>
      <c r="F32" s="6" t="s">
        <v>34</v>
      </c>
      <c r="H32" s="25">
        <f>+H13+H29</f>
        <v>1567.8299999999995</v>
      </c>
    </row>
    <row r="33" spans="1:8">
      <c r="A33" s="2"/>
    </row>
    <row r="34" spans="1:8">
      <c r="A34" s="2"/>
    </row>
    <row r="35" spans="1:8" ht="18">
      <c r="A35" s="12" t="s">
        <v>97</v>
      </c>
      <c r="F35" s="15"/>
      <c r="H35" s="17"/>
    </row>
    <row r="36" spans="1:8" ht="18">
      <c r="A36" s="12"/>
      <c r="B36" s="110" t="s">
        <v>16</v>
      </c>
      <c r="C36" s="110" t="s">
        <v>43</v>
      </c>
      <c r="E36" s="110" t="s">
        <v>40</v>
      </c>
      <c r="F36" s="15"/>
      <c r="G36" s="1"/>
      <c r="H36" s="15"/>
    </row>
    <row r="37" spans="1:8" ht="12.75" customHeight="1">
      <c r="A37" s="2"/>
      <c r="B37" s="114"/>
      <c r="C37" s="114"/>
      <c r="D37" s="1"/>
      <c r="E37" s="114"/>
      <c r="F37" s="15"/>
      <c r="G37" s="1"/>
      <c r="H37" s="15"/>
    </row>
    <row r="38" spans="1:8">
      <c r="A38" s="2"/>
      <c r="B38" s="114"/>
      <c r="C38" s="114"/>
      <c r="D38" s="1"/>
      <c r="E38" s="114"/>
      <c r="F38" s="15"/>
      <c r="G38" s="1"/>
      <c r="H38" s="15"/>
    </row>
    <row r="39" spans="1:8">
      <c r="A39" s="2"/>
      <c r="B39" s="114"/>
      <c r="C39" s="114"/>
      <c r="D39" s="1"/>
      <c r="E39" s="114"/>
      <c r="F39" s="15"/>
      <c r="G39" s="1"/>
      <c r="H39" s="15"/>
    </row>
    <row r="40" spans="1:8">
      <c r="A40" s="2"/>
      <c r="B40" s="114"/>
      <c r="C40" s="114"/>
      <c r="D40" s="1"/>
      <c r="E40" s="114"/>
      <c r="H40" s="4"/>
    </row>
    <row r="41" spans="1:8">
      <c r="A41" s="2" t="s">
        <v>57</v>
      </c>
      <c r="B41" s="61">
        <v>6500</v>
      </c>
      <c r="C41" s="49">
        <v>24000</v>
      </c>
      <c r="D41" s="4"/>
      <c r="E41" s="61">
        <v>15</v>
      </c>
      <c r="F41" s="3"/>
      <c r="H41" s="4"/>
    </row>
    <row r="42" spans="1:8">
      <c r="A42" s="2" t="s">
        <v>50</v>
      </c>
      <c r="B42" s="56">
        <v>1000</v>
      </c>
      <c r="C42" s="49">
        <v>1000</v>
      </c>
      <c r="D42" s="4"/>
      <c r="E42" s="56">
        <v>0</v>
      </c>
      <c r="H42" s="4"/>
    </row>
    <row r="43" spans="1:8">
      <c r="A43" s="2" t="s">
        <v>23</v>
      </c>
      <c r="B43" s="4">
        <f>+B47-B44-B42-B41-B45-B46</f>
        <v>3642.3199999999997</v>
      </c>
      <c r="C43" s="49">
        <v>2000</v>
      </c>
      <c r="D43" s="4"/>
      <c r="E43" s="56">
        <v>0</v>
      </c>
      <c r="H43" s="4"/>
    </row>
    <row r="44" spans="1:8">
      <c r="A44" s="2" t="s">
        <v>51</v>
      </c>
      <c r="B44" s="56">
        <v>500</v>
      </c>
      <c r="C44" s="49">
        <v>500</v>
      </c>
      <c r="D44" s="4"/>
      <c r="E44" s="56">
        <v>0</v>
      </c>
      <c r="H44" s="4"/>
    </row>
    <row r="45" spans="1:8" ht="15">
      <c r="A45" s="2" t="s">
        <v>49</v>
      </c>
      <c r="B45" s="56">
        <v>200</v>
      </c>
      <c r="C45" s="49">
        <v>200</v>
      </c>
      <c r="D45" s="4"/>
      <c r="E45" s="56">
        <v>0</v>
      </c>
      <c r="H45" s="8"/>
    </row>
    <row r="46" spans="1:8" ht="15">
      <c r="A46" s="93" t="s">
        <v>123</v>
      </c>
      <c r="B46" s="51">
        <f>-B17</f>
        <v>0</v>
      </c>
      <c r="C46" s="51">
        <v>0</v>
      </c>
      <c r="D46" s="4"/>
      <c r="E46" s="62">
        <v>0</v>
      </c>
      <c r="G46" s="21"/>
      <c r="H46" s="20"/>
    </row>
    <row r="47" spans="1:8">
      <c r="A47" s="2" t="s">
        <v>83</v>
      </c>
      <c r="B47" s="3">
        <f>+Transactions!B59+Transactions!C59</f>
        <v>11842.32</v>
      </c>
      <c r="C47" s="3">
        <f>SUM(C41:C46)</f>
        <v>27700</v>
      </c>
      <c r="E47" s="28">
        <f>SUM(E41:E46)</f>
        <v>15</v>
      </c>
      <c r="F47" t="s">
        <v>95</v>
      </c>
    </row>
    <row r="48" spans="1:8" ht="15">
      <c r="A48" s="52" t="s">
        <v>52</v>
      </c>
      <c r="B48" s="3">
        <f>+B47-B46</f>
        <v>11842.32</v>
      </c>
      <c r="C48" s="3">
        <f>+C47-C46</f>
        <v>27700</v>
      </c>
      <c r="E48" s="8">
        <f>Budget!J21</f>
        <v>70</v>
      </c>
      <c r="F48" s="27" t="s">
        <v>96</v>
      </c>
    </row>
    <row r="49" spans="1:6">
      <c r="A49" s="2"/>
      <c r="B49" s="3"/>
      <c r="E49" s="28">
        <f>SUM(E47:E48)</f>
        <v>85</v>
      </c>
      <c r="F49" s="27" t="s">
        <v>94</v>
      </c>
    </row>
    <row r="50" spans="1:6">
      <c r="A50" s="2"/>
      <c r="B50" s="24"/>
    </row>
    <row r="51" spans="1:6">
      <c r="A51" s="2"/>
      <c r="B51" s="3"/>
    </row>
    <row r="52" spans="1:6">
      <c r="A52" s="2"/>
    </row>
    <row r="53" spans="1:6" hidden="1">
      <c r="A53" s="2"/>
      <c r="B53" s="3"/>
    </row>
    <row r="54" spans="1:6">
      <c r="A54" s="2"/>
      <c r="B54" s="3"/>
    </row>
    <row r="55" spans="1:6">
      <c r="A55" s="2"/>
    </row>
    <row r="57" spans="1:6">
      <c r="A57" s="2"/>
    </row>
    <row r="58" spans="1:6">
      <c r="A58" s="5"/>
    </row>
    <row r="65" spans="1:1">
      <c r="A65" s="2"/>
    </row>
    <row r="76" spans="1:1">
      <c r="A76" s="2"/>
    </row>
  </sheetData>
  <mergeCells count="3">
    <mergeCell ref="C36:C40"/>
    <mergeCell ref="B36:B40"/>
    <mergeCell ref="E36:E40"/>
  </mergeCells>
  <phoneticPr fontId="0" type="noConversion"/>
  <pageMargins left="0.75" right="0.75" top="1" bottom="1" header="0.5" footer="0.5"/>
  <pageSetup scale="71" orientation="landscape" horizontalDpi="300" verticalDpi="300"/>
  <headerFooter alignWithMargins="0">
    <oddFooter>&amp;LBayview Estates Homeowners Association&amp;CPage 3 of 4&amp;RTreasurers Report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zoomScaleNormal="100" workbookViewId="0">
      <pane ySplit="8" topLeftCell="A30" activePane="bottomLeft" state="frozen"/>
      <selection pane="bottomLeft" activeCell="K40" sqref="K9:K40"/>
    </sheetView>
  </sheetViews>
  <sheetFormatPr defaultColWidth="8.85546875" defaultRowHeight="12.75"/>
  <cols>
    <col min="1" max="1" width="19" customWidth="1"/>
    <col min="2" max="2" width="11.42578125" customWidth="1"/>
    <col min="3" max="3" width="12.28515625" bestFit="1" customWidth="1"/>
    <col min="4" max="4" width="13.7109375" customWidth="1"/>
    <col min="5" max="5" width="10.28515625" customWidth="1"/>
    <col min="6" max="7" width="14.42578125" customWidth="1"/>
    <col min="8" max="8" width="10.28515625" customWidth="1"/>
    <col min="9" max="9" width="11.28515625" customWidth="1"/>
    <col min="10" max="10" width="10.42578125" style="40" customWidth="1"/>
    <col min="11" max="11" width="12.42578125" customWidth="1"/>
    <col min="12" max="12" width="14.7109375" customWidth="1"/>
    <col min="13" max="13" width="10.28515625" bestFit="1" customWidth="1"/>
    <col min="14" max="14" width="23.28515625" customWidth="1"/>
    <col min="15" max="15" width="24.7109375" customWidth="1"/>
  </cols>
  <sheetData>
    <row r="1" spans="1:11">
      <c r="A1" s="82" t="str">
        <f>+Summary!A1</f>
        <v>January 1, 2012 to December 31, 2012</v>
      </c>
    </row>
    <row r="2" spans="1:11" ht="18">
      <c r="A2" s="7" t="s">
        <v>17</v>
      </c>
    </row>
    <row r="4" spans="1:11">
      <c r="B4" s="115" t="s">
        <v>0</v>
      </c>
      <c r="C4" s="115" t="s">
        <v>1</v>
      </c>
      <c r="D4" s="115" t="s">
        <v>18</v>
      </c>
      <c r="E4" s="115" t="s">
        <v>2</v>
      </c>
      <c r="F4" s="115"/>
      <c r="G4" s="39"/>
      <c r="H4" s="115" t="s">
        <v>22</v>
      </c>
      <c r="I4" s="115"/>
      <c r="J4" s="116" t="s">
        <v>8</v>
      </c>
    </row>
    <row r="5" spans="1:11">
      <c r="B5" s="115"/>
      <c r="C5" s="115"/>
      <c r="D5" s="115"/>
      <c r="E5" s="115"/>
      <c r="F5" s="115"/>
      <c r="G5" s="39"/>
      <c r="H5" s="115"/>
      <c r="I5" s="115"/>
      <c r="J5" s="116"/>
    </row>
    <row r="6" spans="1:11">
      <c r="A6" s="94" t="s">
        <v>127</v>
      </c>
      <c r="B6" s="67">
        <v>7486.75</v>
      </c>
      <c r="C6" s="67">
        <v>2787.74</v>
      </c>
      <c r="D6" s="44">
        <f>+C6+B6</f>
        <v>10274.49</v>
      </c>
    </row>
    <row r="7" spans="1:11">
      <c r="A7" s="23" t="s">
        <v>37</v>
      </c>
      <c r="B7" s="3"/>
      <c r="C7" s="3"/>
      <c r="D7" s="3"/>
    </row>
    <row r="8" spans="1:11">
      <c r="B8" s="3"/>
      <c r="C8" s="3"/>
      <c r="D8" s="3" t="s">
        <v>19</v>
      </c>
      <c r="E8" t="s">
        <v>2</v>
      </c>
      <c r="G8" s="3" t="str">
        <f>+D8</f>
        <v>Amount</v>
      </c>
      <c r="H8" t="str">
        <f>+H4</f>
        <v>Activity</v>
      </c>
    </row>
    <row r="9" spans="1:11">
      <c r="A9" s="55">
        <v>40920</v>
      </c>
      <c r="B9" s="85">
        <v>200</v>
      </c>
      <c r="C9" s="85"/>
      <c r="D9" s="3">
        <f t="shared" ref="D9:D14" si="0">B9+C9</f>
        <v>200</v>
      </c>
      <c r="E9" s="58" t="s">
        <v>5</v>
      </c>
      <c r="G9" s="3">
        <f t="shared" ref="G9:G14" si="1">D9</f>
        <v>200</v>
      </c>
      <c r="H9" s="59" t="s">
        <v>70</v>
      </c>
      <c r="J9" s="60"/>
      <c r="K9" s="65"/>
    </row>
    <row r="10" spans="1:11">
      <c r="A10" s="55">
        <v>41286</v>
      </c>
      <c r="B10" s="85">
        <v>-35.200000000000003</v>
      </c>
      <c r="C10" s="85"/>
      <c r="D10" s="3">
        <f t="shared" si="0"/>
        <v>-35.200000000000003</v>
      </c>
      <c r="E10" s="58" t="s">
        <v>4</v>
      </c>
      <c r="G10" s="3">
        <f t="shared" si="1"/>
        <v>-35.200000000000003</v>
      </c>
      <c r="H10" s="59" t="s">
        <v>74</v>
      </c>
      <c r="J10" s="60">
        <v>622</v>
      </c>
      <c r="K10" s="65"/>
    </row>
    <row r="11" spans="1:11">
      <c r="A11" s="55">
        <v>41287</v>
      </c>
      <c r="B11" s="85">
        <v>-51.88</v>
      </c>
      <c r="C11" s="85"/>
      <c r="D11" s="3">
        <f t="shared" si="0"/>
        <v>-51.88</v>
      </c>
      <c r="E11" s="58" t="s">
        <v>3</v>
      </c>
      <c r="G11" s="3">
        <f t="shared" si="1"/>
        <v>-51.88</v>
      </c>
      <c r="H11" s="59" t="s">
        <v>72</v>
      </c>
      <c r="J11" s="60">
        <v>617</v>
      </c>
      <c r="K11" s="65"/>
    </row>
    <row r="12" spans="1:11">
      <c r="A12" s="55">
        <v>41287</v>
      </c>
      <c r="B12" s="85">
        <v>-59.4</v>
      </c>
      <c r="C12" s="85"/>
      <c r="D12" s="3">
        <f t="shared" si="0"/>
        <v>-59.4</v>
      </c>
      <c r="E12" s="58" t="s">
        <v>3</v>
      </c>
      <c r="G12" s="3">
        <f t="shared" si="1"/>
        <v>-59.4</v>
      </c>
      <c r="H12" s="59" t="s">
        <v>72</v>
      </c>
      <c r="J12" s="84">
        <v>618</v>
      </c>
      <c r="K12" s="65"/>
    </row>
    <row r="13" spans="1:11">
      <c r="A13" s="55">
        <v>41287</v>
      </c>
      <c r="B13" s="85">
        <v>-59.4</v>
      </c>
      <c r="C13" s="85"/>
      <c r="D13" s="3">
        <f t="shared" si="0"/>
        <v>-59.4</v>
      </c>
      <c r="E13" s="58" t="s">
        <v>3</v>
      </c>
      <c r="G13" s="3">
        <f t="shared" si="1"/>
        <v>-59.4</v>
      </c>
      <c r="H13" s="59" t="s">
        <v>72</v>
      </c>
      <c r="J13" s="84">
        <v>619</v>
      </c>
      <c r="K13" s="65"/>
    </row>
    <row r="14" spans="1:11">
      <c r="A14" s="55">
        <v>41291</v>
      </c>
      <c r="B14" s="85">
        <v>-41.09</v>
      </c>
      <c r="C14" s="85"/>
      <c r="D14" s="3">
        <f t="shared" si="0"/>
        <v>-41.09</v>
      </c>
      <c r="E14" s="58" t="s">
        <v>4</v>
      </c>
      <c r="G14" s="3">
        <f t="shared" si="1"/>
        <v>-41.09</v>
      </c>
      <c r="H14" s="59" t="s">
        <v>73</v>
      </c>
      <c r="J14" s="84">
        <v>620</v>
      </c>
      <c r="K14" s="65"/>
    </row>
    <row r="15" spans="1:11">
      <c r="A15" s="55">
        <v>41292</v>
      </c>
      <c r="B15" s="85">
        <v>-46</v>
      </c>
      <c r="C15" s="85"/>
      <c r="D15" s="3">
        <f>B15+C15</f>
        <v>-46</v>
      </c>
      <c r="E15" s="58" t="s">
        <v>4</v>
      </c>
      <c r="G15" s="3">
        <f>D15</f>
        <v>-46</v>
      </c>
      <c r="H15" s="59" t="s">
        <v>78</v>
      </c>
      <c r="J15" s="84">
        <v>621</v>
      </c>
      <c r="K15" s="65"/>
    </row>
    <row r="16" spans="1:11">
      <c r="A16" s="55">
        <v>41304</v>
      </c>
      <c r="B16" s="85">
        <v>-99.5</v>
      </c>
      <c r="C16" s="85"/>
      <c r="D16" s="3">
        <f t="shared" ref="D16:D34" si="2">B16+C16</f>
        <v>-99.5</v>
      </c>
      <c r="E16" s="58" t="s">
        <v>4</v>
      </c>
      <c r="G16" s="3">
        <f t="shared" ref="G16:G34" si="3">D16</f>
        <v>-99.5</v>
      </c>
      <c r="H16" s="59" t="s">
        <v>73</v>
      </c>
      <c r="J16" s="84">
        <v>623</v>
      </c>
      <c r="K16" s="65"/>
    </row>
    <row r="17" spans="1:13">
      <c r="A17" s="55">
        <v>41304</v>
      </c>
      <c r="B17" s="85">
        <v>-10</v>
      </c>
      <c r="C17" s="85"/>
      <c r="D17" s="3">
        <f t="shared" si="2"/>
        <v>-10</v>
      </c>
      <c r="E17" s="58" t="s">
        <v>3</v>
      </c>
      <c r="G17" s="3">
        <f t="shared" si="3"/>
        <v>-10</v>
      </c>
      <c r="H17" s="59" t="s">
        <v>71</v>
      </c>
      <c r="J17" s="84">
        <v>624</v>
      </c>
      <c r="K17" s="65"/>
      <c r="L17" s="3"/>
    </row>
    <row r="18" spans="1:13">
      <c r="A18" s="55">
        <v>41309</v>
      </c>
      <c r="B18" s="85">
        <v>2060</v>
      </c>
      <c r="C18" s="85"/>
      <c r="D18" s="3">
        <f t="shared" si="2"/>
        <v>2060</v>
      </c>
      <c r="E18" s="58" t="s">
        <v>5</v>
      </c>
      <c r="G18" s="3">
        <f t="shared" si="3"/>
        <v>2060</v>
      </c>
      <c r="H18" s="59" t="s">
        <v>70</v>
      </c>
      <c r="J18" s="84"/>
      <c r="K18" s="65"/>
    </row>
    <row r="19" spans="1:13">
      <c r="A19" s="55">
        <v>41343</v>
      </c>
      <c r="B19" s="85">
        <v>2720</v>
      </c>
      <c r="C19" s="85"/>
      <c r="D19" s="3">
        <f t="shared" si="2"/>
        <v>2720</v>
      </c>
      <c r="E19" s="58" t="s">
        <v>5</v>
      </c>
      <c r="G19" s="3">
        <v>2720</v>
      </c>
      <c r="H19" s="59" t="s">
        <v>70</v>
      </c>
      <c r="J19" s="84"/>
      <c r="K19" s="65"/>
    </row>
    <row r="20" spans="1:13">
      <c r="A20" s="55">
        <v>41359</v>
      </c>
      <c r="B20" s="85">
        <v>-640</v>
      </c>
      <c r="C20" s="85"/>
      <c r="D20" s="3">
        <f t="shared" si="2"/>
        <v>-640</v>
      </c>
      <c r="E20" s="58" t="s">
        <v>9</v>
      </c>
      <c r="G20" s="3">
        <f t="shared" si="3"/>
        <v>-640</v>
      </c>
      <c r="H20" s="58" t="s">
        <v>75</v>
      </c>
      <c r="J20" s="84">
        <v>626</v>
      </c>
      <c r="K20" s="65"/>
    </row>
    <row r="21" spans="1:13">
      <c r="A21" s="55">
        <v>41369</v>
      </c>
      <c r="B21" s="85">
        <v>-28.75</v>
      </c>
      <c r="C21" s="85"/>
      <c r="D21" s="3">
        <f t="shared" si="2"/>
        <v>-28.75</v>
      </c>
      <c r="E21" s="58" t="s">
        <v>4</v>
      </c>
      <c r="G21" s="3">
        <f t="shared" si="3"/>
        <v>-28.75</v>
      </c>
      <c r="H21" s="58" t="s">
        <v>73</v>
      </c>
      <c r="J21" s="84">
        <v>625</v>
      </c>
      <c r="K21" s="65"/>
    </row>
    <row r="22" spans="1:13">
      <c r="A22" s="55">
        <v>41397</v>
      </c>
      <c r="B22" s="85">
        <v>590</v>
      </c>
      <c r="C22" s="85"/>
      <c r="D22" s="3">
        <f t="shared" si="2"/>
        <v>590</v>
      </c>
      <c r="E22" s="58" t="s">
        <v>5</v>
      </c>
      <c r="G22" s="3">
        <f t="shared" si="3"/>
        <v>590</v>
      </c>
      <c r="H22" s="59" t="s">
        <v>70</v>
      </c>
      <c r="J22" s="84"/>
      <c r="K22" s="65"/>
    </row>
    <row r="23" spans="1:13">
      <c r="A23" s="55">
        <v>41423</v>
      </c>
      <c r="B23" s="85">
        <v>-640</v>
      </c>
      <c r="C23" s="85"/>
      <c r="D23" s="3">
        <f t="shared" si="2"/>
        <v>-640</v>
      </c>
      <c r="E23" s="58" t="s">
        <v>9</v>
      </c>
      <c r="G23" s="3">
        <f t="shared" si="3"/>
        <v>-640</v>
      </c>
      <c r="H23" s="59" t="s">
        <v>75</v>
      </c>
      <c r="J23" s="84">
        <v>627</v>
      </c>
      <c r="K23" s="65"/>
    </row>
    <row r="24" spans="1:13">
      <c r="A24" s="55">
        <v>41430</v>
      </c>
      <c r="B24" s="85">
        <v>-189.02</v>
      </c>
      <c r="C24" s="85"/>
      <c r="D24" s="3">
        <f t="shared" si="2"/>
        <v>-189.02</v>
      </c>
      <c r="E24" s="58" t="s">
        <v>91</v>
      </c>
      <c r="G24" s="3">
        <f t="shared" si="3"/>
        <v>-189.02</v>
      </c>
      <c r="H24" s="59" t="s">
        <v>91</v>
      </c>
      <c r="J24" s="84">
        <v>628</v>
      </c>
      <c r="K24" s="65"/>
    </row>
    <row r="25" spans="1:13">
      <c r="A25" s="55">
        <v>41443</v>
      </c>
      <c r="B25" s="85">
        <v>-259.52999999999997</v>
      </c>
      <c r="C25" s="85"/>
      <c r="D25" s="3">
        <f t="shared" si="2"/>
        <v>-259.52999999999997</v>
      </c>
      <c r="E25" s="58" t="s">
        <v>9</v>
      </c>
      <c r="G25" s="3">
        <f t="shared" si="3"/>
        <v>-259.52999999999997</v>
      </c>
      <c r="H25" s="59" t="s">
        <v>77</v>
      </c>
      <c r="J25" s="84">
        <v>629</v>
      </c>
      <c r="K25" s="65"/>
    </row>
    <row r="26" spans="1:13">
      <c r="A26" s="55">
        <v>41454</v>
      </c>
      <c r="B26" s="85">
        <v>-15.9</v>
      </c>
      <c r="C26" s="85"/>
      <c r="D26" s="3">
        <f t="shared" si="2"/>
        <v>-15.9</v>
      </c>
      <c r="E26" s="58" t="s">
        <v>91</v>
      </c>
      <c r="G26" s="3">
        <f t="shared" si="3"/>
        <v>-15.9</v>
      </c>
      <c r="H26" s="59" t="s">
        <v>91</v>
      </c>
      <c r="J26" s="84">
        <v>630</v>
      </c>
      <c r="K26" s="65"/>
    </row>
    <row r="27" spans="1:13">
      <c r="A27" s="55">
        <v>41364</v>
      </c>
      <c r="B27" s="85">
        <v>1.1599999999999999</v>
      </c>
      <c r="C27" s="85"/>
      <c r="D27" s="3">
        <f t="shared" si="2"/>
        <v>1.1599999999999999</v>
      </c>
      <c r="E27" s="58" t="s">
        <v>7</v>
      </c>
      <c r="G27" s="3">
        <f t="shared" si="3"/>
        <v>1.1599999999999999</v>
      </c>
      <c r="H27" s="58" t="s">
        <v>7</v>
      </c>
      <c r="J27" s="84"/>
      <c r="K27" s="65"/>
    </row>
    <row r="28" spans="1:13">
      <c r="A28" s="55">
        <v>41455</v>
      </c>
      <c r="B28" s="85">
        <v>1.43</v>
      </c>
      <c r="C28" s="85"/>
      <c r="D28" s="3">
        <f t="shared" si="2"/>
        <v>1.43</v>
      </c>
      <c r="E28" s="58" t="s">
        <v>7</v>
      </c>
      <c r="G28" s="3">
        <f t="shared" si="3"/>
        <v>1.43</v>
      </c>
      <c r="H28" s="58" t="s">
        <v>7</v>
      </c>
      <c r="J28" s="84"/>
      <c r="K28" s="65"/>
    </row>
    <row r="29" spans="1:13">
      <c r="A29" s="55">
        <v>41465</v>
      </c>
      <c r="B29" s="85">
        <v>-50</v>
      </c>
      <c r="C29" s="85"/>
      <c r="D29" s="3">
        <f t="shared" si="2"/>
        <v>-50</v>
      </c>
      <c r="E29" s="58" t="s">
        <v>91</v>
      </c>
      <c r="G29" s="3">
        <f t="shared" si="3"/>
        <v>-50</v>
      </c>
      <c r="H29" s="59" t="s">
        <v>91</v>
      </c>
      <c r="J29" s="84">
        <v>632</v>
      </c>
      <c r="K29" s="65"/>
    </row>
    <row r="30" spans="1:13">
      <c r="A30" s="55">
        <v>41465</v>
      </c>
      <c r="B30" s="85">
        <v>-157.69</v>
      </c>
      <c r="C30" s="85"/>
      <c r="D30" s="3">
        <f t="shared" si="2"/>
        <v>-157.69</v>
      </c>
      <c r="E30" s="58" t="s">
        <v>91</v>
      </c>
      <c r="G30" s="3">
        <f t="shared" si="3"/>
        <v>-157.69</v>
      </c>
      <c r="H30" s="59" t="s">
        <v>91</v>
      </c>
      <c r="J30" s="84">
        <v>631</v>
      </c>
      <c r="K30" s="65"/>
    </row>
    <row r="31" spans="1:13">
      <c r="A31" s="55">
        <v>41514</v>
      </c>
      <c r="B31" s="85">
        <v>-640</v>
      </c>
      <c r="C31" s="85"/>
      <c r="D31" s="3">
        <f t="shared" si="2"/>
        <v>-640</v>
      </c>
      <c r="E31" s="58" t="s">
        <v>9</v>
      </c>
      <c r="G31" s="3">
        <f t="shared" si="3"/>
        <v>-640</v>
      </c>
      <c r="H31" s="59" t="s">
        <v>75</v>
      </c>
      <c r="J31" s="84">
        <v>633</v>
      </c>
      <c r="K31" s="48"/>
      <c r="M31" s="3"/>
    </row>
    <row r="32" spans="1:13">
      <c r="A32" s="55">
        <v>41527</v>
      </c>
      <c r="B32" s="85">
        <v>-910</v>
      </c>
      <c r="C32" s="85"/>
      <c r="D32" s="3">
        <f t="shared" si="2"/>
        <v>-910</v>
      </c>
      <c r="E32" s="58" t="s">
        <v>14</v>
      </c>
      <c r="G32" s="3">
        <f t="shared" si="3"/>
        <v>-910</v>
      </c>
      <c r="H32" s="59" t="s">
        <v>14</v>
      </c>
      <c r="J32" s="60">
        <v>635</v>
      </c>
      <c r="K32" s="48"/>
    </row>
    <row r="33" spans="1:13">
      <c r="A33" s="55">
        <v>41547</v>
      </c>
      <c r="B33" s="85">
        <v>1.3</v>
      </c>
      <c r="C33" s="85"/>
      <c r="D33" s="3">
        <f t="shared" si="2"/>
        <v>1.3</v>
      </c>
      <c r="E33" s="58" t="s">
        <v>7</v>
      </c>
      <c r="G33" s="3">
        <f t="shared" si="3"/>
        <v>1.3</v>
      </c>
      <c r="H33" s="59" t="s">
        <v>7</v>
      </c>
      <c r="J33" s="84"/>
      <c r="K33" s="65"/>
    </row>
    <row r="34" spans="1:13">
      <c r="A34" s="55">
        <v>41563</v>
      </c>
      <c r="B34" s="85">
        <v>-42.8</v>
      </c>
      <c r="C34" s="85"/>
      <c r="D34" s="3">
        <f t="shared" si="2"/>
        <v>-42.8</v>
      </c>
      <c r="E34" s="58" t="s">
        <v>4</v>
      </c>
      <c r="G34" s="3">
        <f t="shared" si="3"/>
        <v>-42.8</v>
      </c>
      <c r="H34" s="59" t="s">
        <v>73</v>
      </c>
      <c r="J34" s="60">
        <v>637</v>
      </c>
      <c r="K34" s="65"/>
    </row>
    <row r="35" spans="1:13">
      <c r="A35" s="55">
        <v>41580</v>
      </c>
      <c r="B35" s="85">
        <v>-33.159999999999997</v>
      </c>
      <c r="C35" s="85"/>
      <c r="D35" s="3">
        <f t="shared" ref="D35:D41" si="4">B35+C35</f>
        <v>-33.159999999999997</v>
      </c>
      <c r="E35" s="58" t="s">
        <v>4</v>
      </c>
      <c r="G35" s="3">
        <f t="shared" ref="G35:G41" si="5">D35</f>
        <v>-33.159999999999997</v>
      </c>
      <c r="H35" s="59" t="s">
        <v>73</v>
      </c>
      <c r="J35" s="60">
        <v>636</v>
      </c>
      <c r="K35" s="65"/>
    </row>
    <row r="36" spans="1:13">
      <c r="A36" s="55">
        <v>41639</v>
      </c>
      <c r="B36" s="85">
        <v>1.1499999999999999</v>
      </c>
      <c r="C36" s="85"/>
      <c r="D36" s="3">
        <f t="shared" si="4"/>
        <v>1.1499999999999999</v>
      </c>
      <c r="E36" s="58" t="s">
        <v>7</v>
      </c>
      <c r="G36" s="3">
        <f t="shared" si="5"/>
        <v>1.1499999999999999</v>
      </c>
      <c r="H36" s="59" t="s">
        <v>7</v>
      </c>
      <c r="J36" s="84"/>
      <c r="K36" s="65"/>
    </row>
    <row r="37" spans="1:13">
      <c r="A37" s="55">
        <v>41455</v>
      </c>
      <c r="B37" s="85"/>
      <c r="C37" s="85">
        <v>0.7</v>
      </c>
      <c r="D37" s="3">
        <f t="shared" si="4"/>
        <v>0.7</v>
      </c>
      <c r="E37" s="58" t="s">
        <v>7</v>
      </c>
      <c r="G37" s="3">
        <f t="shared" si="5"/>
        <v>0.7</v>
      </c>
      <c r="H37" s="58" t="s">
        <v>7</v>
      </c>
      <c r="J37" s="84"/>
      <c r="K37" s="65"/>
    </row>
    <row r="38" spans="1:13">
      <c r="A38" s="55">
        <v>41354</v>
      </c>
      <c r="B38" s="85"/>
      <c r="C38" s="85">
        <v>0.7</v>
      </c>
      <c r="D38" s="3">
        <f>B38+C38</f>
        <v>0.7</v>
      </c>
      <c r="E38" s="58" t="s">
        <v>7</v>
      </c>
      <c r="G38" s="3">
        <f>D38</f>
        <v>0.7</v>
      </c>
      <c r="H38" s="58" t="s">
        <v>7</v>
      </c>
      <c r="J38" s="84"/>
      <c r="K38" s="65"/>
      <c r="M38" s="3"/>
    </row>
    <row r="39" spans="1:13">
      <c r="A39" s="55">
        <v>41639</v>
      </c>
      <c r="B39" s="85"/>
      <c r="C39" s="85">
        <v>0.71</v>
      </c>
      <c r="D39" s="3">
        <f>B39+C39</f>
        <v>0.71</v>
      </c>
      <c r="E39" s="58" t="s">
        <v>7</v>
      </c>
      <c r="G39" s="3">
        <f>D39</f>
        <v>0.71</v>
      </c>
      <c r="H39" s="58" t="s">
        <v>7</v>
      </c>
      <c r="J39" s="84"/>
      <c r="K39" s="65"/>
      <c r="M39" s="3"/>
    </row>
    <row r="40" spans="1:13">
      <c r="A40" s="55"/>
      <c r="B40" s="85"/>
      <c r="C40" s="85"/>
      <c r="D40" s="3">
        <f t="shared" si="4"/>
        <v>0</v>
      </c>
      <c r="E40" s="58"/>
      <c r="G40" s="3">
        <f t="shared" si="5"/>
        <v>0</v>
      </c>
      <c r="H40" s="59"/>
      <c r="J40" s="84"/>
      <c r="K40" s="74"/>
    </row>
    <row r="41" spans="1:13" hidden="1">
      <c r="A41" s="55"/>
      <c r="B41" s="85"/>
      <c r="C41" s="85"/>
      <c r="D41" s="3">
        <f t="shared" si="4"/>
        <v>0</v>
      </c>
      <c r="E41" s="63" t="s">
        <v>3</v>
      </c>
      <c r="G41" s="3">
        <f t="shared" si="5"/>
        <v>0</v>
      </c>
      <c r="H41" s="63" t="s">
        <v>7</v>
      </c>
      <c r="J41" s="84"/>
      <c r="K41" s="65"/>
      <c r="M41" s="3"/>
    </row>
    <row r="42" spans="1:13" hidden="1">
      <c r="A42" s="55"/>
      <c r="B42" s="85"/>
      <c r="C42" s="85"/>
      <c r="D42" s="3">
        <f>B42+C42</f>
        <v>0</v>
      </c>
      <c r="E42" s="63" t="s">
        <v>5</v>
      </c>
      <c r="G42" s="3">
        <f>D42</f>
        <v>0</v>
      </c>
      <c r="H42" s="63" t="s">
        <v>6</v>
      </c>
      <c r="J42" s="60"/>
      <c r="K42" s="65"/>
    </row>
    <row r="43" spans="1:13" hidden="1">
      <c r="A43" s="55"/>
      <c r="B43" s="85"/>
      <c r="C43" s="85"/>
      <c r="D43" s="3">
        <f>B43+C43</f>
        <v>0</v>
      </c>
      <c r="E43" s="63" t="s">
        <v>47</v>
      </c>
      <c r="G43" s="3">
        <f>D43</f>
        <v>0</v>
      </c>
      <c r="H43" s="63" t="s">
        <v>75</v>
      </c>
      <c r="J43" s="84"/>
      <c r="K43" s="65"/>
    </row>
    <row r="44" spans="1:13" hidden="1">
      <c r="A44" s="55"/>
      <c r="B44" s="85"/>
      <c r="C44" s="85"/>
      <c r="D44" s="3">
        <f>B44+C44</f>
        <v>0</v>
      </c>
      <c r="E44" s="63" t="s">
        <v>9</v>
      </c>
      <c r="G44" s="3">
        <f>D44</f>
        <v>0</v>
      </c>
      <c r="H44" s="63" t="s">
        <v>78</v>
      </c>
      <c r="J44" s="84"/>
      <c r="K44" s="65"/>
    </row>
    <row r="45" spans="1:13" hidden="1">
      <c r="A45" s="55"/>
      <c r="B45" s="85"/>
      <c r="C45" s="85"/>
      <c r="D45" s="3">
        <f>B45+C45</f>
        <v>0</v>
      </c>
      <c r="E45" s="63" t="s">
        <v>6</v>
      </c>
      <c r="G45" s="3">
        <f>D45</f>
        <v>0</v>
      </c>
      <c r="H45" s="63" t="s">
        <v>74</v>
      </c>
      <c r="J45" s="60"/>
      <c r="K45" s="65"/>
    </row>
    <row r="46" spans="1:13" hidden="1">
      <c r="A46" s="55"/>
      <c r="B46" s="85"/>
      <c r="C46" s="85"/>
      <c r="D46" s="3">
        <f t="shared" ref="D46:D54" si="6">B46+C46</f>
        <v>0</v>
      </c>
      <c r="E46" s="63" t="s">
        <v>4</v>
      </c>
      <c r="G46" s="3">
        <f t="shared" ref="G46:G54" si="7">D46</f>
        <v>0</v>
      </c>
      <c r="H46" s="63" t="s">
        <v>80</v>
      </c>
      <c r="J46" s="60"/>
      <c r="K46" s="74"/>
    </row>
    <row r="47" spans="1:13" hidden="1">
      <c r="A47" s="55"/>
      <c r="B47" s="85"/>
      <c r="C47" s="85"/>
      <c r="D47" s="3">
        <f t="shared" si="6"/>
        <v>0</v>
      </c>
      <c r="E47" s="63" t="s">
        <v>7</v>
      </c>
      <c r="G47" s="3">
        <f t="shared" si="7"/>
        <v>0</v>
      </c>
      <c r="H47" s="63" t="s">
        <v>14</v>
      </c>
      <c r="J47" s="60"/>
      <c r="K47" s="65"/>
    </row>
    <row r="48" spans="1:13" hidden="1">
      <c r="A48" s="55"/>
      <c r="B48" s="85"/>
      <c r="C48" s="85"/>
      <c r="D48" s="3">
        <f t="shared" si="6"/>
        <v>0</v>
      </c>
      <c r="E48" s="63" t="s">
        <v>13</v>
      </c>
      <c r="G48" s="3">
        <f t="shared" si="7"/>
        <v>0</v>
      </c>
      <c r="H48" s="63" t="s">
        <v>73</v>
      </c>
      <c r="J48" s="60"/>
      <c r="K48" s="65"/>
    </row>
    <row r="49" spans="1:11" hidden="1">
      <c r="A49" s="55"/>
      <c r="B49" s="85"/>
      <c r="C49" s="85"/>
      <c r="D49" s="3">
        <f t="shared" si="6"/>
        <v>0</v>
      </c>
      <c r="E49" s="63" t="s">
        <v>80</v>
      </c>
      <c r="G49" s="3">
        <f t="shared" si="7"/>
        <v>0</v>
      </c>
      <c r="H49" s="63" t="s">
        <v>72</v>
      </c>
      <c r="J49" s="60"/>
      <c r="K49" s="65"/>
    </row>
    <row r="50" spans="1:11" hidden="1">
      <c r="A50" s="55"/>
      <c r="B50" s="85"/>
      <c r="C50" s="85"/>
      <c r="D50" s="3">
        <f t="shared" si="6"/>
        <v>0</v>
      </c>
      <c r="E50" s="63" t="s">
        <v>14</v>
      </c>
      <c r="G50" s="3">
        <f t="shared" si="7"/>
        <v>0</v>
      </c>
      <c r="H50" s="63" t="s">
        <v>70</v>
      </c>
      <c r="J50" s="60"/>
      <c r="K50" s="65"/>
    </row>
    <row r="51" spans="1:11" hidden="1">
      <c r="A51" s="55"/>
      <c r="B51" s="85"/>
      <c r="C51" s="85"/>
      <c r="D51" s="3">
        <f t="shared" si="6"/>
        <v>0</v>
      </c>
      <c r="E51" s="64" t="s">
        <v>42</v>
      </c>
      <c r="G51" s="3">
        <f t="shared" si="7"/>
        <v>0</v>
      </c>
      <c r="H51" s="63" t="s">
        <v>71</v>
      </c>
      <c r="J51" s="60"/>
      <c r="K51" s="65"/>
    </row>
    <row r="52" spans="1:11" hidden="1">
      <c r="A52" s="55"/>
      <c r="B52" s="85"/>
      <c r="C52" s="85"/>
      <c r="D52" s="3">
        <f t="shared" si="6"/>
        <v>0</v>
      </c>
      <c r="E52" s="64" t="s">
        <v>44</v>
      </c>
      <c r="G52" s="3">
        <f t="shared" si="7"/>
        <v>0</v>
      </c>
      <c r="H52" s="63" t="s">
        <v>79</v>
      </c>
      <c r="J52" s="60"/>
      <c r="K52" s="65"/>
    </row>
    <row r="53" spans="1:11" hidden="1">
      <c r="A53" s="55"/>
      <c r="B53" s="85"/>
      <c r="C53" s="85"/>
      <c r="D53" s="3">
        <f t="shared" si="6"/>
        <v>0</v>
      </c>
      <c r="E53" s="64" t="s">
        <v>64</v>
      </c>
      <c r="G53" s="3">
        <f t="shared" si="7"/>
        <v>0</v>
      </c>
      <c r="H53" s="63" t="s">
        <v>47</v>
      </c>
      <c r="J53" s="60"/>
      <c r="K53" s="65"/>
    </row>
    <row r="54" spans="1:11" hidden="1">
      <c r="A54" s="55"/>
      <c r="B54" s="85"/>
      <c r="C54" s="85"/>
      <c r="D54" s="3">
        <f t="shared" si="6"/>
        <v>0</v>
      </c>
      <c r="E54" s="64" t="s">
        <v>38</v>
      </c>
      <c r="G54" s="3">
        <f t="shared" si="7"/>
        <v>0</v>
      </c>
      <c r="H54" s="63" t="s">
        <v>76</v>
      </c>
      <c r="J54" s="60"/>
      <c r="K54" s="65"/>
    </row>
    <row r="55" spans="1:11" hidden="1">
      <c r="A55" s="55"/>
      <c r="B55" s="86"/>
      <c r="C55" s="86"/>
      <c r="D55" s="3">
        <f>B55+C55</f>
        <v>0</v>
      </c>
      <c r="E55" s="64" t="s">
        <v>89</v>
      </c>
      <c r="F55" s="27"/>
      <c r="G55" s="3">
        <f>D55</f>
        <v>0</v>
      </c>
      <c r="H55" s="63" t="s">
        <v>77</v>
      </c>
      <c r="I55" s="27"/>
      <c r="J55" s="60"/>
      <c r="K55" s="65"/>
    </row>
    <row r="56" spans="1:11" hidden="1">
      <c r="A56" s="55"/>
      <c r="B56" s="85"/>
      <c r="C56" s="85"/>
      <c r="D56" s="3">
        <f>B56+C56</f>
        <v>0</v>
      </c>
      <c r="E56" s="64"/>
      <c r="F56" s="27"/>
      <c r="G56" s="3">
        <f>D56</f>
        <v>0</v>
      </c>
      <c r="H56" s="63" t="s">
        <v>89</v>
      </c>
      <c r="I56" s="27"/>
      <c r="J56" s="60"/>
      <c r="K56" s="65"/>
    </row>
    <row r="57" spans="1:11" hidden="1">
      <c r="A57" s="55"/>
      <c r="B57" s="86"/>
      <c r="C57" s="86"/>
      <c r="D57" s="3">
        <f>B57+C57</f>
        <v>0</v>
      </c>
      <c r="E57" s="64" t="s">
        <v>91</v>
      </c>
      <c r="F57" s="27"/>
      <c r="G57" s="3">
        <f>D57</f>
        <v>0</v>
      </c>
      <c r="H57" s="63" t="s">
        <v>91</v>
      </c>
      <c r="I57" s="27"/>
      <c r="J57" s="60"/>
      <c r="K57" s="65"/>
    </row>
    <row r="58" spans="1:11" hidden="1">
      <c r="A58" s="55"/>
      <c r="B58" s="86"/>
      <c r="C58" s="86"/>
      <c r="D58" s="3">
        <f>B58+C58</f>
        <v>0</v>
      </c>
      <c r="E58" s="63" t="s">
        <v>85</v>
      </c>
      <c r="F58" s="27"/>
      <c r="G58" s="3">
        <f>D58</f>
        <v>0</v>
      </c>
      <c r="H58" s="63" t="s">
        <v>85</v>
      </c>
      <c r="I58" s="27"/>
      <c r="J58" s="60"/>
      <c r="K58" s="65"/>
    </row>
    <row r="59" spans="1:11">
      <c r="A59" s="23" t="s">
        <v>16</v>
      </c>
      <c r="B59" s="3">
        <f>SUM(B6:B58)</f>
        <v>9052.4699999999993</v>
      </c>
      <c r="C59" s="3">
        <f>SUM(C6:C58)</f>
        <v>2789.8499999999995</v>
      </c>
    </row>
    <row r="60" spans="1:11">
      <c r="A60" s="41"/>
      <c r="B60" s="42" t="s">
        <v>0</v>
      </c>
      <c r="C60" s="42" t="s">
        <v>1</v>
      </c>
    </row>
    <row r="61" spans="1:11">
      <c r="A61" s="6"/>
      <c r="B61" s="43" t="s">
        <v>18</v>
      </c>
      <c r="C61" s="3">
        <f>SUM(B59:C59)</f>
        <v>11842.32</v>
      </c>
    </row>
    <row r="62" spans="1:11">
      <c r="C62" s="3"/>
    </row>
    <row r="63" spans="1:11">
      <c r="B63" s="3">
        <v>9052.4699999999993</v>
      </c>
      <c r="C63" s="3">
        <v>2789.85</v>
      </c>
      <c r="D63" s="27"/>
      <c r="E63" s="27"/>
    </row>
    <row r="64" spans="1:11" ht="12.75" customHeight="1">
      <c r="B64" s="3">
        <f>+B63-B59</f>
        <v>0</v>
      </c>
      <c r="C64" s="3">
        <f>+C63-C59</f>
        <v>0</v>
      </c>
      <c r="D64" s="27"/>
    </row>
    <row r="65" spans="3:4">
      <c r="C65" s="3"/>
      <c r="D65" s="3"/>
    </row>
    <row r="67" spans="3:4" ht="15">
      <c r="C67" s="22"/>
    </row>
    <row r="68" spans="3:4">
      <c r="C68" s="3"/>
    </row>
    <row r="69" spans="3:4">
      <c r="C69" s="3"/>
    </row>
    <row r="70" spans="3:4">
      <c r="C70" s="3"/>
    </row>
  </sheetData>
  <mergeCells count="6">
    <mergeCell ref="H4:I5"/>
    <mergeCell ref="J4:J5"/>
    <mergeCell ref="B4:B5"/>
    <mergeCell ref="C4:C5"/>
    <mergeCell ref="E4:F5"/>
    <mergeCell ref="D4:D5"/>
  </mergeCells>
  <phoneticPr fontId="0" type="noConversion"/>
  <pageMargins left="0.75" right="0.75" top="1" bottom="1" header="0.5" footer="0.5"/>
  <pageSetup scale="65" orientation="portrait" horizontalDpi="300" verticalDpi="300"/>
  <headerFooter alignWithMargins="0">
    <oddFooter>&amp;LBayview Estates Homeowners Association&amp;CPage 4 of 4&amp;RTreasurers Report</oddFooter>
  </headerFooter>
  <rowBreaks count="1" manualBreakCount="1">
    <brk id="60" max="16383" man="1"/>
  </row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Account Summary</vt:lpstr>
      <vt:lpstr>Activity Summary</vt:lpstr>
      <vt:lpstr>Report</vt:lpstr>
      <vt:lpstr>Budget</vt:lpstr>
      <vt:lpstr>Summary</vt:lpstr>
      <vt:lpstr>Transactions</vt:lpstr>
      <vt:lpstr>Budget!Print_Area</vt:lpstr>
      <vt:lpstr>Transactions!Print_Area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Asp</dc:creator>
  <cp:lastModifiedBy>Bridget Keeler</cp:lastModifiedBy>
  <cp:lastPrinted>2011-01-10T20:56:25Z</cp:lastPrinted>
  <dcterms:created xsi:type="dcterms:W3CDTF">2001-08-25T20:15:51Z</dcterms:created>
  <dcterms:modified xsi:type="dcterms:W3CDTF">2013-03-20T18:44:18Z</dcterms:modified>
</cp:coreProperties>
</file>